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3040" windowHeight="8940" tabRatio="803" activeTab="0"/>
  </bookViews>
  <sheets>
    <sheet name="önként2019." sheetId="1" r:id="rId1"/>
    <sheet name="kötelező2019." sheetId="2" r:id="rId2"/>
    <sheet name="önként2019.felh." sheetId="3" r:id="rId3"/>
    <sheet name="kötelező2019.felh." sheetId="4" r:id="rId4"/>
    <sheet name="önkét2019.finansz." sheetId="5" r:id="rId5"/>
    <sheet name="kötelező2019.finansz." sheetId="6" r:id="rId6"/>
  </sheets>
  <definedNames>
    <definedName name="Excel_BuiltIn_Print_Area_321">#REF!</definedName>
    <definedName name="Excel_BuiltIn_Print_Area_331">#REF!</definedName>
    <definedName name="Excel_BuiltIn_Print_Area_6">#REF!</definedName>
    <definedName name="_xlnm.Print_Area" localSheetId="1">'kötelező2019.'!$A$1:$M$45</definedName>
    <definedName name="_xlnm.Print_Area" localSheetId="3">'kötelező2019.felh.'!$A$1:$M$33</definedName>
    <definedName name="_xlnm.Print_Area" localSheetId="5">'kötelező2019.finansz.'!$A$1:$M$18</definedName>
    <definedName name="_xlnm.Print_Area" localSheetId="0">'önként2019.'!$A$1:$L$33</definedName>
    <definedName name="_xlnm.Print_Area" localSheetId="2">'önként2019.felh.'!$A$1:$L$50</definedName>
    <definedName name="_xlnm.Print_Area" localSheetId="4">'önkét2019.finansz.'!$A$1:$L$25</definedName>
  </definedNames>
  <calcPr fullCalcOnLoad="1"/>
</workbook>
</file>

<file path=xl/sharedStrings.xml><?xml version="1.0" encoding="utf-8"?>
<sst xmlns="http://schemas.openxmlformats.org/spreadsheetml/2006/main" count="240" uniqueCount="115">
  <si>
    <t>ezer Ft-ban</t>
  </si>
  <si>
    <t>Életkezdési támogatás</t>
  </si>
  <si>
    <t>Megnevezés</t>
  </si>
  <si>
    <t>Települési igazgatási</t>
  </si>
  <si>
    <t>Szociális és gyermekjóléti ellátások (segélyek)</t>
  </si>
  <si>
    <t>Közművelődési, tevékenység</t>
  </si>
  <si>
    <t>Bölcsődei ellátás</t>
  </si>
  <si>
    <t>Időskorúak nappali ellátása</t>
  </si>
  <si>
    <t>Szociális étkeztetés</t>
  </si>
  <si>
    <t>Közcélú foglalkoztatás</t>
  </si>
  <si>
    <t>Családsegítő és gyermekjóléti szolgálat</t>
  </si>
  <si>
    <t>Háziorvosi szolgálat</t>
  </si>
  <si>
    <t>Park és zöldterület fenntartás</t>
  </si>
  <si>
    <t>Útfenntartás</t>
  </si>
  <si>
    <t>Egyéb település üzemeltetés</t>
  </si>
  <si>
    <t>Vagyonhasznosítás és kezelés</t>
  </si>
  <si>
    <t>Összesen:</t>
  </si>
  <si>
    <t>Működési célú támogatás</t>
  </si>
  <si>
    <t>Vagyongazd.összefüggő műk.kiadások</t>
  </si>
  <si>
    <t>Egynapos sebészet</t>
  </si>
  <si>
    <t>Képalkotó diag.szolg.</t>
  </si>
  <si>
    <t>Eü.laboratóriumi szolgáltatás</t>
  </si>
  <si>
    <t>Szociális bolt engedm.elsz.</t>
  </si>
  <si>
    <t>Szociális és gyermekjóléti fa.</t>
  </si>
  <si>
    <t>Fogorvosi szolgálat gyermek(heti óra )</t>
  </si>
  <si>
    <t>Ügyeleti szolgálat (óra)</t>
  </si>
  <si>
    <t>Ifjúságeü.ellátás</t>
  </si>
  <si>
    <t>Közoktatási feladatok működési kiadásai</t>
  </si>
  <si>
    <t>3.számú melléklet</t>
  </si>
  <si>
    <t>4. számú melléklet</t>
  </si>
  <si>
    <t>Védőnők</t>
  </si>
  <si>
    <t>Járóbeteg szakellátás (napi óra)</t>
  </si>
  <si>
    <t>Foglalkozás-eü. ellátás (napi óra)</t>
  </si>
  <si>
    <t>Gondozók (napi óra)</t>
  </si>
  <si>
    <t>Települési igazgatás</t>
  </si>
  <si>
    <t>Nemzetiségi önkormányzatok támogatása</t>
  </si>
  <si>
    <t>2 Blesz összesen</t>
  </si>
  <si>
    <t>1 Önkormányzat összesen</t>
  </si>
  <si>
    <t>4 Polgármesteri Hivatal összesen</t>
  </si>
  <si>
    <t>5001 Egyesített bölcsődék</t>
  </si>
  <si>
    <t>5002 Egyesített Szociális Intézmény</t>
  </si>
  <si>
    <t>2 BLESZ összesen</t>
  </si>
  <si>
    <t>5003 Játékkal-mesével Óvoda</t>
  </si>
  <si>
    <t>5004 Tesz-vesz Óvoda</t>
  </si>
  <si>
    <t>5005 Bástya Óvoda</t>
  </si>
  <si>
    <t>5006 Balaton Óvoda</t>
  </si>
  <si>
    <t>Pénz-         maradvány fedezete %</t>
  </si>
  <si>
    <t>Állategészségügyi feladatok</t>
  </si>
  <si>
    <t>Közterület felügyeleti kiadások</t>
  </si>
  <si>
    <t>Parkolási feladatok</t>
  </si>
  <si>
    <t>3 Önálló Közterület-felügyelet összesen</t>
  </si>
  <si>
    <t>Parkolási tevékenység tárgyévi kiadásai</t>
  </si>
  <si>
    <t>Jelzőrendszeres házi segítségnyújtás</t>
  </si>
  <si>
    <t>Polgármesteri Hivatal</t>
  </si>
  <si>
    <t>Államigazgatási feladatok</t>
  </si>
  <si>
    <t>Önkorm.műk.kapcs.kiad.</t>
  </si>
  <si>
    <t>Önkorm.műk. kapcs. kiadások</t>
  </si>
  <si>
    <t>Kv.         maradvány</t>
  </si>
  <si>
    <t xml:space="preserve">Állami támogatás </t>
  </si>
  <si>
    <t xml:space="preserve">Állami támogatás fedezete % </t>
  </si>
  <si>
    <t>Állami támogatás</t>
  </si>
  <si>
    <t>Intézm. bevételek fedezete %</t>
  </si>
  <si>
    <t>Saját intézményi bevételek</t>
  </si>
  <si>
    <t xml:space="preserve">Kiadási előirányzat 100% </t>
  </si>
  <si>
    <t>Átvett pe.       fedezete %</t>
  </si>
  <si>
    <t>Önkorm. Hozzájárulás</t>
  </si>
  <si>
    <t>Önkormányzati hozzájárulás fedezete %</t>
  </si>
  <si>
    <t>Kiadási előirányzat 100%</t>
  </si>
  <si>
    <t xml:space="preserve">Intézm.         bevételek fedezete % </t>
  </si>
  <si>
    <t>Állami támogatás fedezete %</t>
  </si>
  <si>
    <t>Átvett pe. + tb.támogatás</t>
  </si>
  <si>
    <t xml:space="preserve">Átvett pe.       fedezete %  </t>
  </si>
  <si>
    <t xml:space="preserve">Önkorm.       hozzájárulás </t>
  </si>
  <si>
    <t xml:space="preserve">Önkormányzati hozzájárulás fedezete % </t>
  </si>
  <si>
    <t>Kv.       Maradvány és betétlekötés megszüntetése</t>
  </si>
  <si>
    <t>Felújítási kiadások</t>
  </si>
  <si>
    <t xml:space="preserve"> áthúzódó kötelezettségek</t>
  </si>
  <si>
    <t xml:space="preserve"> tárgyévi terveztett kiadás</t>
  </si>
  <si>
    <t>Felhalmozási bevételek</t>
  </si>
  <si>
    <t xml:space="preserve">Támogatás és átvett pe. </t>
  </si>
  <si>
    <t>Felhalmozási kiadások</t>
  </si>
  <si>
    <t>Felhalmozási célú pénzeszközátadás</t>
  </si>
  <si>
    <t>Kölcsönnyújtás</t>
  </si>
  <si>
    <t>Felhalmozási célú tartalék</t>
  </si>
  <si>
    <t>Egyesített Szociális Intézmény</t>
  </si>
  <si>
    <t>Játékkal-mesével Óvoda</t>
  </si>
  <si>
    <t>Bástya Óvoda</t>
  </si>
  <si>
    <t>Egyesített Bölcsődék</t>
  </si>
  <si>
    <t>Tesz-vesz Óvoda</t>
  </si>
  <si>
    <t>Balaton Óvoda</t>
  </si>
  <si>
    <t>működési támogatás</t>
  </si>
  <si>
    <t>felhalmozási támogatás</t>
  </si>
  <si>
    <t>ÁH-n belüli megelőlegezés visszafizetése</t>
  </si>
  <si>
    <t>Irányító szervi támogatásként folyó.támogatás</t>
  </si>
  <si>
    <t>Családsegítő és gyermekjóléti központ</t>
  </si>
  <si>
    <t>Egyéb kiegészítő szolgáltatások</t>
  </si>
  <si>
    <t>Házi segítségnyújtás</t>
  </si>
  <si>
    <t>Időskorúak átmeneti ellátása</t>
  </si>
  <si>
    <t>Pszichiátriai betegek közösségi ellátása</t>
  </si>
  <si>
    <t>NEAK fin. +átvett pe.</t>
  </si>
  <si>
    <t>Támogatás ÁH-n belülről</t>
  </si>
  <si>
    <t>tárgyévi tervezett kiadás</t>
  </si>
  <si>
    <t>2019. Működési költségvetés  -  Kötelezően előírt feladatkörök</t>
  </si>
  <si>
    <t>2019. Működési költségvetés -  Önként vállalt feladatkörök</t>
  </si>
  <si>
    <t>2019. Felhalmozási költségvetés -  Önként vállalt feladatkörök</t>
  </si>
  <si>
    <t>2019. Felhalmozási költségvetés  -  Kötelezően előírt feladatkörök</t>
  </si>
  <si>
    <t>2019. Finanszírozási kiadások -  Önként vállalt feladatkörök</t>
  </si>
  <si>
    <t>2019. Finanszírozási kiadások  -  Kötelezően előírt feladatkörök</t>
  </si>
  <si>
    <t>Közbiztonság kiadásai</t>
  </si>
  <si>
    <t>Eü.és Szociális Biz.kiadásai</t>
  </si>
  <si>
    <t>Kulturális tanácsnoki keret kiad.</t>
  </si>
  <si>
    <t>Oktatási Bizottság kiadásai</t>
  </si>
  <si>
    <t>Emberi jogi,Nemz.és Egyházügyi Biz.kiad.</t>
  </si>
  <si>
    <t>belföldi értékpapírok kiadásai</t>
  </si>
  <si>
    <t xml:space="preserve"> tárgyévi tervezett kiadás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</si>
</sst>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.0"/>
    <numFmt numFmtId="167" formatCode="0.0%"/>
    <numFmt numFmtId="168" formatCode="_-* #,##0.000\ _F_t_-;\-* #,##0.000\ _F_t_-;_-* &quot;-&quot;??\ _F_t_-;_-@_-"/>
    <numFmt numFmtId="169" formatCode="_-* #,##0.0\ _F_t_-;\-* #,##0.0\ _F_t_-;_-* &quot;-&quot;??\ _F_t_-;_-@_-"/>
    <numFmt numFmtId="170" formatCode="_-* #,##0\ _F_t_-;\-* #,##0\ _F_t_-;_-* &quot;-&quot;??\ _F_t_-;_-@_-"/>
    <numFmt numFmtId="171" formatCode="_-* #,##0.0000\ _F_t_-;\-* #,##0.0000\ _F_t_-;_-* &quot;-&quot;??\ _F_t_-;_-@_-"/>
    <numFmt numFmtId="172" formatCode="0.000"/>
    <numFmt numFmtId="173" formatCode="0.0000"/>
    <numFmt numFmtId="174" formatCode="#,##0.00\ _F_t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</numFmts>
  <fonts count="48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66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shrinkToFit="1"/>
    </xf>
    <xf numFmtId="3" fontId="10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 shrinkToFit="1"/>
    </xf>
    <xf numFmtId="3" fontId="10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2" fontId="3" fillId="0" borderId="14" xfId="0" applyNumberFormat="1" applyFont="1" applyFill="1" applyBorder="1" applyAlignment="1">
      <alignment horizontal="right"/>
    </xf>
    <xf numFmtId="2" fontId="3" fillId="0" borderId="15" xfId="0" applyNumberFormat="1" applyFont="1" applyFill="1" applyBorder="1" applyAlignment="1">
      <alignment/>
    </xf>
    <xf numFmtId="0" fontId="9" fillId="0" borderId="16" xfId="0" applyFont="1" applyFill="1" applyBorder="1" applyAlignment="1">
      <alignment shrinkToFit="1"/>
    </xf>
    <xf numFmtId="3" fontId="9" fillId="0" borderId="17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 horizontal="right"/>
    </xf>
    <xf numFmtId="0" fontId="12" fillId="0" borderId="16" xfId="0" applyFont="1" applyFill="1" applyBorder="1" applyAlignment="1">
      <alignment shrinkToFit="1"/>
    </xf>
    <xf numFmtId="2" fontId="9" fillId="0" borderId="17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3" fontId="10" fillId="0" borderId="19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 horizontal="right"/>
    </xf>
    <xf numFmtId="2" fontId="3" fillId="0" borderId="19" xfId="0" applyNumberFormat="1" applyFont="1" applyFill="1" applyBorder="1" applyAlignment="1">
      <alignment horizontal="right"/>
    </xf>
    <xf numFmtId="2" fontId="3" fillId="0" borderId="2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shrinkToFit="1"/>
    </xf>
    <xf numFmtId="2" fontId="3" fillId="0" borderId="18" xfId="0" applyNumberFormat="1" applyFont="1" applyFill="1" applyBorder="1" applyAlignment="1">
      <alignment horizontal="right"/>
    </xf>
    <xf numFmtId="2" fontId="3" fillId="0" borderId="22" xfId="0" applyNumberFormat="1" applyFont="1" applyFill="1" applyBorder="1" applyAlignment="1">
      <alignment/>
    </xf>
    <xf numFmtId="2" fontId="9" fillId="0" borderId="23" xfId="0" applyNumberFormat="1" applyFont="1" applyFill="1" applyBorder="1" applyAlignment="1">
      <alignment/>
    </xf>
    <xf numFmtId="3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8" fillId="0" borderId="24" xfId="0" applyFont="1" applyFill="1" applyBorder="1" applyAlignment="1">
      <alignment horizontal="right"/>
    </xf>
    <xf numFmtId="3" fontId="9" fillId="0" borderId="17" xfId="0" applyNumberFormat="1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66" fontId="2" fillId="0" borderId="24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2" fontId="9" fillId="0" borderId="2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9" fillId="0" borderId="17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4" fontId="9" fillId="0" borderId="23" xfId="0" applyNumberFormat="1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 horizontal="right"/>
    </xf>
    <xf numFmtId="2" fontId="3" fillId="0" borderId="25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right"/>
    </xf>
    <xf numFmtId="2" fontId="3" fillId="0" borderId="2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10" xfId="0" applyFont="1" applyFill="1" applyBorder="1" applyAlignment="1">
      <alignment shrinkToFit="1"/>
    </xf>
    <xf numFmtId="0" fontId="12" fillId="0" borderId="13" xfId="0" applyFont="1" applyFill="1" applyBorder="1" applyAlignment="1">
      <alignment shrinkToFit="1"/>
    </xf>
    <xf numFmtId="0" fontId="12" fillId="0" borderId="27" xfId="0" applyFont="1" applyFill="1" applyBorder="1" applyAlignment="1">
      <alignment shrinkToFit="1"/>
    </xf>
    <xf numFmtId="174" fontId="10" fillId="0" borderId="11" xfId="0" applyNumberFormat="1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0" fontId="12" fillId="0" borderId="28" xfId="0" applyFont="1" applyFill="1" applyBorder="1" applyAlignment="1">
      <alignment shrinkToFit="1"/>
    </xf>
    <xf numFmtId="174" fontId="9" fillId="0" borderId="17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4" fontId="0" fillId="0" borderId="17" xfId="0" applyNumberFormat="1" applyFill="1" applyBorder="1" applyAlignment="1">
      <alignment horizontal="right"/>
    </xf>
    <xf numFmtId="3" fontId="2" fillId="0" borderId="17" xfId="0" applyNumberFormat="1" applyFont="1" applyFill="1" applyBorder="1" applyAlignment="1">
      <alignment/>
    </xf>
    <xf numFmtId="4" fontId="0" fillId="0" borderId="23" xfId="0" applyNumberFormat="1" applyFill="1" applyBorder="1" applyAlignment="1">
      <alignment/>
    </xf>
    <xf numFmtId="3" fontId="10" fillId="0" borderId="14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8" fillId="0" borderId="24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2" fontId="9" fillId="0" borderId="23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2" fontId="9" fillId="0" borderId="17" xfId="0" applyNumberFormat="1" applyFont="1" applyFill="1" applyBorder="1" applyAlignment="1">
      <alignment/>
    </xf>
    <xf numFmtId="2" fontId="9" fillId="0" borderId="23" xfId="0" applyNumberFormat="1" applyFont="1" applyFill="1" applyBorder="1" applyAlignment="1">
      <alignment/>
    </xf>
    <xf numFmtId="0" fontId="9" fillId="0" borderId="16" xfId="0" applyFont="1" applyFill="1" applyBorder="1" applyAlignment="1">
      <alignment shrinkToFit="1"/>
    </xf>
    <xf numFmtId="166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4" fontId="3" fillId="0" borderId="19" xfId="0" applyNumberFormat="1" applyFont="1" applyFill="1" applyBorder="1" applyAlignment="1">
      <alignment horizontal="right"/>
    </xf>
    <xf numFmtId="4" fontId="9" fillId="0" borderId="17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9" fillId="0" borderId="17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right"/>
    </xf>
    <xf numFmtId="4" fontId="10" fillId="0" borderId="19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9" fillId="0" borderId="17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shrinkToFit="1"/>
    </xf>
    <xf numFmtId="0" fontId="3" fillId="0" borderId="27" xfId="0" applyFont="1" applyFill="1" applyBorder="1" applyAlignment="1">
      <alignment shrinkToFit="1"/>
    </xf>
    <xf numFmtId="3" fontId="12" fillId="0" borderId="17" xfId="0" applyNumberFormat="1" applyFont="1" applyFill="1" applyBorder="1" applyAlignment="1">
      <alignment horizontal="right"/>
    </xf>
    <xf numFmtId="4" fontId="12" fillId="0" borderId="17" xfId="0" applyNumberFormat="1" applyFont="1" applyFill="1" applyBorder="1" applyAlignment="1">
      <alignment horizontal="right"/>
    </xf>
    <xf numFmtId="2" fontId="12" fillId="0" borderId="23" xfId="0" applyNumberFormat="1" applyFont="1" applyFill="1" applyBorder="1" applyAlignment="1">
      <alignment/>
    </xf>
    <xf numFmtId="0" fontId="3" fillId="0" borderId="28" xfId="0" applyFont="1" applyFill="1" applyBorder="1" applyAlignment="1">
      <alignment shrinkToFit="1"/>
    </xf>
    <xf numFmtId="3" fontId="10" fillId="0" borderId="30" xfId="0" applyNumberFormat="1" applyFont="1" applyFill="1" applyBorder="1" applyAlignment="1">
      <alignment/>
    </xf>
    <xf numFmtId="3" fontId="3" fillId="0" borderId="30" xfId="0" applyNumberFormat="1" applyFont="1" applyFill="1" applyBorder="1" applyAlignment="1">
      <alignment horizontal="right"/>
    </xf>
    <xf numFmtId="2" fontId="3" fillId="0" borderId="30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shrinkToFit="1"/>
    </xf>
    <xf numFmtId="0" fontId="12" fillId="0" borderId="27" xfId="0" applyFont="1" applyFill="1" applyBorder="1" applyAlignment="1">
      <alignment shrinkToFit="1"/>
    </xf>
    <xf numFmtId="3" fontId="9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 horizontal="right"/>
    </xf>
    <xf numFmtId="2" fontId="12" fillId="0" borderId="19" xfId="0" applyNumberFormat="1" applyFont="1" applyFill="1" applyBorder="1" applyAlignment="1">
      <alignment horizontal="right"/>
    </xf>
    <xf numFmtId="4" fontId="12" fillId="0" borderId="19" xfId="0" applyNumberFormat="1" applyFont="1" applyFill="1" applyBorder="1" applyAlignment="1">
      <alignment horizontal="right"/>
    </xf>
    <xf numFmtId="2" fontId="12" fillId="0" borderId="20" xfId="0" applyNumberFormat="1" applyFont="1" applyFill="1" applyBorder="1" applyAlignment="1">
      <alignment/>
    </xf>
    <xf numFmtId="2" fontId="12" fillId="0" borderId="31" xfId="0" applyNumberFormat="1" applyFont="1" applyFill="1" applyBorder="1" applyAlignment="1">
      <alignment horizontal="right"/>
    </xf>
    <xf numFmtId="2" fontId="12" fillId="0" borderId="32" xfId="0" applyNumberFormat="1" applyFont="1" applyFill="1" applyBorder="1" applyAlignment="1">
      <alignment/>
    </xf>
    <xf numFmtId="2" fontId="3" fillId="0" borderId="33" xfId="0" applyNumberFormat="1" applyFont="1" applyFill="1" applyBorder="1" applyAlignment="1">
      <alignment/>
    </xf>
    <xf numFmtId="0" fontId="10" fillId="0" borderId="13" xfId="0" applyFont="1" applyFill="1" applyBorder="1" applyAlignment="1">
      <alignment shrinkToFit="1"/>
    </xf>
    <xf numFmtId="3" fontId="10" fillId="0" borderId="14" xfId="0" applyNumberFormat="1" applyFont="1" applyFill="1" applyBorder="1" applyAlignment="1">
      <alignment horizontal="right"/>
    </xf>
    <xf numFmtId="2" fontId="10" fillId="0" borderId="14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 horizontal="right"/>
    </xf>
    <xf numFmtId="2" fontId="10" fillId="0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0" fillId="0" borderId="28" xfId="0" applyFont="1" applyFill="1" applyBorder="1" applyAlignment="1">
      <alignment shrinkToFit="1"/>
    </xf>
    <xf numFmtId="3" fontId="10" fillId="0" borderId="30" xfId="0" applyNumberFormat="1" applyFont="1" applyFill="1" applyBorder="1" applyAlignment="1">
      <alignment horizontal="right"/>
    </xf>
    <xf numFmtId="2" fontId="10" fillId="0" borderId="30" xfId="0" applyNumberFormat="1" applyFont="1" applyFill="1" applyBorder="1" applyAlignment="1">
      <alignment horizontal="right"/>
    </xf>
    <xf numFmtId="3" fontId="10" fillId="0" borderId="19" xfId="0" applyNumberFormat="1" applyFont="1" applyFill="1" applyBorder="1" applyAlignment="1">
      <alignment horizontal="right"/>
    </xf>
    <xf numFmtId="174" fontId="10" fillId="0" borderId="11" xfId="0" applyNumberFormat="1" applyFont="1" applyFill="1" applyBorder="1" applyAlignment="1">
      <alignment horizontal="right"/>
    </xf>
    <xf numFmtId="174" fontId="10" fillId="0" borderId="14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shrinkToFit="1"/>
    </xf>
    <xf numFmtId="4" fontId="9" fillId="0" borderId="17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shrinkToFit="1"/>
    </xf>
    <xf numFmtId="174" fontId="10" fillId="0" borderId="30" xfId="0" applyNumberFormat="1" applyFont="1" applyFill="1" applyBorder="1" applyAlignment="1">
      <alignment horizontal="right"/>
    </xf>
    <xf numFmtId="0" fontId="10" fillId="0" borderId="27" xfId="0" applyFont="1" applyFill="1" applyBorder="1" applyAlignment="1">
      <alignment shrinkToFit="1"/>
    </xf>
    <xf numFmtId="174" fontId="10" fillId="0" borderId="19" xfId="0" applyNumberFormat="1" applyFont="1" applyFill="1" applyBorder="1" applyAlignment="1">
      <alignment horizontal="right"/>
    </xf>
    <xf numFmtId="174" fontId="10" fillId="0" borderId="18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4" fontId="10" fillId="0" borderId="18" xfId="0" applyNumberFormat="1" applyFont="1" applyFill="1" applyBorder="1" applyAlignment="1">
      <alignment horizontal="right"/>
    </xf>
    <xf numFmtId="3" fontId="9" fillId="0" borderId="25" xfId="0" applyNumberFormat="1" applyFont="1" applyFill="1" applyBorder="1" applyAlignment="1">
      <alignment/>
    </xf>
    <xf numFmtId="4" fontId="9" fillId="0" borderId="25" xfId="0" applyNumberFormat="1" applyFont="1" applyFill="1" applyBorder="1" applyAlignment="1">
      <alignment horizontal="right"/>
    </xf>
    <xf numFmtId="2" fontId="9" fillId="0" borderId="25" xfId="0" applyNumberFormat="1" applyFont="1" applyFill="1" applyBorder="1" applyAlignment="1">
      <alignment/>
    </xf>
    <xf numFmtId="2" fontId="9" fillId="0" borderId="26" xfId="0" applyNumberFormat="1" applyFont="1" applyFill="1" applyBorder="1" applyAlignment="1">
      <alignment/>
    </xf>
    <xf numFmtId="0" fontId="3" fillId="0" borderId="13" xfId="0" applyFont="1" applyFill="1" applyBorder="1" applyAlignment="1">
      <alignment shrinkToFit="1"/>
    </xf>
    <xf numFmtId="4" fontId="10" fillId="0" borderId="30" xfId="0" applyNumberFormat="1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/>
    </xf>
    <xf numFmtId="2" fontId="9" fillId="0" borderId="14" xfId="0" applyNumberFormat="1" applyFont="1" applyFill="1" applyBorder="1" applyAlignment="1">
      <alignment/>
    </xf>
    <xf numFmtId="2" fontId="9" fillId="0" borderId="15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2" fontId="9" fillId="0" borderId="19" xfId="0" applyNumberFormat="1" applyFont="1" applyFill="1" applyBorder="1" applyAlignment="1">
      <alignment/>
    </xf>
    <xf numFmtId="2" fontId="9" fillId="0" borderId="20" xfId="0" applyNumberFormat="1" applyFont="1" applyFill="1" applyBorder="1" applyAlignment="1">
      <alignment/>
    </xf>
    <xf numFmtId="3" fontId="9" fillId="0" borderId="18" xfId="0" applyNumberFormat="1" applyFont="1" applyFill="1" applyBorder="1" applyAlignment="1">
      <alignment/>
    </xf>
    <xf numFmtId="2" fontId="9" fillId="0" borderId="18" xfId="0" applyNumberFormat="1" applyFont="1" applyFill="1" applyBorder="1" applyAlignment="1">
      <alignment/>
    </xf>
    <xf numFmtId="2" fontId="9" fillId="0" borderId="22" xfId="0" applyNumberFormat="1" applyFont="1" applyFill="1" applyBorder="1" applyAlignment="1">
      <alignment/>
    </xf>
    <xf numFmtId="0" fontId="12" fillId="0" borderId="16" xfId="0" applyFont="1" applyFill="1" applyBorder="1" applyAlignment="1">
      <alignment shrinkToFit="1"/>
    </xf>
    <xf numFmtId="3" fontId="10" fillId="0" borderId="30" xfId="0" applyNumberFormat="1" applyFont="1" applyFill="1" applyBorder="1" applyAlignment="1">
      <alignment/>
    </xf>
    <xf numFmtId="3" fontId="9" fillId="0" borderId="30" xfId="0" applyNumberFormat="1" applyFont="1" applyFill="1" applyBorder="1" applyAlignment="1">
      <alignment/>
    </xf>
    <xf numFmtId="2" fontId="9" fillId="0" borderId="30" xfId="0" applyNumberFormat="1" applyFont="1" applyFill="1" applyBorder="1" applyAlignment="1">
      <alignment/>
    </xf>
    <xf numFmtId="2" fontId="9" fillId="0" borderId="33" xfId="0" applyNumberFormat="1" applyFont="1" applyFill="1" applyBorder="1" applyAlignment="1">
      <alignment/>
    </xf>
    <xf numFmtId="0" fontId="12" fillId="0" borderId="34" xfId="0" applyFont="1" applyFill="1" applyBorder="1" applyAlignment="1">
      <alignment shrinkToFit="1"/>
    </xf>
    <xf numFmtId="3" fontId="9" fillId="0" borderId="16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 horizontal="right"/>
    </xf>
    <xf numFmtId="4" fontId="9" fillId="0" borderId="16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 horizontal="right"/>
    </xf>
    <xf numFmtId="0" fontId="12" fillId="0" borderId="34" xfId="0" applyFont="1" applyFill="1" applyBorder="1" applyAlignment="1">
      <alignment shrinkToFit="1"/>
    </xf>
    <xf numFmtId="4" fontId="9" fillId="0" borderId="18" xfId="0" applyNumberFormat="1" applyFont="1" applyFill="1" applyBorder="1" applyAlignment="1">
      <alignment horizontal="right"/>
    </xf>
    <xf numFmtId="0" fontId="3" fillId="0" borderId="35" xfId="0" applyFont="1" applyFill="1" applyBorder="1" applyAlignment="1">
      <alignment shrinkToFit="1"/>
    </xf>
    <xf numFmtId="3" fontId="10" fillId="0" borderId="25" xfId="0" applyNumberFormat="1" applyFont="1" applyFill="1" applyBorder="1" applyAlignment="1">
      <alignment/>
    </xf>
    <xf numFmtId="4" fontId="10" fillId="0" borderId="25" xfId="0" applyNumberFormat="1" applyFont="1" applyFill="1" applyBorder="1" applyAlignment="1">
      <alignment horizontal="right"/>
    </xf>
    <xf numFmtId="0" fontId="12" fillId="0" borderId="21" xfId="0" applyFont="1" applyFill="1" applyBorder="1" applyAlignment="1">
      <alignment shrinkToFit="1"/>
    </xf>
    <xf numFmtId="3" fontId="9" fillId="0" borderId="25" xfId="0" applyNumberFormat="1" applyFont="1" applyFill="1" applyBorder="1" applyAlignment="1">
      <alignment/>
    </xf>
    <xf numFmtId="4" fontId="9" fillId="0" borderId="25" xfId="0" applyNumberFormat="1" applyFont="1" applyFill="1" applyBorder="1" applyAlignment="1">
      <alignment/>
    </xf>
    <xf numFmtId="2" fontId="9" fillId="0" borderId="19" xfId="0" applyNumberFormat="1" applyFont="1" applyFill="1" applyBorder="1" applyAlignment="1">
      <alignment/>
    </xf>
    <xf numFmtId="4" fontId="9" fillId="0" borderId="26" xfId="0" applyNumberFormat="1" applyFont="1" applyFill="1" applyBorder="1" applyAlignment="1">
      <alignment/>
    </xf>
    <xf numFmtId="3" fontId="9" fillId="0" borderId="18" xfId="0" applyNumberFormat="1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2" fontId="9" fillId="0" borderId="18" xfId="0" applyNumberFormat="1" applyFont="1" applyFill="1" applyBorder="1" applyAlignment="1">
      <alignment/>
    </xf>
    <xf numFmtId="4" fontId="9" fillId="0" borderId="22" xfId="0" applyNumberFormat="1" applyFont="1" applyFill="1" applyBorder="1" applyAlignment="1">
      <alignment/>
    </xf>
    <xf numFmtId="2" fontId="9" fillId="0" borderId="36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justify"/>
    </xf>
    <xf numFmtId="166" fontId="3" fillId="0" borderId="0" xfId="0" applyNumberFormat="1" applyFont="1" applyFill="1" applyAlignment="1">
      <alignment horizontal="right"/>
    </xf>
    <xf numFmtId="2" fontId="3" fillId="0" borderId="33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2"/>
  <sheetViews>
    <sheetView tabSelected="1" zoomScalePageLayoutView="0" workbookViewId="0" topLeftCell="A1">
      <selection activeCell="A37" sqref="A37:IV43"/>
    </sheetView>
  </sheetViews>
  <sheetFormatPr defaultColWidth="9.00390625" defaultRowHeight="12.75"/>
  <cols>
    <col min="1" max="1" width="25.00390625" style="1" customWidth="1"/>
    <col min="2" max="2" width="10.125" style="1" customWidth="1"/>
    <col min="3" max="3" width="10.75390625" style="1" customWidth="1"/>
    <col min="4" max="4" width="9.625" style="74" customWidth="1"/>
    <col min="5" max="5" width="11.375" style="1" customWidth="1"/>
    <col min="6" max="6" width="10.375" style="1" customWidth="1"/>
    <col min="7" max="7" width="11.875" style="1" customWidth="1"/>
    <col min="8" max="8" width="9.375" style="1" customWidth="1"/>
    <col min="9" max="9" width="9.875" style="1" customWidth="1"/>
    <col min="10" max="10" width="9.75390625" style="1" customWidth="1"/>
    <col min="11" max="11" width="11.75390625" style="1" customWidth="1"/>
    <col min="12" max="12" width="13.375" style="1" customWidth="1"/>
    <col min="13" max="16384" width="9.125" style="1" customWidth="1"/>
  </cols>
  <sheetData>
    <row r="1" spans="1:12" ht="12.75">
      <c r="A1" s="37"/>
      <c r="B1" s="37"/>
      <c r="C1" s="37"/>
      <c r="D1" s="71"/>
      <c r="E1" s="37"/>
      <c r="F1" s="37"/>
      <c r="G1" s="37"/>
      <c r="H1" s="37"/>
      <c r="I1" s="37"/>
      <c r="J1" s="37"/>
      <c r="K1" s="208" t="s">
        <v>29</v>
      </c>
      <c r="L1" s="208"/>
    </row>
    <row r="2" spans="1:12" ht="12.75">
      <c r="A2" s="209" t="s">
        <v>103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 ht="12.75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</row>
    <row r="4" spans="1:12" ht="13.5" thickBot="1">
      <c r="A4" s="58"/>
      <c r="B4" s="58"/>
      <c r="C4" s="58"/>
      <c r="D4" s="72"/>
      <c r="E4" s="43"/>
      <c r="F4" s="44"/>
      <c r="G4" s="43"/>
      <c r="H4" s="44"/>
      <c r="I4" s="44"/>
      <c r="J4" s="44"/>
      <c r="K4" s="45"/>
      <c r="L4" s="54" t="s">
        <v>0</v>
      </c>
    </row>
    <row r="5" spans="1:12" ht="92.25" customHeight="1" thickBot="1">
      <c r="A5" s="38" t="s">
        <v>2</v>
      </c>
      <c r="B5" s="46" t="s">
        <v>67</v>
      </c>
      <c r="C5" s="46" t="s">
        <v>62</v>
      </c>
      <c r="D5" s="47" t="s">
        <v>68</v>
      </c>
      <c r="E5" s="46" t="s">
        <v>58</v>
      </c>
      <c r="F5" s="47" t="s">
        <v>69</v>
      </c>
      <c r="G5" s="46" t="s">
        <v>70</v>
      </c>
      <c r="H5" s="47" t="s">
        <v>71</v>
      </c>
      <c r="I5" s="47" t="s">
        <v>74</v>
      </c>
      <c r="J5" s="47" t="s">
        <v>46</v>
      </c>
      <c r="K5" s="48" t="s">
        <v>72</v>
      </c>
      <c r="L5" s="55" t="s">
        <v>73</v>
      </c>
    </row>
    <row r="6" spans="1:14" ht="12.75">
      <c r="A6" s="14" t="s">
        <v>17</v>
      </c>
      <c r="B6" s="15">
        <f>86113+14820+3400+28270+47370+7111+2585+2516+500+258744+6500</f>
        <v>457929</v>
      </c>
      <c r="C6" s="15"/>
      <c r="D6" s="155">
        <f aca="true" t="shared" si="0" ref="D6:D19">SUM(C6/B6)*100</f>
        <v>0</v>
      </c>
      <c r="E6" s="16"/>
      <c r="F6" s="17">
        <f aca="true" t="shared" si="1" ref="F6:F18">SUM(E6/B6)*100</f>
        <v>0</v>
      </c>
      <c r="G6" s="16"/>
      <c r="H6" s="17">
        <f aca="true" t="shared" si="2" ref="H6:H19">SUM(G6/B6*100)</f>
        <v>0</v>
      </c>
      <c r="I6" s="16">
        <f>100+3297+666-453</f>
        <v>3610</v>
      </c>
      <c r="J6" s="17">
        <f>SUM(I6/B6*100)</f>
        <v>0.7883318156308075</v>
      </c>
      <c r="K6" s="21">
        <f>SUM(B6-C6-E6-G6-I6)</f>
        <v>454319</v>
      </c>
      <c r="L6" s="18">
        <f aca="true" t="shared" si="3" ref="L6:L18">SUM(K6/B6)*100</f>
        <v>99.21166818436919</v>
      </c>
      <c r="N6" s="3"/>
    </row>
    <row r="7" spans="1:18" ht="12.75">
      <c r="A7" s="14" t="s">
        <v>18</v>
      </c>
      <c r="B7" s="20">
        <f>5180712-'kötelező2019.'!C11</f>
        <v>1691547</v>
      </c>
      <c r="C7" s="20">
        <f>407753+65</f>
        <v>407818</v>
      </c>
      <c r="D7" s="156">
        <f t="shared" si="0"/>
        <v>24.109173437096338</v>
      </c>
      <c r="E7" s="21"/>
      <c r="F7" s="22">
        <f t="shared" si="1"/>
        <v>0</v>
      </c>
      <c r="G7" s="21"/>
      <c r="H7" s="22">
        <f t="shared" si="2"/>
        <v>0</v>
      </c>
      <c r="I7" s="21">
        <f>97554+2719</f>
        <v>100273</v>
      </c>
      <c r="J7" s="17">
        <f aca="true" t="shared" si="4" ref="J7:J30">SUM(I7/B7*100)</f>
        <v>5.92788731261975</v>
      </c>
      <c r="K7" s="21">
        <f aca="true" t="shared" si="5" ref="K7:K18">SUM(B7-C7-E7-G7-I7)</f>
        <v>1183456</v>
      </c>
      <c r="L7" s="23">
        <f t="shared" si="3"/>
        <v>69.96293925028391</v>
      </c>
      <c r="R7" s="3"/>
    </row>
    <row r="8" spans="1:18" ht="12.75">
      <c r="A8" s="19" t="s">
        <v>56</v>
      </c>
      <c r="B8" s="130">
        <f>1438097-'kötelező2019.'!C12-B33</f>
        <v>1228553</v>
      </c>
      <c r="C8" s="20">
        <v>741940</v>
      </c>
      <c r="D8" s="156">
        <f t="shared" si="0"/>
        <v>60.391370986843874</v>
      </c>
      <c r="E8" s="21"/>
      <c r="F8" s="22">
        <f t="shared" si="1"/>
        <v>0</v>
      </c>
      <c r="G8" s="21"/>
      <c r="H8" s="22">
        <f t="shared" si="2"/>
        <v>0</v>
      </c>
      <c r="I8" s="21">
        <v>7562</v>
      </c>
      <c r="J8" s="17">
        <f t="shared" si="4"/>
        <v>0.6155208607198875</v>
      </c>
      <c r="K8" s="21">
        <f t="shared" si="5"/>
        <v>479051</v>
      </c>
      <c r="L8" s="23">
        <f t="shared" si="3"/>
        <v>38.99310815243624</v>
      </c>
      <c r="R8" s="3"/>
    </row>
    <row r="9" spans="1:18" ht="12.75">
      <c r="A9" s="19" t="s">
        <v>13</v>
      </c>
      <c r="B9" s="20">
        <v>58225</v>
      </c>
      <c r="C9" s="20"/>
      <c r="D9" s="156">
        <f t="shared" si="0"/>
        <v>0</v>
      </c>
      <c r="E9" s="21"/>
      <c r="F9" s="22">
        <f>SUM(E9/B9)*100</f>
        <v>0</v>
      </c>
      <c r="G9" s="21"/>
      <c r="H9" s="22">
        <f t="shared" si="2"/>
        <v>0</v>
      </c>
      <c r="I9" s="21"/>
      <c r="J9" s="17">
        <f>SUM(I9/B9*100)</f>
        <v>0</v>
      </c>
      <c r="K9" s="21">
        <f>SUM(B9-C9-E9-G9-I9)</f>
        <v>58225</v>
      </c>
      <c r="L9" s="23">
        <f t="shared" si="3"/>
        <v>100</v>
      </c>
      <c r="R9" s="3"/>
    </row>
    <row r="10" spans="1:12" ht="12.75">
      <c r="A10" s="19" t="s">
        <v>14</v>
      </c>
      <c r="B10" s="20">
        <f>637952-'kötelező2019.'!C10</f>
        <v>28716</v>
      </c>
      <c r="C10" s="20"/>
      <c r="D10" s="156">
        <f t="shared" si="0"/>
        <v>0</v>
      </c>
      <c r="E10" s="21"/>
      <c r="F10" s="22">
        <f>SUM(E10/B10)*100</f>
        <v>0</v>
      </c>
      <c r="G10" s="21"/>
      <c r="H10" s="22">
        <f t="shared" si="2"/>
        <v>0</v>
      </c>
      <c r="I10" s="21"/>
      <c r="J10" s="17">
        <f>SUM(I10/B10*100)</f>
        <v>0</v>
      </c>
      <c r="K10" s="21">
        <f>SUM(B10-C10-E10-G10-I10)</f>
        <v>28716</v>
      </c>
      <c r="L10" s="23">
        <f t="shared" si="3"/>
        <v>100</v>
      </c>
    </row>
    <row r="11" spans="1:12" ht="12.75">
      <c r="A11" s="19" t="s">
        <v>1</v>
      </c>
      <c r="B11" s="20">
        <v>9396</v>
      </c>
      <c r="C11" s="20"/>
      <c r="D11" s="156">
        <f t="shared" si="0"/>
        <v>0</v>
      </c>
      <c r="E11" s="21"/>
      <c r="F11" s="22">
        <f t="shared" si="1"/>
        <v>0</v>
      </c>
      <c r="G11" s="21"/>
      <c r="H11" s="22">
        <f t="shared" si="2"/>
        <v>0</v>
      </c>
      <c r="I11" s="21"/>
      <c r="J11" s="17">
        <f t="shared" si="4"/>
        <v>0</v>
      </c>
      <c r="K11" s="21">
        <f t="shared" si="5"/>
        <v>9396</v>
      </c>
      <c r="L11" s="23">
        <f t="shared" si="3"/>
        <v>100</v>
      </c>
    </row>
    <row r="12" spans="1:12" ht="12.75">
      <c r="A12" s="19" t="s">
        <v>22</v>
      </c>
      <c r="B12" s="20">
        <v>66180</v>
      </c>
      <c r="C12" s="20"/>
      <c r="D12" s="156">
        <f t="shared" si="0"/>
        <v>0</v>
      </c>
      <c r="E12" s="21"/>
      <c r="F12" s="22">
        <f t="shared" si="1"/>
        <v>0</v>
      </c>
      <c r="G12" s="21"/>
      <c r="H12" s="22">
        <f t="shared" si="2"/>
        <v>0</v>
      </c>
      <c r="I12" s="21"/>
      <c r="J12" s="17">
        <f t="shared" si="4"/>
        <v>0</v>
      </c>
      <c r="K12" s="21">
        <f t="shared" si="5"/>
        <v>66180</v>
      </c>
      <c r="L12" s="23">
        <f t="shared" si="3"/>
        <v>100</v>
      </c>
    </row>
    <row r="13" spans="1:12" ht="12.75">
      <c r="A13" s="19" t="s">
        <v>23</v>
      </c>
      <c r="B13" s="20">
        <f>435573-'kötelező2019.'!C6</f>
        <v>418009</v>
      </c>
      <c r="C13" s="20"/>
      <c r="D13" s="156">
        <f t="shared" si="0"/>
        <v>0</v>
      </c>
      <c r="E13" s="21"/>
      <c r="F13" s="22">
        <f t="shared" si="1"/>
        <v>0</v>
      </c>
      <c r="G13" s="21"/>
      <c r="H13" s="22">
        <f t="shared" si="2"/>
        <v>0</v>
      </c>
      <c r="I13" s="21">
        <v>332</v>
      </c>
      <c r="J13" s="17">
        <f t="shared" si="4"/>
        <v>0.07942412723171033</v>
      </c>
      <c r="K13" s="21">
        <f t="shared" si="5"/>
        <v>417677</v>
      </c>
      <c r="L13" s="23">
        <f t="shared" si="3"/>
        <v>99.9205758727683</v>
      </c>
    </row>
    <row r="14" spans="1:12" ht="12.75">
      <c r="A14" s="157" t="s">
        <v>108</v>
      </c>
      <c r="B14" s="20">
        <f>29154+61000</f>
        <v>90154</v>
      </c>
      <c r="C14" s="20"/>
      <c r="D14" s="156">
        <f t="shared" si="0"/>
        <v>0</v>
      </c>
      <c r="E14" s="21"/>
      <c r="F14" s="22">
        <f t="shared" si="1"/>
        <v>0</v>
      </c>
      <c r="G14" s="21"/>
      <c r="H14" s="22">
        <f t="shared" si="2"/>
        <v>0</v>
      </c>
      <c r="I14" s="21">
        <v>326</v>
      </c>
      <c r="J14" s="17">
        <f t="shared" si="4"/>
        <v>0.3616034784923575</v>
      </c>
      <c r="K14" s="21">
        <f t="shared" si="5"/>
        <v>89828</v>
      </c>
      <c r="L14" s="23">
        <f t="shared" si="3"/>
        <v>99.63839652150764</v>
      </c>
    </row>
    <row r="15" spans="1:12" ht="12.75">
      <c r="A15" s="157" t="s">
        <v>109</v>
      </c>
      <c r="B15" s="20">
        <v>3363</v>
      </c>
      <c r="C15" s="20"/>
      <c r="D15" s="156">
        <f t="shared" si="0"/>
        <v>0</v>
      </c>
      <c r="E15" s="21"/>
      <c r="F15" s="22">
        <f t="shared" si="1"/>
        <v>0</v>
      </c>
      <c r="G15" s="21"/>
      <c r="H15" s="22">
        <f t="shared" si="2"/>
        <v>0</v>
      </c>
      <c r="I15" s="21">
        <v>563</v>
      </c>
      <c r="J15" s="17">
        <f t="shared" si="4"/>
        <v>16.741005055010408</v>
      </c>
      <c r="K15" s="21">
        <f t="shared" si="5"/>
        <v>2800</v>
      </c>
      <c r="L15" s="23">
        <f t="shared" si="3"/>
        <v>83.2589949449896</v>
      </c>
    </row>
    <row r="16" spans="1:12" ht="12.75">
      <c r="A16" s="157" t="s">
        <v>110</v>
      </c>
      <c r="B16" s="20">
        <f>10302+43362</f>
        <v>53664</v>
      </c>
      <c r="C16" s="20"/>
      <c r="D16" s="156">
        <f t="shared" si="0"/>
        <v>0</v>
      </c>
      <c r="E16" s="21"/>
      <c r="F16" s="22">
        <f t="shared" si="1"/>
        <v>0</v>
      </c>
      <c r="G16" s="21"/>
      <c r="H16" s="22">
        <f t="shared" si="2"/>
        <v>0</v>
      </c>
      <c r="I16" s="21">
        <f>3400+1650</f>
        <v>5050</v>
      </c>
      <c r="J16" s="17">
        <f t="shared" si="4"/>
        <v>9.41040548598688</v>
      </c>
      <c r="K16" s="21">
        <f t="shared" si="5"/>
        <v>48614</v>
      </c>
      <c r="L16" s="23">
        <f t="shared" si="3"/>
        <v>90.58959451401311</v>
      </c>
    </row>
    <row r="17" spans="1:12" ht="12.75">
      <c r="A17" s="157" t="s">
        <v>111</v>
      </c>
      <c r="B17" s="20">
        <f>2004+11683</f>
        <v>13687</v>
      </c>
      <c r="C17" s="20"/>
      <c r="D17" s="156">
        <f t="shared" si="0"/>
        <v>0</v>
      </c>
      <c r="E17" s="21"/>
      <c r="F17" s="22">
        <f t="shared" si="1"/>
        <v>0</v>
      </c>
      <c r="G17" s="21"/>
      <c r="H17" s="22">
        <f t="shared" si="2"/>
        <v>0</v>
      </c>
      <c r="I17" s="21">
        <v>373</v>
      </c>
      <c r="J17" s="17">
        <f t="shared" si="4"/>
        <v>2.7252137064367647</v>
      </c>
      <c r="K17" s="21">
        <f t="shared" si="5"/>
        <v>13314</v>
      </c>
      <c r="L17" s="23">
        <f t="shared" si="3"/>
        <v>97.27478629356324</v>
      </c>
    </row>
    <row r="18" spans="1:12" ht="13.5" thickBot="1">
      <c r="A18" s="157" t="s">
        <v>112</v>
      </c>
      <c r="B18" s="20">
        <v>6265</v>
      </c>
      <c r="C18" s="20"/>
      <c r="D18" s="156">
        <f t="shared" si="0"/>
        <v>0</v>
      </c>
      <c r="E18" s="21"/>
      <c r="F18" s="22">
        <f t="shared" si="1"/>
        <v>0</v>
      </c>
      <c r="G18" s="21"/>
      <c r="H18" s="22">
        <f t="shared" si="2"/>
        <v>0</v>
      </c>
      <c r="I18" s="21">
        <v>770</v>
      </c>
      <c r="J18" s="17">
        <f t="shared" si="4"/>
        <v>12.290502793296088</v>
      </c>
      <c r="K18" s="21">
        <f t="shared" si="5"/>
        <v>5495</v>
      </c>
      <c r="L18" s="23">
        <f t="shared" si="3"/>
        <v>87.70949720670392</v>
      </c>
    </row>
    <row r="19" spans="1:12" s="31" customFormat="1" ht="13.5" thickBot="1">
      <c r="A19" s="28" t="s">
        <v>37</v>
      </c>
      <c r="B19" s="25">
        <f>SUM(B6:B18)</f>
        <v>4125688</v>
      </c>
      <c r="C19" s="25">
        <f>SUM(C6:C18)</f>
        <v>1149758</v>
      </c>
      <c r="D19" s="158">
        <f t="shared" si="0"/>
        <v>27.868273121961717</v>
      </c>
      <c r="E19" s="25">
        <f>SUM(E6:E13)</f>
        <v>0</v>
      </c>
      <c r="F19" s="57">
        <f>SUM(E19/B19*100)</f>
        <v>0</v>
      </c>
      <c r="G19" s="25">
        <f>SUM(G6:G18)</f>
        <v>0</v>
      </c>
      <c r="H19" s="29">
        <f t="shared" si="2"/>
        <v>0</v>
      </c>
      <c r="I19" s="25">
        <f>SUM(I6:I18)</f>
        <v>118859</v>
      </c>
      <c r="J19" s="29">
        <f t="shared" si="4"/>
        <v>2.8809497955250127</v>
      </c>
      <c r="K19" s="25">
        <f>SUM(K6:K18)</f>
        <v>2857071</v>
      </c>
      <c r="L19" s="42">
        <f>SUM(K19/B19)*100</f>
        <v>69.25077708251327</v>
      </c>
    </row>
    <row r="20" spans="1:12" ht="12.75">
      <c r="A20" s="159" t="s">
        <v>19</v>
      </c>
      <c r="B20" s="15">
        <v>73234</v>
      </c>
      <c r="C20" s="15">
        <v>1222</v>
      </c>
      <c r="D20" s="155">
        <f aca="true" t="shared" si="6" ref="D20:D30">SUM(C20/B20)*100</f>
        <v>1.6686238632329247</v>
      </c>
      <c r="E20" s="148">
        <v>65</v>
      </c>
      <c r="F20" s="17">
        <f aca="true" t="shared" si="7" ref="F20:F30">SUM(E20/B20)*100</f>
        <v>0.08875658846983642</v>
      </c>
      <c r="G20" s="148">
        <v>101023</v>
      </c>
      <c r="H20" s="17">
        <f aca="true" t="shared" si="8" ref="H20:H26">SUM(G20/B20*100)</f>
        <v>137.94548979981977</v>
      </c>
      <c r="I20" s="16">
        <v>54</v>
      </c>
      <c r="J20" s="17">
        <f t="shared" si="4"/>
        <v>0.07373624272878718</v>
      </c>
      <c r="K20" s="16">
        <f aca="true" t="shared" si="9" ref="K20:K25">SUM(B20-C20-E20-G20-I20)</f>
        <v>-29130</v>
      </c>
      <c r="L20" s="18">
        <f aca="true" t="shared" si="10" ref="L20:L29">SUM(K20/B20)*100</f>
        <v>-39.776606494251304</v>
      </c>
    </row>
    <row r="21" spans="1:12" ht="12.75">
      <c r="A21" s="144" t="s">
        <v>31</v>
      </c>
      <c r="B21" s="20">
        <v>1113159</v>
      </c>
      <c r="C21" s="20">
        <v>74068</v>
      </c>
      <c r="D21" s="156">
        <f t="shared" si="6"/>
        <v>6.653856277494949</v>
      </c>
      <c r="E21" s="145">
        <v>3370</v>
      </c>
      <c r="F21" s="22">
        <f t="shared" si="7"/>
        <v>0.3027420161899603</v>
      </c>
      <c r="G21" s="145">
        <v>605878</v>
      </c>
      <c r="H21" s="22">
        <f t="shared" si="8"/>
        <v>54.42870245849875</v>
      </c>
      <c r="I21" s="16">
        <f>49738+1397</f>
        <v>51135</v>
      </c>
      <c r="J21" s="17">
        <f t="shared" si="4"/>
        <v>4.593683382158344</v>
      </c>
      <c r="K21" s="16">
        <f t="shared" si="9"/>
        <v>378708</v>
      </c>
      <c r="L21" s="23">
        <f t="shared" si="10"/>
        <v>34.02101586565801</v>
      </c>
    </row>
    <row r="22" spans="1:12" ht="12.75">
      <c r="A22" s="144" t="s">
        <v>20</v>
      </c>
      <c r="B22" s="20">
        <v>102527</v>
      </c>
      <c r="C22" s="20">
        <v>21972</v>
      </c>
      <c r="D22" s="156">
        <f t="shared" si="6"/>
        <v>21.430452466179638</v>
      </c>
      <c r="E22" s="145">
        <v>604</v>
      </c>
      <c r="F22" s="22">
        <f t="shared" si="7"/>
        <v>0.589113111668146</v>
      </c>
      <c r="G22" s="145">
        <v>82328</v>
      </c>
      <c r="H22" s="22">
        <f t="shared" si="8"/>
        <v>80.29884810830318</v>
      </c>
      <c r="I22" s="16">
        <v>7000</v>
      </c>
      <c r="J22" s="17">
        <f t="shared" si="4"/>
        <v>6.827469837213612</v>
      </c>
      <c r="K22" s="16">
        <f t="shared" si="9"/>
        <v>-9377</v>
      </c>
      <c r="L22" s="23">
        <f t="shared" si="10"/>
        <v>-9.145883523364578</v>
      </c>
    </row>
    <row r="23" spans="1:12" ht="12.75">
      <c r="A23" s="144" t="s">
        <v>21</v>
      </c>
      <c r="B23" s="20">
        <v>58587</v>
      </c>
      <c r="C23" s="20">
        <v>12</v>
      </c>
      <c r="D23" s="156">
        <f t="shared" si="6"/>
        <v>0.020482359567822215</v>
      </c>
      <c r="E23" s="145"/>
      <c r="F23" s="22">
        <f t="shared" si="7"/>
        <v>0</v>
      </c>
      <c r="G23" s="145">
        <v>71413</v>
      </c>
      <c r="H23" s="22">
        <f t="shared" si="8"/>
        <v>121.89222865140732</v>
      </c>
      <c r="I23" s="16"/>
      <c r="J23" s="17">
        <f t="shared" si="4"/>
        <v>0</v>
      </c>
      <c r="K23" s="16">
        <f t="shared" si="9"/>
        <v>-12838</v>
      </c>
      <c r="L23" s="23">
        <f t="shared" si="10"/>
        <v>-21.91271101097513</v>
      </c>
    </row>
    <row r="24" spans="1:12" ht="12.75">
      <c r="A24" s="144" t="s">
        <v>32</v>
      </c>
      <c r="B24" s="20">
        <v>14645</v>
      </c>
      <c r="C24" s="20">
        <v>25648</v>
      </c>
      <c r="D24" s="156">
        <f t="shared" si="6"/>
        <v>175.13144417890067</v>
      </c>
      <c r="E24" s="145">
        <v>198</v>
      </c>
      <c r="F24" s="22">
        <f t="shared" si="7"/>
        <v>1.3519972686923865</v>
      </c>
      <c r="G24" s="145">
        <v>3194</v>
      </c>
      <c r="H24" s="22">
        <f t="shared" si="8"/>
        <v>21.80949129395698</v>
      </c>
      <c r="I24" s="16"/>
      <c r="J24" s="17">
        <f t="shared" si="4"/>
        <v>0</v>
      </c>
      <c r="K24" s="16">
        <f t="shared" si="9"/>
        <v>-14395</v>
      </c>
      <c r="L24" s="23">
        <f t="shared" si="10"/>
        <v>-98.29293274155002</v>
      </c>
    </row>
    <row r="25" spans="1:12" ht="13.5" thickBot="1">
      <c r="A25" s="151" t="s">
        <v>33</v>
      </c>
      <c r="B25" s="130">
        <v>102527</v>
      </c>
      <c r="C25" s="130">
        <v>1221</v>
      </c>
      <c r="D25" s="160">
        <f t="shared" si="6"/>
        <v>1.1909058101768315</v>
      </c>
      <c r="E25" s="152">
        <v>571</v>
      </c>
      <c r="F25" s="132">
        <f t="shared" si="7"/>
        <v>0.5569264681498532</v>
      </c>
      <c r="G25" s="152">
        <v>14745</v>
      </c>
      <c r="H25" s="132">
        <f t="shared" si="8"/>
        <v>14.381577535673529</v>
      </c>
      <c r="I25" s="33"/>
      <c r="J25" s="17">
        <f t="shared" si="4"/>
        <v>0</v>
      </c>
      <c r="K25" s="16">
        <f t="shared" si="9"/>
        <v>85990</v>
      </c>
      <c r="L25" s="143">
        <f t="shared" si="10"/>
        <v>83.87059018599979</v>
      </c>
    </row>
    <row r="26" spans="1:21" s="31" customFormat="1" ht="13.5" thickBot="1">
      <c r="A26" s="24" t="s">
        <v>41</v>
      </c>
      <c r="B26" s="25">
        <f>SUM(B20:B25)</f>
        <v>1464679</v>
      </c>
      <c r="C26" s="25">
        <f aca="true" t="shared" si="11" ref="C26:K26">SUM(C20:C25)</f>
        <v>124143</v>
      </c>
      <c r="D26" s="88">
        <f t="shared" si="6"/>
        <v>8.475782065558391</v>
      </c>
      <c r="E26" s="25">
        <f t="shared" si="11"/>
        <v>4808</v>
      </c>
      <c r="F26" s="29">
        <f t="shared" si="7"/>
        <v>0.3282630528600465</v>
      </c>
      <c r="G26" s="25">
        <f t="shared" si="11"/>
        <v>878581</v>
      </c>
      <c r="H26" s="29">
        <f t="shared" si="8"/>
        <v>59.98454268819311</v>
      </c>
      <c r="I26" s="25">
        <f>SUM(I20:I25)</f>
        <v>58189</v>
      </c>
      <c r="J26" s="29">
        <f t="shared" si="4"/>
        <v>3.972815886620891</v>
      </c>
      <c r="K26" s="25">
        <f t="shared" si="11"/>
        <v>398958</v>
      </c>
      <c r="L26" s="42">
        <f t="shared" si="10"/>
        <v>27.23859630676756</v>
      </c>
      <c r="N26" s="36"/>
      <c r="U26" s="36"/>
    </row>
    <row r="27" spans="1:12" s="81" customFormat="1" ht="12.75">
      <c r="A27" s="161" t="s">
        <v>53</v>
      </c>
      <c r="B27" s="32">
        <f>2704199-'kötelező2019.'!C25-'kötelező2019.'!C26-B28</f>
        <v>497522</v>
      </c>
      <c r="C27" s="32"/>
      <c r="D27" s="162">
        <f t="shared" si="6"/>
        <v>0</v>
      </c>
      <c r="E27" s="32"/>
      <c r="F27" s="34">
        <f t="shared" si="7"/>
        <v>0</v>
      </c>
      <c r="G27" s="32"/>
      <c r="H27" s="34">
        <f>SUM(G27/B27*100)</f>
        <v>0</v>
      </c>
      <c r="I27" s="32">
        <v>78064</v>
      </c>
      <c r="J27" s="34">
        <f t="shared" si="4"/>
        <v>15.690562427390145</v>
      </c>
      <c r="K27" s="33">
        <f>SUM(B27-C27-E27-G27-I27)</f>
        <v>419458</v>
      </c>
      <c r="L27" s="35">
        <f t="shared" si="10"/>
        <v>84.30943757260985</v>
      </c>
    </row>
    <row r="28" spans="1:21" ht="13.5" thickBot="1">
      <c r="A28" s="39" t="s">
        <v>34</v>
      </c>
      <c r="B28" s="26">
        <v>2550</v>
      </c>
      <c r="C28" s="26"/>
      <c r="D28" s="163">
        <f t="shared" si="6"/>
        <v>0</v>
      </c>
      <c r="E28" s="27"/>
      <c r="F28" s="40">
        <f t="shared" si="7"/>
        <v>0</v>
      </c>
      <c r="G28" s="27"/>
      <c r="H28" s="40">
        <f>SUM(G28/B28*100)</f>
        <v>0</v>
      </c>
      <c r="I28" s="27"/>
      <c r="J28" s="40">
        <f t="shared" si="4"/>
        <v>0</v>
      </c>
      <c r="K28" s="27">
        <f>SUM(B28-C28-E28-G28-I28)</f>
        <v>2550</v>
      </c>
      <c r="L28" s="41">
        <f t="shared" si="10"/>
        <v>100</v>
      </c>
      <c r="U28" s="3"/>
    </row>
    <row r="29" spans="1:12" s="31" customFormat="1" ht="13.5" thickBot="1">
      <c r="A29" s="28" t="s">
        <v>38</v>
      </c>
      <c r="B29" s="25">
        <f>SUM(B27:B28)</f>
        <v>500072</v>
      </c>
      <c r="C29" s="25">
        <f>SUM(C27:C28)</f>
        <v>0</v>
      </c>
      <c r="D29" s="88">
        <f t="shared" si="6"/>
        <v>0</v>
      </c>
      <c r="E29" s="25">
        <f>SUM(E28)</f>
        <v>0</v>
      </c>
      <c r="F29" s="29">
        <f t="shared" si="7"/>
        <v>0</v>
      </c>
      <c r="G29" s="25">
        <f>SUM(G27:G28)</f>
        <v>0</v>
      </c>
      <c r="H29" s="29">
        <f>SUM(H28)</f>
        <v>0</v>
      </c>
      <c r="I29" s="25">
        <f>SUM(I27:I28)</f>
        <v>78064</v>
      </c>
      <c r="J29" s="29">
        <f t="shared" si="4"/>
        <v>15.610552080500408</v>
      </c>
      <c r="K29" s="25">
        <f>SUM(K27:K28)</f>
        <v>422008</v>
      </c>
      <c r="L29" s="42">
        <f t="shared" si="10"/>
        <v>84.38944791949959</v>
      </c>
    </row>
    <row r="30" spans="1:21" s="31" customFormat="1" ht="13.5" thickBot="1">
      <c r="A30" s="24" t="s">
        <v>16</v>
      </c>
      <c r="B30" s="25">
        <f>SUM(B29,B26,B19)</f>
        <v>6090439</v>
      </c>
      <c r="C30" s="25">
        <f>SUM(C29,C26,C19)</f>
        <v>1273901</v>
      </c>
      <c r="D30" s="88">
        <f t="shared" si="6"/>
        <v>20.916406846862763</v>
      </c>
      <c r="E30" s="25">
        <f>SUM(E29,E26,E19)</f>
        <v>4808</v>
      </c>
      <c r="F30" s="29">
        <f t="shared" si="7"/>
        <v>0.07894340621423185</v>
      </c>
      <c r="G30" s="25">
        <f>SUM(G29,G26,G19)</f>
        <v>878581</v>
      </c>
      <c r="H30" s="29">
        <f>SUM(G30/B30*100)</f>
        <v>14.42557753225999</v>
      </c>
      <c r="I30" s="25">
        <f>SUM(I29,I26,I19)</f>
        <v>255112</v>
      </c>
      <c r="J30" s="29">
        <f t="shared" si="4"/>
        <v>4.1887292525218625</v>
      </c>
      <c r="K30" s="25">
        <f>SUM(K29,K26,K19)</f>
        <v>3678037</v>
      </c>
      <c r="L30" s="42">
        <f>SUM(K30/B30)*100</f>
        <v>60.390342962141155</v>
      </c>
      <c r="U30" s="36"/>
    </row>
    <row r="31" spans="3:11" ht="12.75">
      <c r="C31" s="6"/>
      <c r="D31" s="73"/>
      <c r="E31" s="3"/>
      <c r="F31" s="2"/>
      <c r="G31" s="3"/>
      <c r="H31" s="2"/>
      <c r="I31" s="2"/>
      <c r="J31" s="2"/>
      <c r="K31" s="6"/>
    </row>
    <row r="32" spans="1:7" s="3" customFormat="1" ht="13.5" thickBot="1">
      <c r="A32" s="62" t="s">
        <v>54</v>
      </c>
      <c r="D32" s="89"/>
      <c r="G32" s="49"/>
    </row>
    <row r="33" spans="1:12" s="3" customFormat="1" ht="13.5" thickBot="1">
      <c r="A33" s="90" t="s">
        <v>55</v>
      </c>
      <c r="B33" s="91">
        <v>36000</v>
      </c>
      <c r="C33" s="91">
        <v>60000</v>
      </c>
      <c r="D33" s="92">
        <f>SUM(C33/B33)*100</f>
        <v>166.66666666666669</v>
      </c>
      <c r="E33" s="91"/>
      <c r="F33" s="91">
        <f>SUM(E33/B33)*100</f>
        <v>0</v>
      </c>
      <c r="G33" s="93"/>
      <c r="H33" s="91">
        <f>SUM(G33/B33*100)</f>
        <v>0</v>
      </c>
      <c r="I33" s="91"/>
      <c r="J33" s="91">
        <f>SUM(I33/B33*100)</f>
        <v>0</v>
      </c>
      <c r="K33" s="91">
        <f>SUM(B33-C33-E33-G33-I33)</f>
        <v>-24000</v>
      </c>
      <c r="L33" s="94">
        <f>SUM(K33/B33)*100</f>
        <v>-66.66666666666666</v>
      </c>
    </row>
    <row r="34" spans="4:7" s="3" customFormat="1" ht="12.75">
      <c r="D34" s="89"/>
      <c r="G34" s="49"/>
    </row>
    <row r="35" s="3" customFormat="1" ht="12.75">
      <c r="D35" s="89"/>
    </row>
    <row r="36" s="3" customFormat="1" ht="12.75">
      <c r="D36" s="89"/>
    </row>
    <row r="37" s="3" customFormat="1" ht="12.75"/>
    <row r="38" s="3" customFormat="1" ht="12.75"/>
    <row r="39" s="3" customFormat="1" ht="12.75"/>
    <row r="40" s="3" customFormat="1" ht="12.75"/>
    <row r="41" s="3" customFormat="1" ht="12.75">
      <c r="D41" s="89"/>
    </row>
    <row r="42" s="3" customFormat="1" ht="12.75">
      <c r="D42" s="89"/>
    </row>
    <row r="43" s="3" customFormat="1" ht="12.75">
      <c r="D43" s="89"/>
    </row>
    <row r="44" s="3" customFormat="1" ht="12.75">
      <c r="D44" s="89"/>
    </row>
    <row r="45" s="3" customFormat="1" ht="12.75">
      <c r="D45" s="89"/>
    </row>
    <row r="46" s="3" customFormat="1" ht="12.75">
      <c r="D46" s="89"/>
    </row>
    <row r="47" s="3" customFormat="1" ht="12.75">
      <c r="D47" s="89"/>
    </row>
    <row r="48" s="3" customFormat="1" ht="12.75">
      <c r="D48" s="89"/>
    </row>
    <row r="49" s="3" customFormat="1" ht="12.75">
      <c r="D49" s="89"/>
    </row>
    <row r="50" s="3" customFormat="1" ht="12.75">
      <c r="D50" s="89"/>
    </row>
    <row r="51" s="3" customFormat="1" ht="12.75">
      <c r="D51" s="89"/>
    </row>
    <row r="52" s="3" customFormat="1" ht="12.75">
      <c r="D52" s="89"/>
    </row>
    <row r="53" s="3" customFormat="1" ht="12.75">
      <c r="D53" s="89"/>
    </row>
    <row r="54" s="3" customFormat="1" ht="12.75">
      <c r="D54" s="89"/>
    </row>
    <row r="55" s="3" customFormat="1" ht="12.75">
      <c r="D55" s="89"/>
    </row>
    <row r="56" s="3" customFormat="1" ht="12.75">
      <c r="D56" s="89"/>
    </row>
    <row r="57" s="3" customFormat="1" ht="12.75">
      <c r="D57" s="89"/>
    </row>
    <row r="58" s="3" customFormat="1" ht="12.75">
      <c r="D58" s="89"/>
    </row>
    <row r="59" s="3" customFormat="1" ht="12.75">
      <c r="D59" s="89"/>
    </row>
    <row r="60" s="3" customFormat="1" ht="12.75">
      <c r="D60" s="89"/>
    </row>
    <row r="61" s="3" customFormat="1" ht="12.75">
      <c r="D61" s="89"/>
    </row>
    <row r="62" s="3" customFormat="1" ht="12.75">
      <c r="D62" s="89"/>
    </row>
    <row r="63" s="3" customFormat="1" ht="12.75">
      <c r="D63" s="89"/>
    </row>
    <row r="64" s="3" customFormat="1" ht="12.75">
      <c r="D64" s="89"/>
    </row>
    <row r="65" s="3" customFormat="1" ht="12.75">
      <c r="D65" s="89"/>
    </row>
    <row r="66" s="3" customFormat="1" ht="12.75">
      <c r="D66" s="89"/>
    </row>
    <row r="67" s="3" customFormat="1" ht="12.75">
      <c r="D67" s="89"/>
    </row>
    <row r="68" s="3" customFormat="1" ht="12.75">
      <c r="D68" s="89"/>
    </row>
    <row r="69" s="3" customFormat="1" ht="12.75">
      <c r="D69" s="89"/>
    </row>
    <row r="70" s="3" customFormat="1" ht="12.75">
      <c r="D70" s="89"/>
    </row>
    <row r="71" s="3" customFormat="1" ht="12.75">
      <c r="D71" s="89"/>
    </row>
    <row r="72" s="3" customFormat="1" ht="12.75">
      <c r="D72" s="89"/>
    </row>
    <row r="73" s="3" customFormat="1" ht="12.75">
      <c r="D73" s="89"/>
    </row>
    <row r="74" s="3" customFormat="1" ht="12.75">
      <c r="D74" s="89"/>
    </row>
    <row r="75" s="3" customFormat="1" ht="12.75">
      <c r="D75" s="89"/>
    </row>
    <row r="76" s="3" customFormat="1" ht="12.75">
      <c r="D76" s="89"/>
    </row>
    <row r="77" s="3" customFormat="1" ht="12.75">
      <c r="D77" s="89"/>
    </row>
    <row r="78" s="3" customFormat="1" ht="12.75">
      <c r="D78" s="89"/>
    </row>
    <row r="79" s="3" customFormat="1" ht="12.75">
      <c r="D79" s="89"/>
    </row>
    <row r="80" s="3" customFormat="1" ht="12.75">
      <c r="D80" s="89"/>
    </row>
    <row r="81" s="3" customFormat="1" ht="12.75">
      <c r="D81" s="89"/>
    </row>
    <row r="82" s="3" customFormat="1" ht="12.75">
      <c r="D82" s="89"/>
    </row>
    <row r="83" s="3" customFormat="1" ht="12.75">
      <c r="D83" s="89"/>
    </row>
    <row r="84" s="3" customFormat="1" ht="12.75">
      <c r="D84" s="89"/>
    </row>
    <row r="85" s="3" customFormat="1" ht="12.75">
      <c r="D85" s="89"/>
    </row>
    <row r="86" s="3" customFormat="1" ht="12.75">
      <c r="D86" s="89"/>
    </row>
    <row r="87" s="3" customFormat="1" ht="12.75">
      <c r="D87" s="89"/>
    </row>
    <row r="88" s="3" customFormat="1" ht="12.75">
      <c r="D88" s="89"/>
    </row>
    <row r="89" s="3" customFormat="1" ht="12.75">
      <c r="D89" s="89"/>
    </row>
    <row r="90" s="3" customFormat="1" ht="12.75">
      <c r="D90" s="89"/>
    </row>
    <row r="91" s="3" customFormat="1" ht="12.75">
      <c r="D91" s="89"/>
    </row>
    <row r="92" s="3" customFormat="1" ht="12.75">
      <c r="D92" s="89"/>
    </row>
    <row r="93" s="3" customFormat="1" ht="12.75">
      <c r="D93" s="89"/>
    </row>
    <row r="94" s="3" customFormat="1" ht="12.75">
      <c r="D94" s="89"/>
    </row>
    <row r="95" s="3" customFormat="1" ht="12.75">
      <c r="D95" s="89"/>
    </row>
    <row r="96" s="3" customFormat="1" ht="12.75">
      <c r="D96" s="89"/>
    </row>
    <row r="97" s="3" customFormat="1" ht="12.75">
      <c r="D97" s="89"/>
    </row>
    <row r="98" s="3" customFormat="1" ht="12.75">
      <c r="D98" s="89"/>
    </row>
    <row r="99" s="3" customFormat="1" ht="12.75">
      <c r="D99" s="89"/>
    </row>
    <row r="100" s="3" customFormat="1" ht="12.75">
      <c r="D100" s="89"/>
    </row>
    <row r="101" s="3" customFormat="1" ht="12.75">
      <c r="D101" s="89"/>
    </row>
    <row r="102" s="3" customFormat="1" ht="12.75">
      <c r="D102" s="89"/>
    </row>
    <row r="103" s="3" customFormat="1" ht="12.75">
      <c r="D103" s="89"/>
    </row>
    <row r="104" s="3" customFormat="1" ht="12.75">
      <c r="D104" s="89"/>
    </row>
    <row r="105" s="3" customFormat="1" ht="12.75">
      <c r="D105" s="89"/>
    </row>
    <row r="106" s="3" customFormat="1" ht="12.75">
      <c r="D106" s="89"/>
    </row>
    <row r="107" s="3" customFormat="1" ht="12.75">
      <c r="D107" s="89"/>
    </row>
    <row r="108" s="3" customFormat="1" ht="12.75">
      <c r="D108" s="89"/>
    </row>
    <row r="109" s="3" customFormat="1" ht="12.75">
      <c r="D109" s="89"/>
    </row>
    <row r="110" s="3" customFormat="1" ht="12.75">
      <c r="D110" s="89"/>
    </row>
    <row r="111" s="3" customFormat="1" ht="12.75">
      <c r="D111" s="89"/>
    </row>
    <row r="112" s="3" customFormat="1" ht="12.75">
      <c r="D112" s="89"/>
    </row>
    <row r="113" s="3" customFormat="1" ht="12.75">
      <c r="D113" s="89"/>
    </row>
    <row r="114" s="3" customFormat="1" ht="12.75">
      <c r="D114" s="89"/>
    </row>
    <row r="115" s="3" customFormat="1" ht="12.75">
      <c r="D115" s="89"/>
    </row>
    <row r="116" s="3" customFormat="1" ht="12.75">
      <c r="D116" s="89"/>
    </row>
    <row r="117" s="3" customFormat="1" ht="12.75">
      <c r="D117" s="89"/>
    </row>
    <row r="118" s="3" customFormat="1" ht="12.75">
      <c r="D118" s="89"/>
    </row>
    <row r="119" s="3" customFormat="1" ht="12.75">
      <c r="D119" s="89"/>
    </row>
    <row r="120" s="3" customFormat="1" ht="12.75">
      <c r="D120" s="89"/>
    </row>
    <row r="121" s="3" customFormat="1" ht="12.75">
      <c r="D121" s="89"/>
    </row>
    <row r="122" s="3" customFormat="1" ht="12.75">
      <c r="D122" s="89"/>
    </row>
    <row r="123" s="3" customFormat="1" ht="12.75">
      <c r="D123" s="89"/>
    </row>
    <row r="124" s="3" customFormat="1" ht="12.75">
      <c r="D124" s="89"/>
    </row>
    <row r="125" s="3" customFormat="1" ht="12.75">
      <c r="D125" s="89"/>
    </row>
    <row r="126" s="3" customFormat="1" ht="12.75">
      <c r="D126" s="89"/>
    </row>
    <row r="127" s="3" customFormat="1" ht="12.75">
      <c r="D127" s="89"/>
    </row>
    <row r="128" s="3" customFormat="1" ht="12.75">
      <c r="D128" s="89"/>
    </row>
    <row r="129" s="3" customFormat="1" ht="12.75">
      <c r="D129" s="89"/>
    </row>
    <row r="130" s="3" customFormat="1" ht="12.75">
      <c r="D130" s="89"/>
    </row>
    <row r="131" s="3" customFormat="1" ht="12.75">
      <c r="D131" s="89"/>
    </row>
    <row r="132" s="3" customFormat="1" ht="12.75">
      <c r="D132" s="89"/>
    </row>
    <row r="133" s="3" customFormat="1" ht="12.75">
      <c r="D133" s="89"/>
    </row>
    <row r="134" s="3" customFormat="1" ht="12.75">
      <c r="D134" s="89"/>
    </row>
    <row r="135" s="3" customFormat="1" ht="12.75">
      <c r="D135" s="89"/>
    </row>
    <row r="136" s="3" customFormat="1" ht="12.75">
      <c r="D136" s="89"/>
    </row>
    <row r="137" s="3" customFormat="1" ht="12.75">
      <c r="D137" s="89"/>
    </row>
    <row r="138" s="3" customFormat="1" ht="12.75">
      <c r="D138" s="89"/>
    </row>
    <row r="139" s="3" customFormat="1" ht="12.75">
      <c r="D139" s="89"/>
    </row>
    <row r="140" s="3" customFormat="1" ht="12.75">
      <c r="D140" s="89"/>
    </row>
    <row r="141" s="3" customFormat="1" ht="12.75">
      <c r="D141" s="89"/>
    </row>
    <row r="142" s="3" customFormat="1" ht="12.75">
      <c r="D142" s="89"/>
    </row>
    <row r="143" s="3" customFormat="1" ht="12.75">
      <c r="D143" s="89"/>
    </row>
    <row r="144" s="3" customFormat="1" ht="12.75">
      <c r="D144" s="89"/>
    </row>
    <row r="145" s="3" customFormat="1" ht="12.75">
      <c r="D145" s="89"/>
    </row>
    <row r="146" s="3" customFormat="1" ht="12.75">
      <c r="D146" s="89"/>
    </row>
    <row r="147" s="3" customFormat="1" ht="12.75">
      <c r="D147" s="89"/>
    </row>
    <row r="148" s="3" customFormat="1" ht="12.75">
      <c r="D148" s="89"/>
    </row>
    <row r="149" s="3" customFormat="1" ht="12.75">
      <c r="D149" s="89"/>
    </row>
    <row r="150" s="3" customFormat="1" ht="12.75">
      <c r="D150" s="89"/>
    </row>
    <row r="151" s="3" customFormat="1" ht="12.75">
      <c r="D151" s="89"/>
    </row>
    <row r="152" s="3" customFormat="1" ht="12.75">
      <c r="D152" s="89"/>
    </row>
    <row r="153" s="3" customFormat="1" ht="12.75">
      <c r="D153" s="89"/>
    </row>
    <row r="154" s="3" customFormat="1" ht="12.75">
      <c r="D154" s="89"/>
    </row>
    <row r="155" s="3" customFormat="1" ht="12.75">
      <c r="D155" s="89"/>
    </row>
    <row r="156" s="3" customFormat="1" ht="12.75">
      <c r="D156" s="89"/>
    </row>
    <row r="157" s="3" customFormat="1" ht="12.75">
      <c r="D157" s="89"/>
    </row>
    <row r="158" s="3" customFormat="1" ht="12.75">
      <c r="D158" s="89"/>
    </row>
    <row r="159" s="3" customFormat="1" ht="12.75">
      <c r="D159" s="89"/>
    </row>
    <row r="160" s="3" customFormat="1" ht="12.75">
      <c r="D160" s="89"/>
    </row>
    <row r="161" s="3" customFormat="1" ht="12.75">
      <c r="D161" s="89"/>
    </row>
    <row r="162" s="3" customFormat="1" ht="12.75">
      <c r="D162" s="89"/>
    </row>
    <row r="163" s="3" customFormat="1" ht="12.75">
      <c r="D163" s="89"/>
    </row>
    <row r="164" s="3" customFormat="1" ht="12.75">
      <c r="D164" s="89"/>
    </row>
    <row r="165" s="3" customFormat="1" ht="12.75">
      <c r="D165" s="89"/>
    </row>
    <row r="166" s="3" customFormat="1" ht="12.75">
      <c r="D166" s="89"/>
    </row>
    <row r="167" s="3" customFormat="1" ht="12.75">
      <c r="D167" s="89"/>
    </row>
    <row r="168" s="3" customFormat="1" ht="12.75">
      <c r="D168" s="89"/>
    </row>
    <row r="169" s="3" customFormat="1" ht="12.75">
      <c r="D169" s="89"/>
    </row>
    <row r="170" s="3" customFormat="1" ht="12.75">
      <c r="D170" s="89"/>
    </row>
    <row r="171" s="3" customFormat="1" ht="12.75">
      <c r="D171" s="89"/>
    </row>
    <row r="172" s="3" customFormat="1" ht="12.75">
      <c r="D172" s="89"/>
    </row>
  </sheetData>
  <sheetProtection/>
  <mergeCells count="2">
    <mergeCell ref="K1:L1"/>
    <mergeCell ref="A2:L3"/>
  </mergeCells>
  <printOptions/>
  <pageMargins left="0.15748031496062992" right="0.15748031496062992" top="0.5905511811023623" bottom="0.3937007874015748" header="0.275590551181102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5"/>
  <sheetViews>
    <sheetView zoomScalePageLayoutView="0" workbookViewId="0" topLeftCell="B34">
      <selection activeCell="B47" sqref="A47:IV75"/>
    </sheetView>
  </sheetViews>
  <sheetFormatPr defaultColWidth="9.00390625" defaultRowHeight="12.75"/>
  <cols>
    <col min="1" max="1" width="1.12109375" style="1" hidden="1" customWidth="1"/>
    <col min="2" max="2" width="33.25390625" style="1" customWidth="1"/>
    <col min="3" max="3" width="10.375" style="3" customWidth="1"/>
    <col min="4" max="4" width="9.75390625" style="3" bestFit="1" customWidth="1"/>
    <col min="5" max="5" width="9.75390625" style="2" customWidth="1"/>
    <col min="6" max="6" width="10.875" style="3" customWidth="1"/>
    <col min="7" max="7" width="9.75390625" style="7" customWidth="1"/>
    <col min="8" max="8" width="11.625" style="59" customWidth="1"/>
    <col min="9" max="9" width="8.375" style="63" customWidth="1"/>
    <col min="10" max="10" width="9.75390625" style="5" customWidth="1"/>
    <col min="11" max="11" width="10.00390625" style="68" customWidth="1"/>
    <col min="12" max="12" width="11.125" style="6" customWidth="1"/>
    <col min="13" max="13" width="13.00390625" style="1" customWidth="1"/>
    <col min="14" max="16384" width="9.125" style="1" customWidth="1"/>
  </cols>
  <sheetData>
    <row r="1" spans="12:13" ht="12" customHeight="1">
      <c r="L1" s="211" t="s">
        <v>28</v>
      </c>
      <c r="M1" s="211"/>
    </row>
    <row r="2" spans="2:13" ht="14.25" customHeight="1">
      <c r="B2" s="210" t="s">
        <v>102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2:13" ht="12" customHeight="1" thickBot="1">
      <c r="B3" s="37"/>
      <c r="C3" s="49"/>
      <c r="D3" s="49"/>
      <c r="E3" s="50"/>
      <c r="F3" s="49"/>
      <c r="G3" s="51"/>
      <c r="H3" s="60"/>
      <c r="I3" s="64"/>
      <c r="J3" s="52"/>
      <c r="K3" s="69"/>
      <c r="L3" s="53"/>
      <c r="M3" s="54" t="s">
        <v>0</v>
      </c>
    </row>
    <row r="4" spans="2:13" s="56" customFormat="1" ht="41.25" customHeight="1" thickBot="1">
      <c r="B4" s="38" t="s">
        <v>2</v>
      </c>
      <c r="C4" s="46" t="s">
        <v>63</v>
      </c>
      <c r="D4" s="46" t="s">
        <v>62</v>
      </c>
      <c r="E4" s="47" t="s">
        <v>61</v>
      </c>
      <c r="F4" s="46" t="s">
        <v>60</v>
      </c>
      <c r="G4" s="123" t="s">
        <v>59</v>
      </c>
      <c r="H4" s="46" t="s">
        <v>99</v>
      </c>
      <c r="I4" s="123" t="s">
        <v>64</v>
      </c>
      <c r="J4" s="47" t="s">
        <v>57</v>
      </c>
      <c r="K4" s="47" t="s">
        <v>46</v>
      </c>
      <c r="L4" s="48" t="s">
        <v>65</v>
      </c>
      <c r="M4" s="55" t="s">
        <v>66</v>
      </c>
    </row>
    <row r="5" spans="2:13" ht="12" customHeight="1">
      <c r="B5" s="19" t="s">
        <v>35</v>
      </c>
      <c r="C5" s="20">
        <f>46114+300+800</f>
        <v>47214</v>
      </c>
      <c r="D5" s="21"/>
      <c r="E5" s="22">
        <f>SUM(D5/C5)*100</f>
        <v>0</v>
      </c>
      <c r="F5" s="21"/>
      <c r="G5" s="17">
        <f>SUM(F5/C5)*100</f>
        <v>0</v>
      </c>
      <c r="H5" s="21"/>
      <c r="I5" s="65">
        <f aca="true" t="shared" si="0" ref="I5:I20">SUM(H5/C5)*100</f>
        <v>0</v>
      </c>
      <c r="J5" s="16"/>
      <c r="K5" s="17">
        <f aca="true" t="shared" si="1" ref="K5:K20">SUM(J5/C5)*100</f>
        <v>0</v>
      </c>
      <c r="L5" s="16">
        <f aca="true" t="shared" si="2" ref="L5:L14">SUM(C5-D5-F5-H5-J5)</f>
        <v>47214</v>
      </c>
      <c r="M5" s="23">
        <f>SUM(L5/C5)*100</f>
        <v>100</v>
      </c>
    </row>
    <row r="6" spans="2:13" ht="12" customHeight="1">
      <c r="B6" s="19" t="s">
        <v>4</v>
      </c>
      <c r="C6" s="20">
        <v>17564</v>
      </c>
      <c r="D6" s="21"/>
      <c r="E6" s="22">
        <f>SUM(D6/C6)*100</f>
        <v>0</v>
      </c>
      <c r="F6" s="21"/>
      <c r="G6" s="17">
        <f>SUM(F6/C6)*100</f>
        <v>0</v>
      </c>
      <c r="H6" s="21">
        <v>607</v>
      </c>
      <c r="I6" s="65">
        <f t="shared" si="0"/>
        <v>3.455932589387383</v>
      </c>
      <c r="J6" s="16"/>
      <c r="K6" s="17">
        <f t="shared" si="1"/>
        <v>0</v>
      </c>
      <c r="L6" s="16">
        <f t="shared" si="2"/>
        <v>16957</v>
      </c>
      <c r="M6" s="23">
        <f>SUM(L6/C6)*100</f>
        <v>96.54406741061263</v>
      </c>
    </row>
    <row r="7" spans="2:13" ht="12" customHeight="1">
      <c r="B7" s="19" t="s">
        <v>5</v>
      </c>
      <c r="C7" s="20">
        <v>259900</v>
      </c>
      <c r="D7" s="21"/>
      <c r="E7" s="22">
        <f>SUM(D7/C7)*100</f>
        <v>0</v>
      </c>
      <c r="F7" s="21">
        <v>10532</v>
      </c>
      <c r="G7" s="17">
        <f>SUM(F7/C7)*100</f>
        <v>4.0523278183916895</v>
      </c>
      <c r="H7" s="21"/>
      <c r="I7" s="65">
        <f t="shared" si="0"/>
        <v>0</v>
      </c>
      <c r="J7" s="16"/>
      <c r="K7" s="17">
        <f t="shared" si="1"/>
        <v>0</v>
      </c>
      <c r="L7" s="16">
        <f t="shared" si="2"/>
        <v>249368</v>
      </c>
      <c r="M7" s="23">
        <f>SUM(L7/C7)*100</f>
        <v>95.94767218160831</v>
      </c>
    </row>
    <row r="8" spans="2:13" ht="12" customHeight="1">
      <c r="B8" s="19" t="s">
        <v>12</v>
      </c>
      <c r="C8" s="20">
        <v>247610</v>
      </c>
      <c r="D8" s="21"/>
      <c r="E8" s="22">
        <f aca="true" t="shared" si="3" ref="E8:E15">SUM(D8/C8)*100</f>
        <v>0</v>
      </c>
      <c r="F8" s="21"/>
      <c r="G8" s="22">
        <f aca="true" t="shared" si="4" ref="G8:G15">SUM(F8/C8)*100</f>
        <v>0</v>
      </c>
      <c r="H8" s="21"/>
      <c r="I8" s="65">
        <f t="shared" si="0"/>
        <v>0</v>
      </c>
      <c r="J8" s="16">
        <v>162323</v>
      </c>
      <c r="K8" s="17">
        <f t="shared" si="1"/>
        <v>65.55591454303138</v>
      </c>
      <c r="L8" s="16">
        <f t="shared" si="2"/>
        <v>85287</v>
      </c>
      <c r="M8" s="23">
        <f aca="true" t="shared" si="5" ref="M8:M15">SUM(L8/C8)*100</f>
        <v>34.44408545696862</v>
      </c>
    </row>
    <row r="9" spans="2:13" ht="12" customHeight="1">
      <c r="B9" s="19" t="s">
        <v>13</v>
      </c>
      <c r="C9" s="20">
        <f>896908-'önként2019.'!B9</f>
        <v>838683</v>
      </c>
      <c r="D9" s="21"/>
      <c r="E9" s="22">
        <f t="shared" si="3"/>
        <v>0</v>
      </c>
      <c r="F9" s="21"/>
      <c r="G9" s="22">
        <f t="shared" si="4"/>
        <v>0</v>
      </c>
      <c r="H9" s="21"/>
      <c r="I9" s="65">
        <f t="shared" si="0"/>
        <v>0</v>
      </c>
      <c r="J9" s="16"/>
      <c r="K9" s="17">
        <f t="shared" si="1"/>
        <v>0</v>
      </c>
      <c r="L9" s="16">
        <f t="shared" si="2"/>
        <v>838683</v>
      </c>
      <c r="M9" s="23">
        <f t="shared" si="5"/>
        <v>100</v>
      </c>
    </row>
    <row r="10" spans="2:13" ht="12" customHeight="1">
      <c r="B10" s="19" t="s">
        <v>14</v>
      </c>
      <c r="C10" s="20">
        <v>609236</v>
      </c>
      <c r="D10" s="21"/>
      <c r="E10" s="22">
        <f t="shared" si="3"/>
        <v>0</v>
      </c>
      <c r="F10" s="21"/>
      <c r="G10" s="22">
        <f t="shared" si="4"/>
        <v>0</v>
      </c>
      <c r="H10" s="21"/>
      <c r="I10" s="65">
        <f t="shared" si="0"/>
        <v>0</v>
      </c>
      <c r="J10" s="16"/>
      <c r="K10" s="17">
        <f t="shared" si="1"/>
        <v>0</v>
      </c>
      <c r="L10" s="16">
        <f t="shared" si="2"/>
        <v>609236</v>
      </c>
      <c r="M10" s="23">
        <f t="shared" si="5"/>
        <v>100</v>
      </c>
    </row>
    <row r="11" spans="2:13" ht="12" customHeight="1">
      <c r="B11" s="19" t="s">
        <v>15</v>
      </c>
      <c r="C11" s="20">
        <f>3486729+2436</f>
        <v>3489165</v>
      </c>
      <c r="D11" s="21">
        <v>3312336</v>
      </c>
      <c r="E11" s="22">
        <f t="shared" si="3"/>
        <v>94.93205394413849</v>
      </c>
      <c r="F11" s="21"/>
      <c r="G11" s="22">
        <f t="shared" si="4"/>
        <v>0</v>
      </c>
      <c r="H11" s="21"/>
      <c r="I11" s="65">
        <f t="shared" si="0"/>
        <v>0</v>
      </c>
      <c r="J11" s="16">
        <v>6464</v>
      </c>
      <c r="K11" s="17">
        <f t="shared" si="1"/>
        <v>0.1852592239117382</v>
      </c>
      <c r="L11" s="16">
        <f>SUM(C11-D11-F11-H11-J11)</f>
        <v>170365</v>
      </c>
      <c r="M11" s="23">
        <f t="shared" si="5"/>
        <v>4.882686831949765</v>
      </c>
    </row>
    <row r="12" spans="2:13" ht="12" customHeight="1">
      <c r="B12" s="19" t="s">
        <v>56</v>
      </c>
      <c r="C12" s="130">
        <v>173544</v>
      </c>
      <c r="D12" s="131"/>
      <c r="E12" s="22">
        <f t="shared" si="3"/>
        <v>0</v>
      </c>
      <c r="F12" s="131"/>
      <c r="G12" s="22">
        <f t="shared" si="4"/>
        <v>0</v>
      </c>
      <c r="H12" s="131"/>
      <c r="I12" s="65">
        <f t="shared" si="0"/>
        <v>0</v>
      </c>
      <c r="J12" s="21"/>
      <c r="K12" s="17">
        <f t="shared" si="1"/>
        <v>0</v>
      </c>
      <c r="L12" s="16">
        <f>SUM(C12-D12-F12-H12-J12)</f>
        <v>173544</v>
      </c>
      <c r="M12" s="23">
        <f t="shared" si="5"/>
        <v>100</v>
      </c>
    </row>
    <row r="13" spans="2:13" ht="12" customHeight="1">
      <c r="B13" s="129" t="s">
        <v>51</v>
      </c>
      <c r="C13" s="130">
        <f>1346474+373913</f>
        <v>1720387</v>
      </c>
      <c r="D13" s="131">
        <v>3621917</v>
      </c>
      <c r="E13" s="132">
        <f t="shared" si="3"/>
        <v>210.52920069728498</v>
      </c>
      <c r="F13" s="131"/>
      <c r="G13" s="132">
        <f t="shared" si="4"/>
        <v>0</v>
      </c>
      <c r="H13" s="131"/>
      <c r="I13" s="65">
        <f t="shared" si="0"/>
        <v>0</v>
      </c>
      <c r="J13" s="33"/>
      <c r="K13" s="17">
        <f t="shared" si="1"/>
        <v>0</v>
      </c>
      <c r="L13" s="16">
        <f t="shared" si="2"/>
        <v>-1901530</v>
      </c>
      <c r="M13" s="143">
        <f t="shared" si="5"/>
        <v>-110.52920069728498</v>
      </c>
    </row>
    <row r="14" spans="2:13" ht="12" customHeight="1" thickBot="1">
      <c r="B14" s="129" t="s">
        <v>27</v>
      </c>
      <c r="C14" s="130">
        <v>236605</v>
      </c>
      <c r="D14" s="131">
        <v>60923</v>
      </c>
      <c r="E14" s="132">
        <f t="shared" si="3"/>
        <v>25.74882187612265</v>
      </c>
      <c r="F14" s="131"/>
      <c r="G14" s="132">
        <f t="shared" si="4"/>
        <v>0</v>
      </c>
      <c r="H14" s="131"/>
      <c r="I14" s="115">
        <f t="shared" si="0"/>
        <v>0</v>
      </c>
      <c r="J14" s="131">
        <v>4106</v>
      </c>
      <c r="K14" s="34">
        <f t="shared" si="1"/>
        <v>1.7353817544007948</v>
      </c>
      <c r="L14" s="33">
        <f t="shared" si="2"/>
        <v>171576</v>
      </c>
      <c r="M14" s="143">
        <f t="shared" si="5"/>
        <v>72.51579636947655</v>
      </c>
    </row>
    <row r="15" spans="2:13" s="31" customFormat="1" ht="12" customHeight="1" thickBot="1">
      <c r="B15" s="28" t="s">
        <v>37</v>
      </c>
      <c r="C15" s="25">
        <f>SUM(C5:C14)</f>
        <v>7639908</v>
      </c>
      <c r="D15" s="25">
        <f>SUM(D5:D14)</f>
        <v>6995176</v>
      </c>
      <c r="E15" s="57">
        <f t="shared" si="3"/>
        <v>91.56099785494798</v>
      </c>
      <c r="F15" s="25">
        <f>SUM(F5:F14)</f>
        <v>10532</v>
      </c>
      <c r="G15" s="57">
        <f t="shared" si="4"/>
        <v>0.13785506317615343</v>
      </c>
      <c r="H15" s="25">
        <f>SUM(H5:H14)</f>
        <v>607</v>
      </c>
      <c r="I15" s="57">
        <f t="shared" si="0"/>
        <v>0.007945121852252672</v>
      </c>
      <c r="J15" s="25">
        <f>SUM(J5:J14)</f>
        <v>172893</v>
      </c>
      <c r="K15" s="29">
        <f t="shared" si="1"/>
        <v>2.2630246332809243</v>
      </c>
      <c r="L15" s="25">
        <f>SUM(L5:L14)</f>
        <v>460700</v>
      </c>
      <c r="M15" s="75">
        <f t="shared" si="5"/>
        <v>6.0301773267426775</v>
      </c>
    </row>
    <row r="16" spans="2:13" s="150" customFormat="1" ht="12" customHeight="1">
      <c r="B16" s="144" t="s">
        <v>11</v>
      </c>
      <c r="C16" s="20">
        <v>39060</v>
      </c>
      <c r="D16" s="145">
        <v>3256</v>
      </c>
      <c r="E16" s="22">
        <f aca="true" t="shared" si="6" ref="E16:E24">SUM(D16/C16)*100</f>
        <v>8.33589349718382</v>
      </c>
      <c r="F16" s="145"/>
      <c r="G16" s="146">
        <f aca="true" t="shared" si="7" ref="G16:G21">SUM(F16/C16)*100</f>
        <v>0</v>
      </c>
      <c r="H16" s="145"/>
      <c r="I16" s="147">
        <f t="shared" si="0"/>
        <v>0</v>
      </c>
      <c r="J16" s="148">
        <v>300</v>
      </c>
      <c r="K16" s="149">
        <f t="shared" si="1"/>
        <v>0.7680491551459293</v>
      </c>
      <c r="L16" s="16">
        <f>SUM(C16-D16-F16-H16-J16)</f>
        <v>35504</v>
      </c>
      <c r="M16" s="23">
        <f aca="true" t="shared" si="8" ref="M16:M24">SUM(L16/C16)*100</f>
        <v>90.89605734767025</v>
      </c>
    </row>
    <row r="17" spans="2:13" s="150" customFormat="1" ht="12" customHeight="1">
      <c r="B17" s="144" t="s">
        <v>24</v>
      </c>
      <c r="C17" s="20">
        <v>50450</v>
      </c>
      <c r="D17" s="145">
        <v>19951</v>
      </c>
      <c r="E17" s="22">
        <f t="shared" si="6"/>
        <v>39.54608523290386</v>
      </c>
      <c r="F17" s="145">
        <v>7</v>
      </c>
      <c r="G17" s="146">
        <f t="shared" si="7"/>
        <v>0.01387512388503469</v>
      </c>
      <c r="H17" s="145">
        <v>39645</v>
      </c>
      <c r="I17" s="147">
        <f t="shared" si="0"/>
        <v>78.58275520317146</v>
      </c>
      <c r="J17" s="148"/>
      <c r="K17" s="149">
        <f t="shared" si="1"/>
        <v>0</v>
      </c>
      <c r="L17" s="16">
        <f>SUM(C17-D17-F17-H17-J17)</f>
        <v>-9153</v>
      </c>
      <c r="M17" s="23">
        <f t="shared" si="8"/>
        <v>-18.142715559960358</v>
      </c>
    </row>
    <row r="18" spans="2:13" s="150" customFormat="1" ht="12" customHeight="1">
      <c r="B18" s="144" t="s">
        <v>30</v>
      </c>
      <c r="C18" s="20">
        <v>52077</v>
      </c>
      <c r="D18" s="145">
        <v>1</v>
      </c>
      <c r="E18" s="22">
        <f t="shared" si="6"/>
        <v>0.0019202335003936477</v>
      </c>
      <c r="F18" s="145">
        <v>743</v>
      </c>
      <c r="G18" s="146">
        <f t="shared" si="7"/>
        <v>1.4267334907924805</v>
      </c>
      <c r="H18" s="145">
        <v>47840</v>
      </c>
      <c r="I18" s="147">
        <f t="shared" si="0"/>
        <v>91.86397065883212</v>
      </c>
      <c r="J18" s="148"/>
      <c r="K18" s="149">
        <f t="shared" si="1"/>
        <v>0</v>
      </c>
      <c r="L18" s="16">
        <f>SUM(C18-D18-F18-H18-J18)</f>
        <v>3493</v>
      </c>
      <c r="M18" s="23">
        <f t="shared" si="8"/>
        <v>6.707375616875012</v>
      </c>
    </row>
    <row r="19" spans="2:13" s="150" customFormat="1" ht="12" customHeight="1">
      <c r="B19" s="144" t="s">
        <v>26</v>
      </c>
      <c r="C19" s="20">
        <v>19529</v>
      </c>
      <c r="D19" s="145">
        <v>0</v>
      </c>
      <c r="E19" s="22">
        <f t="shared" si="6"/>
        <v>0</v>
      </c>
      <c r="F19" s="145"/>
      <c r="G19" s="146">
        <f t="shared" si="7"/>
        <v>0</v>
      </c>
      <c r="H19" s="145">
        <v>18314</v>
      </c>
      <c r="I19" s="147">
        <f t="shared" si="0"/>
        <v>93.778483281274</v>
      </c>
      <c r="J19" s="148"/>
      <c r="K19" s="149">
        <f t="shared" si="1"/>
        <v>0</v>
      </c>
      <c r="L19" s="16">
        <f>SUM(C19-D19-F19-H19-J19)</f>
        <v>1215</v>
      </c>
      <c r="M19" s="23">
        <f t="shared" si="8"/>
        <v>6.221516718725997</v>
      </c>
    </row>
    <row r="20" spans="2:13" s="150" customFormat="1" ht="12" customHeight="1" thickBot="1">
      <c r="B20" s="151" t="s">
        <v>25</v>
      </c>
      <c r="C20" s="130">
        <v>1627</v>
      </c>
      <c r="D20" s="152">
        <v>2</v>
      </c>
      <c r="E20" s="132">
        <f t="shared" si="6"/>
        <v>0.1229256299938537</v>
      </c>
      <c r="F20" s="152"/>
      <c r="G20" s="153">
        <f t="shared" si="7"/>
        <v>0</v>
      </c>
      <c r="H20" s="152">
        <v>2263</v>
      </c>
      <c r="I20" s="147">
        <f t="shared" si="0"/>
        <v>139.09035033804548</v>
      </c>
      <c r="J20" s="154"/>
      <c r="K20" s="149">
        <f t="shared" si="1"/>
        <v>0</v>
      </c>
      <c r="L20" s="16">
        <f>SUM(C20-D20-F20-H20-J20)</f>
        <v>-638</v>
      </c>
      <c r="M20" s="143">
        <f t="shared" si="8"/>
        <v>-39.21327596803933</v>
      </c>
    </row>
    <row r="21" spans="2:13" s="31" customFormat="1" ht="12" customHeight="1" thickBot="1">
      <c r="B21" s="28" t="s">
        <v>36</v>
      </c>
      <c r="C21" s="25">
        <f>SUM(C16:C20)</f>
        <v>162743</v>
      </c>
      <c r="D21" s="25">
        <f>SUM(D16:D20)</f>
        <v>23210</v>
      </c>
      <c r="E21" s="29">
        <f t="shared" si="6"/>
        <v>14.261750121356986</v>
      </c>
      <c r="F21" s="25">
        <f>SUM(F16:F20)</f>
        <v>750</v>
      </c>
      <c r="G21" s="29">
        <f t="shared" si="7"/>
        <v>0.4608493145634528</v>
      </c>
      <c r="H21" s="25">
        <f>SUM(H16:H20)</f>
        <v>108062</v>
      </c>
      <c r="I21" s="57">
        <f aca="true" t="shared" si="9" ref="I21:I39">SUM(H21/C21)*100</f>
        <v>66.40039817380779</v>
      </c>
      <c r="J21" s="25">
        <f>SUM(J16:J20)</f>
        <v>300</v>
      </c>
      <c r="K21" s="29">
        <f aca="true" t="shared" si="10" ref="K21:K39">SUM(J21/C21)*100</f>
        <v>0.18433972582538113</v>
      </c>
      <c r="L21" s="25">
        <f>SUM(L16:L20)</f>
        <v>30421</v>
      </c>
      <c r="M21" s="42">
        <f t="shared" si="8"/>
        <v>18.692662664446395</v>
      </c>
    </row>
    <row r="22" spans="2:13" ht="12" customHeight="1" thickBot="1">
      <c r="B22" s="124" t="s">
        <v>48</v>
      </c>
      <c r="C22" s="76">
        <v>713521</v>
      </c>
      <c r="D22" s="77">
        <v>77312</v>
      </c>
      <c r="E22" s="78">
        <v>10.835280251036759</v>
      </c>
      <c r="F22" s="77"/>
      <c r="G22" s="78">
        <v>0</v>
      </c>
      <c r="H22" s="77"/>
      <c r="I22" s="79">
        <v>0</v>
      </c>
      <c r="J22" s="77">
        <v>19570</v>
      </c>
      <c r="K22" s="78">
        <v>2.742736373561535</v>
      </c>
      <c r="L22" s="77">
        <f>SUM(C22-D22-J22)</f>
        <v>616639</v>
      </c>
      <c r="M22" s="80">
        <v>61.07248420158622</v>
      </c>
    </row>
    <row r="23" spans="2:13" ht="12" customHeight="1" thickBot="1">
      <c r="B23" s="39" t="s">
        <v>49</v>
      </c>
      <c r="C23" s="26">
        <v>1043920</v>
      </c>
      <c r="D23" s="27">
        <v>619322</v>
      </c>
      <c r="E23" s="40">
        <v>59.32657674917618</v>
      </c>
      <c r="F23" s="27"/>
      <c r="G23" s="40">
        <v>0</v>
      </c>
      <c r="H23" s="27"/>
      <c r="I23" s="66">
        <v>0</v>
      </c>
      <c r="J23" s="27">
        <v>28633</v>
      </c>
      <c r="K23" s="40">
        <v>2.7428346999770095</v>
      </c>
      <c r="L23" s="77">
        <f>SUM(C23-D23-J23)</f>
        <v>395965</v>
      </c>
      <c r="M23" s="41">
        <v>61.072400183922134</v>
      </c>
    </row>
    <row r="24" spans="2:13" ht="12" customHeight="1" thickBot="1">
      <c r="B24" s="28" t="s">
        <v>50</v>
      </c>
      <c r="C24" s="25">
        <f>SUM(C22:C23)</f>
        <v>1757441</v>
      </c>
      <c r="D24" s="25">
        <f>SUM(D22:D23)</f>
        <v>696634</v>
      </c>
      <c r="E24" s="57">
        <f t="shared" si="6"/>
        <v>39.63911164016317</v>
      </c>
      <c r="F24" s="25">
        <f aca="true" t="shared" si="11" ref="F24:L24">SUM(F22:F23)</f>
        <v>0</v>
      </c>
      <c r="G24" s="57">
        <f t="shared" si="11"/>
        <v>0</v>
      </c>
      <c r="H24" s="25">
        <f t="shared" si="11"/>
        <v>0</v>
      </c>
      <c r="I24" s="57">
        <f t="shared" si="11"/>
        <v>0</v>
      </c>
      <c r="J24" s="25">
        <f t="shared" si="11"/>
        <v>48203</v>
      </c>
      <c r="K24" s="29">
        <f t="shared" si="11"/>
        <v>5.485571073538544</v>
      </c>
      <c r="L24" s="25">
        <f t="shared" si="11"/>
        <v>1012604</v>
      </c>
      <c r="M24" s="75">
        <f t="shared" si="8"/>
        <v>57.61809358038194</v>
      </c>
    </row>
    <row r="25" spans="2:13" ht="12" customHeight="1">
      <c r="B25" s="125" t="s">
        <v>3</v>
      </c>
      <c r="C25" s="32">
        <f>2203338</f>
        <v>2203338</v>
      </c>
      <c r="D25" s="33">
        <f>52144+4480</f>
        <v>56624</v>
      </c>
      <c r="E25" s="34">
        <f aca="true" t="shared" si="12" ref="E25:E45">SUM(D25/C25)*100</f>
        <v>2.56991891393876</v>
      </c>
      <c r="F25" s="33">
        <v>322798</v>
      </c>
      <c r="G25" s="34">
        <f aca="true" t="shared" si="13" ref="G25:G45">SUM(F25/C25)*100</f>
        <v>14.650407699590348</v>
      </c>
      <c r="H25" s="33">
        <v>12629</v>
      </c>
      <c r="I25" s="115">
        <f t="shared" si="9"/>
        <v>0.5731757905505193</v>
      </c>
      <c r="J25" s="33">
        <v>41304</v>
      </c>
      <c r="K25" s="34">
        <f t="shared" si="10"/>
        <v>1.874610250447276</v>
      </c>
      <c r="L25" s="33">
        <f>SUM(C25-D25-F25-H25-J25)</f>
        <v>1769983</v>
      </c>
      <c r="M25" s="35">
        <f aca="true" t="shared" si="14" ref="M25:M45">SUM(L25/C25)*100</f>
        <v>80.33188734547309</v>
      </c>
    </row>
    <row r="26" spans="2:13" ht="12" customHeight="1" thickBot="1">
      <c r="B26" s="19" t="s">
        <v>47</v>
      </c>
      <c r="C26" s="20">
        <v>789</v>
      </c>
      <c r="D26" s="21"/>
      <c r="E26" s="22">
        <f t="shared" si="12"/>
        <v>0</v>
      </c>
      <c r="F26" s="21"/>
      <c r="G26" s="22">
        <f t="shared" si="13"/>
        <v>0</v>
      </c>
      <c r="H26" s="21"/>
      <c r="I26" s="133">
        <f t="shared" si="9"/>
        <v>0</v>
      </c>
      <c r="J26" s="21"/>
      <c r="K26" s="22">
        <f t="shared" si="10"/>
        <v>0</v>
      </c>
      <c r="L26" s="21">
        <f>SUM(C26-D26-F26-H26-J26)</f>
        <v>789</v>
      </c>
      <c r="M26" s="23">
        <f t="shared" si="14"/>
        <v>100</v>
      </c>
    </row>
    <row r="27" spans="2:13" ht="12" customHeight="1" thickBot="1">
      <c r="B27" s="28" t="s">
        <v>38</v>
      </c>
      <c r="C27" s="25">
        <f>SUM(C25:C26)</f>
        <v>2204127</v>
      </c>
      <c r="D27" s="25">
        <f>SUM(D25:D26)</f>
        <v>56624</v>
      </c>
      <c r="E27" s="29">
        <f t="shared" si="12"/>
        <v>2.5689989732896517</v>
      </c>
      <c r="F27" s="25">
        <f>SUM(F25:F26)</f>
        <v>322798</v>
      </c>
      <c r="G27" s="29">
        <f t="shared" si="13"/>
        <v>14.64516336853548</v>
      </c>
      <c r="H27" s="25">
        <f>SUM(H25:H26)</f>
        <v>12629</v>
      </c>
      <c r="I27" s="57">
        <f t="shared" si="9"/>
        <v>0.5729706137622742</v>
      </c>
      <c r="J27" s="25">
        <f>SUM(J25)</f>
        <v>41304</v>
      </c>
      <c r="K27" s="29">
        <f t="shared" si="10"/>
        <v>1.873939205862457</v>
      </c>
      <c r="L27" s="25">
        <f>SUM(L25:L26)</f>
        <v>1770772</v>
      </c>
      <c r="M27" s="42">
        <f t="shared" si="14"/>
        <v>80.33892783855013</v>
      </c>
    </row>
    <row r="28" spans="2:13" s="81" customFormat="1" ht="12" customHeight="1" thickBot="1">
      <c r="B28" s="125" t="s">
        <v>6</v>
      </c>
      <c r="C28" s="32">
        <v>225980</v>
      </c>
      <c r="D28" s="33">
        <v>6818</v>
      </c>
      <c r="E28" s="34">
        <f t="shared" si="12"/>
        <v>3.0170811576245686</v>
      </c>
      <c r="F28" s="33">
        <v>209609</v>
      </c>
      <c r="G28" s="34">
        <f t="shared" si="13"/>
        <v>92.75555358881317</v>
      </c>
      <c r="H28" s="33"/>
      <c r="I28" s="115">
        <f t="shared" si="9"/>
        <v>0</v>
      </c>
      <c r="J28" s="33">
        <v>5386</v>
      </c>
      <c r="K28" s="34">
        <f t="shared" si="10"/>
        <v>2.3833967607752897</v>
      </c>
      <c r="L28" s="33">
        <f>SUM(C28-D28-F28-H28-J28)</f>
        <v>4167</v>
      </c>
      <c r="M28" s="35">
        <f t="shared" si="14"/>
        <v>1.8439684927869724</v>
      </c>
    </row>
    <row r="29" spans="2:13" s="81" customFormat="1" ht="12" customHeight="1" thickBot="1">
      <c r="B29" s="28" t="s">
        <v>39</v>
      </c>
      <c r="C29" s="25">
        <f>SUM(C28)</f>
        <v>225980</v>
      </c>
      <c r="D29" s="126">
        <f>SUM(D28)</f>
        <v>6818</v>
      </c>
      <c r="E29" s="30">
        <f t="shared" si="12"/>
        <v>3.0170811576245686</v>
      </c>
      <c r="F29" s="126">
        <f>SUM(F28)</f>
        <v>209609</v>
      </c>
      <c r="G29" s="30">
        <f t="shared" si="13"/>
        <v>92.75555358881317</v>
      </c>
      <c r="H29" s="126">
        <f>SUM(H28)</f>
        <v>0</v>
      </c>
      <c r="I29" s="127">
        <f t="shared" si="9"/>
        <v>0</v>
      </c>
      <c r="J29" s="126">
        <f>SUM(J28)</f>
        <v>5386</v>
      </c>
      <c r="K29" s="30">
        <f t="shared" si="10"/>
        <v>2.3833967607752897</v>
      </c>
      <c r="L29" s="126">
        <f>SUM(L28)</f>
        <v>4167</v>
      </c>
      <c r="M29" s="128">
        <f t="shared" si="14"/>
        <v>1.8439684927869724</v>
      </c>
    </row>
    <row r="30" spans="2:13" s="81" customFormat="1" ht="12" customHeight="1">
      <c r="B30" s="14" t="s">
        <v>7</v>
      </c>
      <c r="C30" s="15">
        <v>185540</v>
      </c>
      <c r="D30" s="16">
        <v>260</v>
      </c>
      <c r="E30" s="17">
        <f t="shared" si="12"/>
        <v>0.14013150803061336</v>
      </c>
      <c r="F30" s="16">
        <v>56167</v>
      </c>
      <c r="G30" s="17">
        <f t="shared" si="13"/>
        <v>30.272178505982538</v>
      </c>
      <c r="H30" s="16"/>
      <c r="I30" s="65">
        <f t="shared" si="9"/>
        <v>0</v>
      </c>
      <c r="J30" s="16"/>
      <c r="K30" s="17">
        <f t="shared" si="10"/>
        <v>0</v>
      </c>
      <c r="L30" s="16">
        <f>SUM(C30-D30-F30-H30-J30)</f>
        <v>129113</v>
      </c>
      <c r="M30" s="18">
        <f t="shared" si="14"/>
        <v>69.58768998598684</v>
      </c>
    </row>
    <row r="31" spans="2:13" s="81" customFormat="1" ht="12" customHeight="1">
      <c r="B31" s="19" t="s">
        <v>96</v>
      </c>
      <c r="C31" s="20">
        <v>119312</v>
      </c>
      <c r="D31" s="21">
        <v>15775</v>
      </c>
      <c r="E31" s="22">
        <f t="shared" si="12"/>
        <v>13.22163738768942</v>
      </c>
      <c r="F31" s="21">
        <v>36885</v>
      </c>
      <c r="G31" s="22">
        <f t="shared" si="13"/>
        <v>30.914744535335924</v>
      </c>
      <c r="H31" s="21"/>
      <c r="I31" s="65">
        <f t="shared" si="9"/>
        <v>0</v>
      </c>
      <c r="J31" s="16"/>
      <c r="K31" s="17">
        <f t="shared" si="10"/>
        <v>0</v>
      </c>
      <c r="L31" s="16">
        <f aca="true" t="shared" si="15" ref="L31:L39">SUM(C31-D31-F31-H31-J31)</f>
        <v>66652</v>
      </c>
      <c r="M31" s="23">
        <f t="shared" si="14"/>
        <v>55.86361807697465</v>
      </c>
    </row>
    <row r="32" spans="2:13" s="81" customFormat="1" ht="12" customHeight="1">
      <c r="B32" s="19" t="s">
        <v>97</v>
      </c>
      <c r="C32" s="20">
        <v>49653</v>
      </c>
      <c r="D32" s="21">
        <v>12273</v>
      </c>
      <c r="E32" s="22">
        <f t="shared" si="12"/>
        <v>24.717539725696334</v>
      </c>
      <c r="F32" s="21">
        <v>24884</v>
      </c>
      <c r="G32" s="22">
        <f t="shared" si="13"/>
        <v>50.115803677521995</v>
      </c>
      <c r="H32" s="21"/>
      <c r="I32" s="65">
        <f t="shared" si="9"/>
        <v>0</v>
      </c>
      <c r="J32" s="16"/>
      <c r="K32" s="17">
        <f t="shared" si="10"/>
        <v>0</v>
      </c>
      <c r="L32" s="16">
        <f t="shared" si="15"/>
        <v>12496</v>
      </c>
      <c r="M32" s="23">
        <f t="shared" si="14"/>
        <v>25.166656596781667</v>
      </c>
    </row>
    <row r="33" spans="2:13" s="81" customFormat="1" ht="12" customHeight="1">
      <c r="B33" s="19" t="s">
        <v>8</v>
      </c>
      <c r="C33" s="20">
        <v>83243</v>
      </c>
      <c r="D33" s="21">
        <v>27868</v>
      </c>
      <c r="E33" s="22">
        <f t="shared" si="12"/>
        <v>33.47789003279555</v>
      </c>
      <c r="F33" s="21">
        <v>20596</v>
      </c>
      <c r="G33" s="22">
        <f t="shared" si="13"/>
        <v>24.742020350059466</v>
      </c>
      <c r="H33" s="21"/>
      <c r="I33" s="65">
        <f t="shared" si="9"/>
        <v>0</v>
      </c>
      <c r="J33" s="16"/>
      <c r="K33" s="17">
        <f t="shared" si="10"/>
        <v>0</v>
      </c>
      <c r="L33" s="16">
        <f t="shared" si="15"/>
        <v>34779</v>
      </c>
      <c r="M33" s="23">
        <f t="shared" si="14"/>
        <v>41.78008961714498</v>
      </c>
    </row>
    <row r="34" spans="2:13" s="81" customFormat="1" ht="12" customHeight="1">
      <c r="B34" s="19" t="s">
        <v>9</v>
      </c>
      <c r="C34" s="20">
        <v>1525</v>
      </c>
      <c r="D34" s="21"/>
      <c r="E34" s="22">
        <f t="shared" si="12"/>
        <v>0</v>
      </c>
      <c r="F34" s="21">
        <f>43+42</f>
        <v>85</v>
      </c>
      <c r="G34" s="22">
        <f t="shared" si="13"/>
        <v>5.573770491803279</v>
      </c>
      <c r="H34" s="21">
        <v>1034</v>
      </c>
      <c r="I34" s="65">
        <f t="shared" si="9"/>
        <v>67.8032786885246</v>
      </c>
      <c r="J34" s="16"/>
      <c r="K34" s="17">
        <f t="shared" si="10"/>
        <v>0</v>
      </c>
      <c r="L34" s="16">
        <f t="shared" si="15"/>
        <v>406</v>
      </c>
      <c r="M34" s="23">
        <f t="shared" si="14"/>
        <v>26.62295081967213</v>
      </c>
    </row>
    <row r="35" spans="2:13" s="81" customFormat="1" ht="12" customHeight="1">
      <c r="B35" s="19" t="s">
        <v>94</v>
      </c>
      <c r="C35" s="20">
        <v>95777</v>
      </c>
      <c r="D35" s="21"/>
      <c r="E35" s="22">
        <f t="shared" si="12"/>
        <v>0</v>
      </c>
      <c r="F35" s="21">
        <v>23183</v>
      </c>
      <c r="G35" s="22">
        <f t="shared" si="13"/>
        <v>24.205184960898755</v>
      </c>
      <c r="H35" s="21">
        <v>3660</v>
      </c>
      <c r="I35" s="65">
        <f t="shared" si="9"/>
        <v>3.821376739718304</v>
      </c>
      <c r="J35" s="16">
        <v>7965</v>
      </c>
      <c r="K35" s="17">
        <f t="shared" si="10"/>
        <v>8.316192822911555</v>
      </c>
      <c r="L35" s="16">
        <f t="shared" si="15"/>
        <v>60969</v>
      </c>
      <c r="M35" s="23">
        <f t="shared" si="14"/>
        <v>63.65724547647139</v>
      </c>
    </row>
    <row r="36" spans="2:13" s="81" customFormat="1" ht="12" customHeight="1">
      <c r="B36" s="19" t="s">
        <v>10</v>
      </c>
      <c r="C36" s="20">
        <v>113150</v>
      </c>
      <c r="D36" s="21">
        <v>9391</v>
      </c>
      <c r="E36" s="22">
        <f t="shared" si="12"/>
        <v>8.299602297834733</v>
      </c>
      <c r="F36" s="21">
        <v>46603</v>
      </c>
      <c r="G36" s="22">
        <f t="shared" si="13"/>
        <v>41.186920017675654</v>
      </c>
      <c r="H36" s="21"/>
      <c r="I36" s="65">
        <f t="shared" si="9"/>
        <v>0</v>
      </c>
      <c r="J36" s="16"/>
      <c r="K36" s="17">
        <f t="shared" si="10"/>
        <v>0</v>
      </c>
      <c r="L36" s="16">
        <f t="shared" si="15"/>
        <v>57156</v>
      </c>
      <c r="M36" s="23">
        <f t="shared" si="14"/>
        <v>50.513477684489615</v>
      </c>
    </row>
    <row r="37" spans="2:13" s="81" customFormat="1" ht="12" customHeight="1">
      <c r="B37" s="129" t="s">
        <v>95</v>
      </c>
      <c r="C37" s="130">
        <v>45315</v>
      </c>
      <c r="D37" s="131"/>
      <c r="E37" s="132">
        <f t="shared" si="12"/>
        <v>0</v>
      </c>
      <c r="F37" s="131">
        <v>6365</v>
      </c>
      <c r="G37" s="22">
        <f t="shared" si="13"/>
        <v>14.046121593291405</v>
      </c>
      <c r="H37" s="131"/>
      <c r="I37" s="115">
        <f t="shared" si="9"/>
        <v>0</v>
      </c>
      <c r="J37" s="33"/>
      <c r="K37" s="17">
        <f t="shared" si="10"/>
        <v>0</v>
      </c>
      <c r="L37" s="16">
        <f t="shared" si="15"/>
        <v>38950</v>
      </c>
      <c r="M37" s="23">
        <f t="shared" si="14"/>
        <v>85.9538784067086</v>
      </c>
    </row>
    <row r="38" spans="2:13" s="81" customFormat="1" ht="12" customHeight="1">
      <c r="B38" s="129" t="s">
        <v>52</v>
      </c>
      <c r="C38" s="130">
        <v>9585</v>
      </c>
      <c r="D38" s="131">
        <v>2145</v>
      </c>
      <c r="E38" s="132">
        <f t="shared" si="12"/>
        <v>22.37871674491393</v>
      </c>
      <c r="F38" s="131">
        <f>516+511</f>
        <v>1027</v>
      </c>
      <c r="G38" s="22">
        <f t="shared" si="13"/>
        <v>10.714658320292122</v>
      </c>
      <c r="H38" s="131">
        <v>3428</v>
      </c>
      <c r="I38" s="133">
        <f t="shared" si="9"/>
        <v>35.7642149191445</v>
      </c>
      <c r="J38" s="21"/>
      <c r="K38" s="22">
        <f t="shared" si="10"/>
        <v>0</v>
      </c>
      <c r="L38" s="16">
        <f t="shared" si="15"/>
        <v>2985</v>
      </c>
      <c r="M38" s="23">
        <f t="shared" si="14"/>
        <v>31.142410015649453</v>
      </c>
    </row>
    <row r="39" spans="2:13" s="81" customFormat="1" ht="12" customHeight="1" thickBot="1">
      <c r="B39" s="39" t="s">
        <v>98</v>
      </c>
      <c r="C39" s="26">
        <v>14010</v>
      </c>
      <c r="D39" s="27"/>
      <c r="E39" s="40">
        <f t="shared" si="12"/>
        <v>0</v>
      </c>
      <c r="F39" s="27">
        <f>3400+6150+1528+1561</f>
        <v>12639</v>
      </c>
      <c r="G39" s="40">
        <f t="shared" si="13"/>
        <v>90.21413276231264</v>
      </c>
      <c r="H39" s="27"/>
      <c r="I39" s="66">
        <f t="shared" si="9"/>
        <v>0</v>
      </c>
      <c r="J39" s="27"/>
      <c r="K39" s="40">
        <f t="shared" si="10"/>
        <v>0</v>
      </c>
      <c r="L39" s="27">
        <f t="shared" si="15"/>
        <v>1371</v>
      </c>
      <c r="M39" s="41">
        <f t="shared" si="14"/>
        <v>9.785867237687366</v>
      </c>
    </row>
    <row r="40" spans="2:13" s="31" customFormat="1" ht="12" customHeight="1" thickBot="1">
      <c r="B40" s="134" t="s">
        <v>40</v>
      </c>
      <c r="C40" s="25">
        <f>SUM(C30:C39)</f>
        <v>717110</v>
      </c>
      <c r="D40" s="126">
        <f>SUM(D30:D39)</f>
        <v>67712</v>
      </c>
      <c r="E40" s="30">
        <f t="shared" si="12"/>
        <v>9.44234496799654</v>
      </c>
      <c r="F40" s="126">
        <f>SUM(F30:F39)</f>
        <v>228434</v>
      </c>
      <c r="G40" s="30">
        <f t="shared" si="13"/>
        <v>31.85480609669367</v>
      </c>
      <c r="H40" s="126">
        <f>SUM(H30:H39)</f>
        <v>8122</v>
      </c>
      <c r="I40" s="127">
        <f aca="true" t="shared" si="16" ref="I40:I45">SUM(H40/C40)*100</f>
        <v>1.1326016929062486</v>
      </c>
      <c r="J40" s="126">
        <f>SUM(J30:J39)</f>
        <v>7965</v>
      </c>
      <c r="K40" s="30">
        <f aca="true" t="shared" si="17" ref="K40:K45">SUM(J40/C40)*100</f>
        <v>1.1107082595417717</v>
      </c>
      <c r="L40" s="126">
        <f>SUM(L30:L39)</f>
        <v>404877</v>
      </c>
      <c r="M40" s="128">
        <f t="shared" si="14"/>
        <v>56.459538982861766</v>
      </c>
    </row>
    <row r="41" spans="2:13" s="31" customFormat="1" ht="12" customHeight="1" thickBot="1">
      <c r="B41" s="135" t="s">
        <v>42</v>
      </c>
      <c r="C41" s="136">
        <v>187510</v>
      </c>
      <c r="D41" s="137">
        <v>5046</v>
      </c>
      <c r="E41" s="138">
        <f t="shared" si="12"/>
        <v>2.691056476987894</v>
      </c>
      <c r="F41" s="137">
        <v>97978</v>
      </c>
      <c r="G41" s="138">
        <f t="shared" si="13"/>
        <v>52.25214655218389</v>
      </c>
      <c r="H41" s="137"/>
      <c r="I41" s="139">
        <f t="shared" si="16"/>
        <v>0</v>
      </c>
      <c r="J41" s="137">
        <v>2138</v>
      </c>
      <c r="K41" s="30">
        <f t="shared" si="17"/>
        <v>1.1402058556876966</v>
      </c>
      <c r="L41" s="137">
        <f>SUM(C41-D41-F41-H41-J41)</f>
        <v>82348</v>
      </c>
      <c r="M41" s="140">
        <f t="shared" si="14"/>
        <v>43.91659111514053</v>
      </c>
    </row>
    <row r="42" spans="2:13" s="31" customFormat="1" ht="12" customHeight="1" thickBot="1">
      <c r="B42" s="28" t="s">
        <v>43</v>
      </c>
      <c r="C42" s="25">
        <v>102315</v>
      </c>
      <c r="D42" s="126">
        <v>3192</v>
      </c>
      <c r="E42" s="30">
        <f t="shared" si="12"/>
        <v>3.1197771587743732</v>
      </c>
      <c r="F42" s="126">
        <v>54707</v>
      </c>
      <c r="G42" s="30">
        <f t="shared" si="13"/>
        <v>53.46918829106192</v>
      </c>
      <c r="H42" s="126"/>
      <c r="I42" s="127">
        <f t="shared" si="16"/>
        <v>0</v>
      </c>
      <c r="J42" s="126">
        <v>2052</v>
      </c>
      <c r="K42" s="141">
        <f t="shared" si="17"/>
        <v>2.0055710306406684</v>
      </c>
      <c r="L42" s="126">
        <f>SUM(C42-D42-F42-H42-J42)</f>
        <v>42364</v>
      </c>
      <c r="M42" s="142">
        <f t="shared" si="14"/>
        <v>41.40546351952304</v>
      </c>
    </row>
    <row r="43" spans="2:13" s="31" customFormat="1" ht="12" customHeight="1" thickBot="1">
      <c r="B43" s="28" t="s">
        <v>44</v>
      </c>
      <c r="C43" s="25">
        <v>182360</v>
      </c>
      <c r="D43" s="126">
        <v>5920</v>
      </c>
      <c r="E43" s="30">
        <f t="shared" si="12"/>
        <v>3.2463259486729545</v>
      </c>
      <c r="F43" s="126">
        <v>99088</v>
      </c>
      <c r="G43" s="30">
        <f t="shared" si="13"/>
        <v>54.336477297653</v>
      </c>
      <c r="H43" s="126"/>
      <c r="I43" s="127">
        <f t="shared" si="16"/>
        <v>0</v>
      </c>
      <c r="J43" s="126">
        <v>1318</v>
      </c>
      <c r="K43" s="141">
        <f t="shared" si="17"/>
        <v>0.7227462162754991</v>
      </c>
      <c r="L43" s="126">
        <f>SUM(C43-D43-F43-H43-J43)</f>
        <v>76034</v>
      </c>
      <c r="M43" s="142">
        <f t="shared" si="14"/>
        <v>41.69445053739855</v>
      </c>
    </row>
    <row r="44" spans="2:13" s="31" customFormat="1" ht="12" customHeight="1" thickBot="1">
      <c r="B44" s="135" t="s">
        <v>45</v>
      </c>
      <c r="C44" s="136">
        <v>158262</v>
      </c>
      <c r="D44" s="137">
        <v>5283</v>
      </c>
      <c r="E44" s="138">
        <f t="shared" si="12"/>
        <v>3.338135496834363</v>
      </c>
      <c r="F44" s="137">
        <v>77755</v>
      </c>
      <c r="G44" s="138">
        <f t="shared" si="13"/>
        <v>49.13055566086616</v>
      </c>
      <c r="H44" s="137"/>
      <c r="I44" s="139">
        <f t="shared" si="16"/>
        <v>0</v>
      </c>
      <c r="J44" s="137">
        <v>16395</v>
      </c>
      <c r="K44" s="30">
        <f t="shared" si="17"/>
        <v>10.359404026234978</v>
      </c>
      <c r="L44" s="137">
        <f>SUM(C44-D44-F44-H44-J44)</f>
        <v>58829</v>
      </c>
      <c r="M44" s="140">
        <f t="shared" si="14"/>
        <v>37.1719048160645</v>
      </c>
    </row>
    <row r="45" spans="2:13" s="4" customFormat="1" ht="12" customHeight="1" thickBot="1">
      <c r="B45" s="24" t="s">
        <v>16</v>
      </c>
      <c r="C45" s="25">
        <f>SUM(C40,C29,C27,C21,C15,C41,C42,C43,C44,C24)</f>
        <v>13337756</v>
      </c>
      <c r="D45" s="25">
        <f>SUM(D40,D29,D27,D21,D15,D41,D42,D43,D44,D24)</f>
        <v>7865615</v>
      </c>
      <c r="E45" s="29">
        <f t="shared" si="12"/>
        <v>58.97255130473222</v>
      </c>
      <c r="F45" s="25">
        <f>SUM(F40,F29,F27,F21,F15,F41,F42,F43,F44,F24)</f>
        <v>1101651</v>
      </c>
      <c r="G45" s="29">
        <f t="shared" si="13"/>
        <v>8.259642776491038</v>
      </c>
      <c r="H45" s="25">
        <f>SUM(H40,H29,H27,H21,H15,H41,H42,H43,H44)</f>
        <v>129420</v>
      </c>
      <c r="I45" s="57">
        <f t="shared" si="16"/>
        <v>0.9703281421552471</v>
      </c>
      <c r="J45" s="25">
        <f>SUM(J40,J29,J27,J21,J15,J41,J42,J43,J44,J24)</f>
        <v>297954</v>
      </c>
      <c r="K45" s="30">
        <f t="shared" si="17"/>
        <v>2.233914010722643</v>
      </c>
      <c r="L45" s="25">
        <f>SUM(L40,L29,L27,L21,L15,L41,L42,L43,L44,L24)</f>
        <v>3943116</v>
      </c>
      <c r="M45" s="42">
        <f t="shared" si="14"/>
        <v>29.563563765898852</v>
      </c>
    </row>
  </sheetData>
  <sheetProtection/>
  <mergeCells count="2">
    <mergeCell ref="B2:M2"/>
    <mergeCell ref="L1:M1"/>
  </mergeCells>
  <printOptions/>
  <pageMargins left="0.15748031496062992" right="0.15748031496062992" top="0.5905511811023623" bottom="0.3937007874015748" header="0.2755905511811024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zoomScalePageLayoutView="0" workbookViewId="0" topLeftCell="A28">
      <selection activeCell="A51" sqref="A51:IV69"/>
    </sheetView>
  </sheetViews>
  <sheetFormatPr defaultColWidth="9.00390625" defaultRowHeight="12.75"/>
  <cols>
    <col min="1" max="1" width="26.00390625" style="81" customWidth="1"/>
    <col min="2" max="2" width="12.625" style="81" customWidth="1"/>
    <col min="3" max="3" width="11.25390625" style="81" customWidth="1"/>
    <col min="4" max="4" width="10.125" style="122" customWidth="1"/>
    <col min="5" max="5" width="11.375" style="81" customWidth="1"/>
    <col min="6" max="6" width="10.375" style="81" customWidth="1"/>
    <col min="7" max="7" width="11.875" style="81" customWidth="1"/>
    <col min="8" max="8" width="9.375" style="81" customWidth="1"/>
    <col min="9" max="9" width="11.25390625" style="81" customWidth="1"/>
    <col min="10" max="10" width="9.75390625" style="81" customWidth="1"/>
    <col min="11" max="11" width="11.75390625" style="81" customWidth="1"/>
    <col min="12" max="12" width="13.375" style="81" customWidth="1"/>
    <col min="13" max="13" width="10.125" style="81" bestFit="1" customWidth="1"/>
    <col min="14" max="16384" width="9.125" style="81" customWidth="1"/>
  </cols>
  <sheetData>
    <row r="1" spans="1:12" ht="12.75">
      <c r="A1" s="37"/>
      <c r="B1" s="37"/>
      <c r="C1" s="37"/>
      <c r="D1" s="117"/>
      <c r="E1" s="37"/>
      <c r="F1" s="37"/>
      <c r="G1" s="37"/>
      <c r="H1" s="37"/>
      <c r="I1" s="37"/>
      <c r="J1" s="37"/>
      <c r="K1" s="208" t="s">
        <v>29</v>
      </c>
      <c r="L1" s="208"/>
    </row>
    <row r="2" spans="1:12" ht="12.75" customHeight="1">
      <c r="A2" s="209" t="s">
        <v>104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 ht="3.75" customHeigh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</row>
    <row r="4" spans="1:12" ht="13.5" thickBot="1">
      <c r="A4" s="96"/>
      <c r="B4" s="96"/>
      <c r="C4" s="96"/>
      <c r="D4" s="118"/>
      <c r="E4" s="97"/>
      <c r="F4" s="98"/>
      <c r="G4" s="97"/>
      <c r="H4" s="98"/>
      <c r="I4" s="98"/>
      <c r="J4" s="98"/>
      <c r="K4" s="99"/>
      <c r="L4" s="54" t="s">
        <v>0</v>
      </c>
    </row>
    <row r="5" spans="1:12" ht="92.25" customHeight="1" thickBot="1">
      <c r="A5" s="100" t="s">
        <v>2</v>
      </c>
      <c r="B5" s="101" t="s">
        <v>67</v>
      </c>
      <c r="C5" s="101" t="s">
        <v>78</v>
      </c>
      <c r="D5" s="119" t="s">
        <v>68</v>
      </c>
      <c r="E5" s="101" t="s">
        <v>100</v>
      </c>
      <c r="F5" s="102" t="s">
        <v>69</v>
      </c>
      <c r="G5" s="101" t="s">
        <v>79</v>
      </c>
      <c r="H5" s="102" t="s">
        <v>71</v>
      </c>
      <c r="I5" s="102" t="s">
        <v>74</v>
      </c>
      <c r="J5" s="102" t="s">
        <v>46</v>
      </c>
      <c r="K5" s="103" t="s">
        <v>72</v>
      </c>
      <c r="L5" s="104" t="s">
        <v>73</v>
      </c>
    </row>
    <row r="6" spans="1:12" ht="12.75">
      <c r="A6" s="82" t="s">
        <v>75</v>
      </c>
      <c r="B6" s="164"/>
      <c r="C6" s="164"/>
      <c r="D6" s="165"/>
      <c r="E6" s="16"/>
      <c r="F6" s="17"/>
      <c r="G6" s="16"/>
      <c r="H6" s="17"/>
      <c r="I6" s="16"/>
      <c r="J6" s="17"/>
      <c r="K6" s="21"/>
      <c r="L6" s="18"/>
    </row>
    <row r="7" spans="1:13" ht="12.75">
      <c r="A7" s="14" t="s">
        <v>76</v>
      </c>
      <c r="B7" s="164">
        <f>32767+4600</f>
        <v>37367</v>
      </c>
      <c r="C7" s="164"/>
      <c r="D7" s="165"/>
      <c r="E7" s="16"/>
      <c r="F7" s="17"/>
      <c r="G7" s="16"/>
      <c r="H7" s="17"/>
      <c r="I7" s="16">
        <v>37367</v>
      </c>
      <c r="J7" s="17"/>
      <c r="K7" s="21"/>
      <c r="L7" s="18"/>
      <c r="M7" s="36"/>
    </row>
    <row r="8" spans="1:16" ht="12.75">
      <c r="A8" s="14" t="s">
        <v>77</v>
      </c>
      <c r="B8" s="95">
        <f>12133+8890+11580+24280+2540+21610+43500+7000+44450+65500+12650+16510+32512</f>
        <v>303155</v>
      </c>
      <c r="C8" s="95"/>
      <c r="D8" s="120">
        <f>SUM(C8/B8)*100</f>
        <v>0</v>
      </c>
      <c r="E8" s="21"/>
      <c r="F8" s="22">
        <f>SUM(E8/B8)*100</f>
        <v>0</v>
      </c>
      <c r="G8" s="21"/>
      <c r="H8" s="22">
        <f>SUM(G8/B8*100)</f>
        <v>0</v>
      </c>
      <c r="I8" s="21">
        <v>303155</v>
      </c>
      <c r="J8" s="17">
        <f>SUM(I8/B8*100)</f>
        <v>100</v>
      </c>
      <c r="K8" s="21">
        <f>SUM(B8-C8-E8-G8-I8)</f>
        <v>0</v>
      </c>
      <c r="L8" s="23">
        <f>SUM(K8/B8)*100</f>
        <v>0</v>
      </c>
      <c r="M8" s="36"/>
      <c r="N8" s="113"/>
      <c r="P8" s="113"/>
    </row>
    <row r="9" spans="1:13" ht="12.75">
      <c r="A9" s="83" t="s">
        <v>80</v>
      </c>
      <c r="B9" s="95"/>
      <c r="C9" s="95"/>
      <c r="D9" s="120"/>
      <c r="E9" s="21"/>
      <c r="F9" s="22"/>
      <c r="G9" s="21"/>
      <c r="H9" s="22"/>
      <c r="I9" s="21"/>
      <c r="J9" s="17"/>
      <c r="K9" s="21"/>
      <c r="L9" s="23"/>
      <c r="M9" s="36"/>
    </row>
    <row r="10" spans="1:13" ht="12.75">
      <c r="A10" s="14" t="s">
        <v>76</v>
      </c>
      <c r="B10" s="95">
        <f>3134958-'kötelező2019.felh.'!C9</f>
        <v>3118225</v>
      </c>
      <c r="C10" s="95"/>
      <c r="D10" s="120">
        <f>SUM(C10/B10)*100</f>
        <v>0</v>
      </c>
      <c r="E10" s="21"/>
      <c r="F10" s="22">
        <f>SUM(E10/B10)*100</f>
        <v>0</v>
      </c>
      <c r="G10" s="21"/>
      <c r="H10" s="22">
        <f>SUM(G10/B10*100)</f>
        <v>0</v>
      </c>
      <c r="I10" s="21">
        <v>3118225</v>
      </c>
      <c r="J10" s="17">
        <f>SUM(I10/B10*100)</f>
        <v>100</v>
      </c>
      <c r="K10" s="21">
        <f>SUM(B10-C10-E10-G10-I10)</f>
        <v>0</v>
      </c>
      <c r="L10" s="23">
        <f>SUM(K10/B10)*100</f>
        <v>0</v>
      </c>
      <c r="M10" s="36"/>
    </row>
    <row r="11" spans="1:18" ht="12.75">
      <c r="A11" s="14" t="s">
        <v>101</v>
      </c>
      <c r="B11" s="95">
        <f>5318254-'kötelező2019.felh.'!C10-21667-78241-13789-11592</f>
        <v>5139929</v>
      </c>
      <c r="C11" s="95"/>
      <c r="D11" s="120">
        <f>SUM(C11/B11)*100</f>
        <v>0</v>
      </c>
      <c r="E11" s="21">
        <v>4318512</v>
      </c>
      <c r="F11" s="22">
        <f>SUM(E11/B11)*100</f>
        <v>84.01890376306754</v>
      </c>
      <c r="G11" s="21">
        <v>77074</v>
      </c>
      <c r="H11" s="22">
        <f>SUM(G11/B11*100)</f>
        <v>1.4995148765673612</v>
      </c>
      <c r="I11" s="21">
        <v>744343</v>
      </c>
      <c r="J11" s="17">
        <f>SUM(I11/B11*100)</f>
        <v>14.481581360365094</v>
      </c>
      <c r="K11" s="21">
        <f>SUM(B11-C11-E11-G11-I11)</f>
        <v>0</v>
      </c>
      <c r="L11" s="23">
        <f>SUM(K11/B11)*100</f>
        <v>0</v>
      </c>
      <c r="M11" s="36"/>
      <c r="N11" s="113"/>
      <c r="P11" s="113"/>
      <c r="Q11" s="113"/>
      <c r="R11" s="113"/>
    </row>
    <row r="12" spans="1:13" ht="12.75">
      <c r="A12" s="83" t="s">
        <v>81</v>
      </c>
      <c r="B12" s="95"/>
      <c r="C12" s="95"/>
      <c r="D12" s="120"/>
      <c r="E12" s="21"/>
      <c r="F12" s="22"/>
      <c r="G12" s="21"/>
      <c r="H12" s="22"/>
      <c r="I12" s="21"/>
      <c r="J12" s="17"/>
      <c r="K12" s="21"/>
      <c r="L12" s="105"/>
      <c r="M12" s="36"/>
    </row>
    <row r="13" spans="1:13" ht="12.75">
      <c r="A13" s="14" t="s">
        <v>76</v>
      </c>
      <c r="B13" s="95">
        <v>200223</v>
      </c>
      <c r="C13" s="95"/>
      <c r="D13" s="120">
        <f>SUM(C13/B13)*100</f>
        <v>0</v>
      </c>
      <c r="E13" s="21"/>
      <c r="F13" s="22">
        <f>SUM(E13/B13)*100</f>
        <v>0</v>
      </c>
      <c r="G13" s="21"/>
      <c r="H13" s="22">
        <f>SUM(G13/B13*100)</f>
        <v>0</v>
      </c>
      <c r="I13" s="21">
        <v>200223</v>
      </c>
      <c r="J13" s="17">
        <f>SUM(I13/B13*100)</f>
        <v>100</v>
      </c>
      <c r="K13" s="21">
        <f>SUM(B13-C13-E13-G13-I13)</f>
        <v>0</v>
      </c>
      <c r="L13" s="23">
        <f>SUM(K13/B13)*100</f>
        <v>0</v>
      </c>
      <c r="M13" s="36"/>
    </row>
    <row r="14" spans="1:16" ht="12.75">
      <c r="A14" s="14" t="s">
        <v>114</v>
      </c>
      <c r="B14" s="95">
        <f>184463-9850</f>
        <v>174613</v>
      </c>
      <c r="C14" s="95"/>
      <c r="D14" s="120">
        <f>SUM(C14/B14)*100</f>
        <v>0</v>
      </c>
      <c r="E14" s="21"/>
      <c r="F14" s="22">
        <f>SUM(E14/B14)*100</f>
        <v>0</v>
      </c>
      <c r="G14" s="21"/>
      <c r="H14" s="22">
        <f>SUM(G14/B14*100)</f>
        <v>0</v>
      </c>
      <c r="I14" s="21">
        <v>174613</v>
      </c>
      <c r="J14" s="17">
        <f>SUM(I14/B14*100)</f>
        <v>100</v>
      </c>
      <c r="K14" s="21">
        <f>SUM(B14-C14-E14-G14-I14)</f>
        <v>0</v>
      </c>
      <c r="L14" s="23">
        <f>SUM(K14/B14)*100</f>
        <v>0</v>
      </c>
      <c r="M14" s="36"/>
      <c r="N14" s="113"/>
      <c r="O14" s="113"/>
      <c r="P14" s="113"/>
    </row>
    <row r="15" spans="1:13" ht="12.75">
      <c r="A15" s="83" t="s">
        <v>82</v>
      </c>
      <c r="B15" s="95"/>
      <c r="C15" s="95"/>
      <c r="D15" s="120"/>
      <c r="E15" s="21"/>
      <c r="F15" s="22"/>
      <c r="G15" s="21"/>
      <c r="H15" s="22"/>
      <c r="I15" s="21"/>
      <c r="J15" s="17"/>
      <c r="K15" s="21"/>
      <c r="L15" s="23"/>
      <c r="M15" s="36"/>
    </row>
    <row r="16" spans="1:18" ht="12.75">
      <c r="A16" s="14" t="s">
        <v>77</v>
      </c>
      <c r="B16" s="95">
        <v>5000</v>
      </c>
      <c r="C16" s="95"/>
      <c r="D16" s="120">
        <f>SUM(C16/B16)*100</f>
        <v>0</v>
      </c>
      <c r="E16" s="21"/>
      <c r="F16" s="22">
        <f>SUM(E16/B16)*100</f>
        <v>0</v>
      </c>
      <c r="G16" s="21"/>
      <c r="H16" s="22">
        <f>SUM(G16/B16*100)</f>
        <v>0</v>
      </c>
      <c r="I16" s="21">
        <v>5000</v>
      </c>
      <c r="J16" s="17">
        <f>SUM(I16/B16*100)</f>
        <v>100</v>
      </c>
      <c r="K16" s="21">
        <f>SUM(B16-C16-E16-G16-I16)</f>
        <v>0</v>
      </c>
      <c r="L16" s="23">
        <f>SUM(K16/B16)*100</f>
        <v>0</v>
      </c>
      <c r="M16" s="36"/>
      <c r="R16" s="113"/>
    </row>
    <row r="17" spans="1:13" ht="13.5" thickBot="1">
      <c r="A17" s="84" t="s">
        <v>83</v>
      </c>
      <c r="B17" s="106"/>
      <c r="C17" s="106"/>
      <c r="D17" s="121"/>
      <c r="E17" s="33"/>
      <c r="F17" s="34"/>
      <c r="G17" s="33"/>
      <c r="H17" s="34"/>
      <c r="I17" s="33"/>
      <c r="J17" s="34"/>
      <c r="K17" s="33">
        <f>SUM(B17-C17-E17-G17-I17)</f>
        <v>0</v>
      </c>
      <c r="L17" s="35"/>
      <c r="M17" s="36"/>
    </row>
    <row r="18" spans="1:13" s="31" customFormat="1" ht="13.5" thickBot="1">
      <c r="A18" s="28" t="s">
        <v>37</v>
      </c>
      <c r="B18" s="107">
        <f>SUM(B6:B17)</f>
        <v>8978512</v>
      </c>
      <c r="C18" s="107">
        <f>SUM(C6:C16)</f>
        <v>0</v>
      </c>
      <c r="D18" s="116">
        <f>SUM(C18/B18)*100</f>
        <v>0</v>
      </c>
      <c r="E18" s="107">
        <f>SUM(E6:E16)</f>
        <v>4318512</v>
      </c>
      <c r="F18" s="108">
        <f>SUM(E18/B18*100)</f>
        <v>48.098304039689424</v>
      </c>
      <c r="G18" s="107">
        <f>SUM(G6:G17)</f>
        <v>77074</v>
      </c>
      <c r="H18" s="109">
        <f>SUM(G18/B18*100)</f>
        <v>0.8584273206963471</v>
      </c>
      <c r="I18" s="107">
        <f>SUM(I6:I17)</f>
        <v>4582926</v>
      </c>
      <c r="J18" s="109">
        <f>SUM(I18/B18*100)</f>
        <v>51.043268639614226</v>
      </c>
      <c r="K18" s="107">
        <f>SUM(K6:K17)</f>
        <v>0</v>
      </c>
      <c r="L18" s="110">
        <f>SUM(K18/B18)*100</f>
        <v>0</v>
      </c>
      <c r="M18" s="36"/>
    </row>
    <row r="19" spans="1:12" ht="12.75">
      <c r="A19" s="83" t="s">
        <v>80</v>
      </c>
      <c r="B19" s="106"/>
      <c r="C19" s="106"/>
      <c r="D19" s="121"/>
      <c r="E19" s="106"/>
      <c r="F19" s="34"/>
      <c r="G19" s="106"/>
      <c r="H19" s="34"/>
      <c r="I19" s="106"/>
      <c r="J19" s="34"/>
      <c r="K19" s="33"/>
      <c r="L19" s="35"/>
    </row>
    <row r="20" spans="1:12" ht="12.75">
      <c r="A20" s="14" t="s">
        <v>76</v>
      </c>
      <c r="B20" s="95"/>
      <c r="C20" s="95"/>
      <c r="D20" s="120"/>
      <c r="E20" s="95"/>
      <c r="F20" s="22"/>
      <c r="G20" s="95"/>
      <c r="H20" s="22"/>
      <c r="I20" s="95"/>
      <c r="J20" s="22"/>
      <c r="K20" s="21"/>
      <c r="L20" s="23"/>
    </row>
    <row r="21" spans="1:12" ht="13.5" thickBot="1">
      <c r="A21" s="14" t="s">
        <v>77</v>
      </c>
      <c r="B21" s="166">
        <v>21667</v>
      </c>
      <c r="C21" s="166"/>
      <c r="D21" s="167">
        <f>SUM(C21/B21)*100</f>
        <v>0</v>
      </c>
      <c r="E21" s="27"/>
      <c r="F21" s="40">
        <f>SUM(E21/B21)*100</f>
        <v>0</v>
      </c>
      <c r="G21" s="27"/>
      <c r="H21" s="40">
        <f>SUM(G21/B21*100)</f>
        <v>0</v>
      </c>
      <c r="I21" s="27"/>
      <c r="J21" s="40">
        <f>SUM(I21/B21*100)</f>
        <v>0</v>
      </c>
      <c r="K21" s="27">
        <f>SUM(B21-C21-E21-G21-I21)</f>
        <v>21667</v>
      </c>
      <c r="L21" s="41">
        <f>SUM(K21/B21)*100</f>
        <v>100</v>
      </c>
    </row>
    <row r="22" spans="1:12" s="31" customFormat="1" ht="13.5" thickBot="1">
      <c r="A22" s="28" t="s">
        <v>38</v>
      </c>
      <c r="B22" s="107">
        <f>SUM(B19:B21)</f>
        <v>21667</v>
      </c>
      <c r="C22" s="107">
        <f>SUM(C19:C21)</f>
        <v>0</v>
      </c>
      <c r="D22" s="116">
        <f>SUM(C22/B22)*100</f>
        <v>0</v>
      </c>
      <c r="E22" s="107">
        <f>SUM(E21)</f>
        <v>0</v>
      </c>
      <c r="F22" s="109">
        <f>SUM(E22/B22)*100</f>
        <v>0</v>
      </c>
      <c r="G22" s="107">
        <f>SUM(G19:G21)</f>
        <v>0</v>
      </c>
      <c r="H22" s="109">
        <f>SUM(H21)</f>
        <v>0</v>
      </c>
      <c r="I22" s="107">
        <f>SUM(I19:I21)</f>
        <v>0</v>
      </c>
      <c r="J22" s="109">
        <f>SUM(I22/B22*100)</f>
        <v>0</v>
      </c>
      <c r="K22" s="107">
        <f>SUM(K19:K21)</f>
        <v>21667</v>
      </c>
      <c r="L22" s="110">
        <f>SUM(L21)</f>
        <v>100</v>
      </c>
    </row>
    <row r="23" spans="1:12" s="31" customFormat="1" ht="12.75">
      <c r="A23" s="135" t="s">
        <v>75</v>
      </c>
      <c r="B23" s="168"/>
      <c r="C23" s="168"/>
      <c r="D23" s="169"/>
      <c r="E23" s="168"/>
      <c r="F23" s="170"/>
      <c r="G23" s="168"/>
      <c r="H23" s="170"/>
      <c r="I23" s="168"/>
      <c r="J23" s="170"/>
      <c r="K23" s="168"/>
      <c r="L23" s="171"/>
    </row>
    <row r="24" spans="1:12" s="31" customFormat="1" ht="12.75">
      <c r="A24" s="172" t="s">
        <v>101</v>
      </c>
      <c r="B24" s="95">
        <v>2754</v>
      </c>
      <c r="C24" s="95"/>
      <c r="D24" s="173">
        <f>SUM(C24/B24)*100</f>
        <v>0</v>
      </c>
      <c r="E24" s="174"/>
      <c r="F24" s="175"/>
      <c r="G24" s="174"/>
      <c r="H24" s="175"/>
      <c r="I24" s="174">
        <v>1724</v>
      </c>
      <c r="J24" s="175">
        <f>SUM(I24/B24*100)</f>
        <v>62.5998547567175</v>
      </c>
      <c r="K24" s="174">
        <f>SUM(B24-C24-E24-G24-I24)</f>
        <v>1030</v>
      </c>
      <c r="L24" s="176">
        <f>SUM(K24/B24)*100</f>
        <v>37.400145243282495</v>
      </c>
    </row>
    <row r="25" spans="1:12" s="31" customFormat="1" ht="12.75">
      <c r="A25" s="82" t="s">
        <v>80</v>
      </c>
      <c r="B25" s="177"/>
      <c r="C25" s="106"/>
      <c r="D25" s="173"/>
      <c r="E25" s="177"/>
      <c r="F25" s="178"/>
      <c r="G25" s="177"/>
      <c r="H25" s="178"/>
      <c r="I25" s="177"/>
      <c r="J25" s="178"/>
      <c r="K25" s="177"/>
      <c r="L25" s="179"/>
    </row>
    <row r="26" spans="1:12" s="31" customFormat="1" ht="13.5" thickBot="1">
      <c r="A26" s="125" t="s">
        <v>77</v>
      </c>
      <c r="B26" s="166">
        <v>73557</v>
      </c>
      <c r="C26" s="166">
        <v>85</v>
      </c>
      <c r="D26" s="173">
        <f>SUM(C26/B26)*100</f>
        <v>0.11555664314749108</v>
      </c>
      <c r="E26" s="180"/>
      <c r="F26" s="181">
        <f>SUM(E26/B26)*100</f>
        <v>0</v>
      </c>
      <c r="G26" s="180"/>
      <c r="H26" s="181"/>
      <c r="I26" s="166">
        <f>16034-4484</f>
        <v>11550</v>
      </c>
      <c r="J26" s="181">
        <f>SUM(I26/B26*100)</f>
        <v>15.702108568864961</v>
      </c>
      <c r="K26" s="180">
        <f>SUM(B26-C26-E26-G26-I26)</f>
        <v>61922</v>
      </c>
      <c r="L26" s="182">
        <f>SUM(K26/B26)*100</f>
        <v>84.18233478798754</v>
      </c>
    </row>
    <row r="27" spans="1:14" s="31" customFormat="1" ht="13.5" thickBot="1">
      <c r="A27" s="183" t="s">
        <v>36</v>
      </c>
      <c r="B27" s="107">
        <f>SUM(B26,B24)</f>
        <v>76311</v>
      </c>
      <c r="C27" s="107">
        <f>SUM(C24:C26)</f>
        <v>85</v>
      </c>
      <c r="D27" s="116">
        <f>SUM(C27/B27)*100</f>
        <v>0.11138630079542923</v>
      </c>
      <c r="E27" s="107"/>
      <c r="F27" s="109"/>
      <c r="G27" s="107"/>
      <c r="H27" s="109"/>
      <c r="I27" s="107">
        <f>SUM(I24:I26)</f>
        <v>13274</v>
      </c>
      <c r="J27" s="109">
        <f>SUM(J26)</f>
        <v>15.702108568864961</v>
      </c>
      <c r="K27" s="107">
        <f>SUM(K24:K26)</f>
        <v>62952</v>
      </c>
      <c r="L27" s="110">
        <f>SUM(K27/B27)*100</f>
        <v>82.49400479616307</v>
      </c>
      <c r="N27" s="36"/>
    </row>
    <row r="28" spans="1:12" s="31" customFormat="1" ht="12.75">
      <c r="A28" s="82" t="s">
        <v>75</v>
      </c>
      <c r="B28" s="168"/>
      <c r="C28" s="168"/>
      <c r="D28" s="169"/>
      <c r="E28" s="168"/>
      <c r="F28" s="170"/>
      <c r="G28" s="168"/>
      <c r="H28" s="170"/>
      <c r="I28" s="168"/>
      <c r="J28" s="170"/>
      <c r="K28" s="168"/>
      <c r="L28" s="171"/>
    </row>
    <row r="29" spans="1:12" s="31" customFormat="1" ht="13.5" thickBot="1">
      <c r="A29" s="14" t="s">
        <v>77</v>
      </c>
      <c r="B29" s="184"/>
      <c r="C29" s="184"/>
      <c r="D29" s="173"/>
      <c r="E29" s="185"/>
      <c r="F29" s="186"/>
      <c r="G29" s="185"/>
      <c r="H29" s="186"/>
      <c r="I29" s="185"/>
      <c r="J29" s="186"/>
      <c r="K29" s="185"/>
      <c r="L29" s="187"/>
    </row>
    <row r="30" spans="1:12" s="31" customFormat="1" ht="13.5" thickBot="1">
      <c r="A30" s="188" t="s">
        <v>50</v>
      </c>
      <c r="B30" s="189">
        <f>SUM(B29)</f>
        <v>0</v>
      </c>
      <c r="C30" s="189">
        <f aca="true" t="shared" si="0" ref="C30:K30">SUM(C29)</f>
        <v>0</v>
      </c>
      <c r="D30" s="190">
        <f t="shared" si="0"/>
        <v>0</v>
      </c>
      <c r="E30" s="189">
        <f t="shared" si="0"/>
        <v>0</v>
      </c>
      <c r="F30" s="189">
        <f t="shared" si="0"/>
        <v>0</v>
      </c>
      <c r="G30" s="189">
        <f t="shared" si="0"/>
        <v>0</v>
      </c>
      <c r="H30" s="189">
        <f t="shared" si="0"/>
        <v>0</v>
      </c>
      <c r="I30" s="189">
        <f t="shared" si="0"/>
        <v>0</v>
      </c>
      <c r="J30" s="189">
        <f t="shared" si="0"/>
        <v>0</v>
      </c>
      <c r="K30" s="189">
        <f t="shared" si="0"/>
        <v>0</v>
      </c>
      <c r="L30" s="191"/>
    </row>
    <row r="31" spans="1:12" s="31" customFormat="1" ht="12.75">
      <c r="A31" s="82" t="s">
        <v>80</v>
      </c>
      <c r="B31" s="177"/>
      <c r="C31" s="177"/>
      <c r="D31" s="192"/>
      <c r="E31" s="177"/>
      <c r="F31" s="178"/>
      <c r="G31" s="177"/>
      <c r="H31" s="178"/>
      <c r="I31" s="177"/>
      <c r="J31" s="178"/>
      <c r="K31" s="177"/>
      <c r="L31" s="179"/>
    </row>
    <row r="32" spans="1:12" s="31" customFormat="1" ht="13.5" thickBot="1">
      <c r="A32" s="125" t="s">
        <v>77</v>
      </c>
      <c r="B32" s="166">
        <v>2516</v>
      </c>
      <c r="C32" s="166"/>
      <c r="D32" s="167">
        <f>SUM(C32/B32)*100</f>
        <v>0</v>
      </c>
      <c r="E32" s="180"/>
      <c r="F32" s="181">
        <f>SUM(E32/B32)*100</f>
        <v>0</v>
      </c>
      <c r="G32" s="180"/>
      <c r="H32" s="181"/>
      <c r="I32" s="180"/>
      <c r="J32" s="181"/>
      <c r="K32" s="180">
        <f>SUM(B32-C32-E32-G32-I32)</f>
        <v>2516</v>
      </c>
      <c r="L32" s="182">
        <f>SUM(K32/B32)*100</f>
        <v>100</v>
      </c>
    </row>
    <row r="33" spans="1:12" s="31" customFormat="1" ht="13.5" thickBot="1">
      <c r="A33" s="193" t="s">
        <v>87</v>
      </c>
      <c r="B33" s="107">
        <f>SUM(B32)</f>
        <v>2516</v>
      </c>
      <c r="C33" s="107">
        <f>SUM(C32)</f>
        <v>0</v>
      </c>
      <c r="D33" s="116">
        <f>SUM(C33/B33)*100</f>
        <v>0</v>
      </c>
      <c r="E33" s="107"/>
      <c r="F33" s="109"/>
      <c r="G33" s="107"/>
      <c r="H33" s="109"/>
      <c r="I33" s="107"/>
      <c r="J33" s="109"/>
      <c r="K33" s="107">
        <f>SUM(K32)</f>
        <v>2516</v>
      </c>
      <c r="L33" s="182">
        <f>SUM(K33/B33)*100</f>
        <v>100</v>
      </c>
    </row>
    <row r="34" spans="1:12" s="31" customFormat="1" ht="12.75">
      <c r="A34" s="82" t="s">
        <v>80</v>
      </c>
      <c r="B34" s="168"/>
      <c r="C34" s="168"/>
      <c r="D34" s="169"/>
      <c r="E34" s="168"/>
      <c r="F34" s="170"/>
      <c r="G34" s="168"/>
      <c r="H34" s="170"/>
      <c r="I34" s="168"/>
      <c r="J34" s="170"/>
      <c r="K34" s="168"/>
      <c r="L34" s="171"/>
    </row>
    <row r="35" spans="1:12" s="31" customFormat="1" ht="13.5" thickBot="1">
      <c r="A35" s="125" t="s">
        <v>77</v>
      </c>
      <c r="B35" s="166">
        <v>5668</v>
      </c>
      <c r="C35" s="166"/>
      <c r="D35" s="167">
        <f>SUM(C35/B35)*100</f>
        <v>0</v>
      </c>
      <c r="E35" s="180"/>
      <c r="F35" s="181">
        <f>SUM(E35/B35)*100</f>
        <v>0</v>
      </c>
      <c r="G35" s="180"/>
      <c r="H35" s="181"/>
      <c r="I35" s="180"/>
      <c r="J35" s="181"/>
      <c r="K35" s="180">
        <f>SUM(B35-C35-E35-G35-I35)</f>
        <v>5668</v>
      </c>
      <c r="L35" s="182">
        <f>SUM(K35/B35)*100</f>
        <v>100</v>
      </c>
    </row>
    <row r="36" spans="1:12" s="31" customFormat="1" ht="13.5" thickBot="1">
      <c r="A36" s="193" t="s">
        <v>84</v>
      </c>
      <c r="B36" s="107">
        <f>SUM(B35)</f>
        <v>5668</v>
      </c>
      <c r="C36" s="107">
        <f>SUM(C35)</f>
        <v>0</v>
      </c>
      <c r="D36" s="116">
        <f>SUM(C36/B36)*100</f>
        <v>0</v>
      </c>
      <c r="E36" s="107"/>
      <c r="F36" s="109"/>
      <c r="G36" s="107"/>
      <c r="H36" s="109"/>
      <c r="I36" s="107"/>
      <c r="J36" s="109"/>
      <c r="K36" s="107">
        <f>SUM(K35)</f>
        <v>5668</v>
      </c>
      <c r="L36" s="182">
        <f>SUM(K36/B36)*100</f>
        <v>100</v>
      </c>
    </row>
    <row r="37" spans="1:12" s="31" customFormat="1" ht="12.75">
      <c r="A37" s="82" t="s">
        <v>80</v>
      </c>
      <c r="B37" s="168"/>
      <c r="C37" s="168"/>
      <c r="D37" s="169"/>
      <c r="E37" s="168"/>
      <c r="F37" s="170"/>
      <c r="G37" s="168"/>
      <c r="H37" s="170"/>
      <c r="I37" s="168"/>
      <c r="J37" s="170"/>
      <c r="K37" s="168"/>
      <c r="L37" s="171"/>
    </row>
    <row r="38" spans="1:12" s="31" customFormat="1" ht="13.5" thickBot="1">
      <c r="A38" s="125" t="s">
        <v>77</v>
      </c>
      <c r="B38" s="166">
        <v>499</v>
      </c>
      <c r="C38" s="166"/>
      <c r="D38" s="167">
        <f>SUM(C38/B38)*100</f>
        <v>0</v>
      </c>
      <c r="E38" s="180"/>
      <c r="F38" s="181">
        <f>SUM(E38/B38)*100</f>
        <v>0</v>
      </c>
      <c r="G38" s="180"/>
      <c r="H38" s="181"/>
      <c r="I38" s="180"/>
      <c r="J38" s="181"/>
      <c r="K38" s="180">
        <f>SUM(B38-C38-E38-G38-I38)</f>
        <v>499</v>
      </c>
      <c r="L38" s="182">
        <f>SUM(K38/B38)*100</f>
        <v>100</v>
      </c>
    </row>
    <row r="39" spans="1:12" s="31" customFormat="1" ht="13.5" thickBot="1">
      <c r="A39" s="193" t="s">
        <v>85</v>
      </c>
      <c r="B39" s="107">
        <f>SUM(B38)</f>
        <v>499</v>
      </c>
      <c r="C39" s="107">
        <f>SUM(C38)</f>
        <v>0</v>
      </c>
      <c r="D39" s="116">
        <f>SUM(C39/B39)*100</f>
        <v>0</v>
      </c>
      <c r="E39" s="107"/>
      <c r="F39" s="109"/>
      <c r="G39" s="107"/>
      <c r="H39" s="109"/>
      <c r="I39" s="107"/>
      <c r="J39" s="109"/>
      <c r="K39" s="107">
        <f>SUM(K38)</f>
        <v>499</v>
      </c>
      <c r="L39" s="182">
        <f>SUM(K39/B39)*100</f>
        <v>100</v>
      </c>
    </row>
    <row r="40" spans="1:12" s="31" customFormat="1" ht="12.75">
      <c r="A40" s="82" t="s">
        <v>80</v>
      </c>
      <c r="B40" s="168"/>
      <c r="C40" s="168"/>
      <c r="D40" s="169"/>
      <c r="E40" s="168"/>
      <c r="F40" s="170"/>
      <c r="G40" s="168"/>
      <c r="H40" s="170"/>
      <c r="I40" s="168"/>
      <c r="J40" s="170"/>
      <c r="K40" s="168"/>
      <c r="L40" s="171"/>
    </row>
    <row r="41" spans="1:12" s="31" customFormat="1" ht="13.5" thickBot="1">
      <c r="A41" s="125" t="s">
        <v>77</v>
      </c>
      <c r="B41" s="184">
        <v>551</v>
      </c>
      <c r="C41" s="184"/>
      <c r="D41" s="173">
        <f>SUM(C41/B41)*100</f>
        <v>0</v>
      </c>
      <c r="E41" s="185"/>
      <c r="F41" s="186">
        <f>SUM(E41/B41)*100</f>
        <v>0</v>
      </c>
      <c r="G41" s="185"/>
      <c r="H41" s="186"/>
      <c r="I41" s="185"/>
      <c r="J41" s="186"/>
      <c r="K41" s="185">
        <f>SUM(B41-C41-E41-G41-I41)</f>
        <v>551</v>
      </c>
      <c r="L41" s="187">
        <f>SUM(K41/B41)*100</f>
        <v>100</v>
      </c>
    </row>
    <row r="42" spans="1:12" s="31" customFormat="1" ht="13.5" thickBot="1">
      <c r="A42" s="28" t="s">
        <v>86</v>
      </c>
      <c r="B42" s="107">
        <f>SUM(B41)</f>
        <v>551</v>
      </c>
      <c r="C42" s="107">
        <f>SUM(C41)</f>
        <v>0</v>
      </c>
      <c r="D42" s="116">
        <f>SUM(C42/B42)*100</f>
        <v>0</v>
      </c>
      <c r="E42" s="107"/>
      <c r="F42" s="109"/>
      <c r="G42" s="107"/>
      <c r="H42" s="109"/>
      <c r="I42" s="107"/>
      <c r="J42" s="109"/>
      <c r="K42" s="107">
        <f>SUM(K41)</f>
        <v>551</v>
      </c>
      <c r="L42" s="187">
        <f>SUM(K42/B42)*100</f>
        <v>100</v>
      </c>
    </row>
    <row r="43" spans="1:12" s="31" customFormat="1" ht="12.75">
      <c r="A43" s="82" t="s">
        <v>80</v>
      </c>
      <c r="B43" s="168"/>
      <c r="C43" s="168"/>
      <c r="D43" s="169"/>
      <c r="E43" s="168"/>
      <c r="F43" s="170"/>
      <c r="G43" s="168"/>
      <c r="H43" s="170"/>
      <c r="I43" s="168"/>
      <c r="J43" s="170"/>
      <c r="K43" s="168"/>
      <c r="L43" s="171"/>
    </row>
    <row r="44" spans="1:12" s="31" customFormat="1" ht="13.5" thickBot="1">
      <c r="A44" s="125" t="s">
        <v>77</v>
      </c>
      <c r="B44" s="166">
        <v>1243</v>
      </c>
      <c r="C44" s="166"/>
      <c r="D44" s="167">
        <f>SUM(C44/B44)*100</f>
        <v>0</v>
      </c>
      <c r="E44" s="180"/>
      <c r="F44" s="181">
        <f>SUM(E44/B44)*100</f>
        <v>0</v>
      </c>
      <c r="G44" s="180"/>
      <c r="H44" s="181"/>
      <c r="I44" s="180"/>
      <c r="J44" s="181"/>
      <c r="K44" s="180">
        <f>SUM(B44-C44-E44-G44-I44)</f>
        <v>1243</v>
      </c>
      <c r="L44" s="182">
        <f>SUM(K44/B44)*100</f>
        <v>100</v>
      </c>
    </row>
    <row r="45" spans="1:12" s="31" customFormat="1" ht="13.5" thickBot="1">
      <c r="A45" s="28" t="s">
        <v>88</v>
      </c>
      <c r="B45" s="107">
        <f>SUM(B44)</f>
        <v>1243</v>
      </c>
      <c r="C45" s="107">
        <f>SUM(C44)</f>
        <v>0</v>
      </c>
      <c r="D45" s="194">
        <f>SUM(C45/B45)*100</f>
        <v>0</v>
      </c>
      <c r="E45" s="107"/>
      <c r="F45" s="109"/>
      <c r="G45" s="107"/>
      <c r="H45" s="109"/>
      <c r="I45" s="107"/>
      <c r="J45" s="109"/>
      <c r="K45" s="107">
        <f>SUM(K44)</f>
        <v>1243</v>
      </c>
      <c r="L45" s="182">
        <f>SUM(K45/B45)*100</f>
        <v>100</v>
      </c>
    </row>
    <row r="46" spans="1:12" s="31" customFormat="1" ht="13.5" thickBot="1">
      <c r="A46" s="84" t="s">
        <v>80</v>
      </c>
      <c r="B46" s="107"/>
      <c r="C46" s="107"/>
      <c r="D46" s="116"/>
      <c r="E46" s="107"/>
      <c r="F46" s="109"/>
      <c r="G46" s="107"/>
      <c r="H46" s="109"/>
      <c r="I46" s="107"/>
      <c r="J46" s="109"/>
      <c r="K46" s="107"/>
      <c r="L46" s="110"/>
    </row>
    <row r="47" spans="1:12" s="31" customFormat="1" ht="13.5" thickBot="1">
      <c r="A47" s="195" t="s">
        <v>77</v>
      </c>
      <c r="B47" s="196">
        <v>1115</v>
      </c>
      <c r="C47" s="196"/>
      <c r="D47" s="197">
        <f>SUM(C47/B47)*100</f>
        <v>0</v>
      </c>
      <c r="E47" s="168"/>
      <c r="F47" s="170">
        <f>SUM(E47/B47)*100</f>
        <v>0</v>
      </c>
      <c r="G47" s="168"/>
      <c r="H47" s="170"/>
      <c r="I47" s="168"/>
      <c r="J47" s="170"/>
      <c r="K47" s="168">
        <f>SUM(B47-C47-E47-G47-I47)</f>
        <v>1115</v>
      </c>
      <c r="L47" s="171">
        <f>SUM(K47/B47)*100</f>
        <v>100</v>
      </c>
    </row>
    <row r="48" spans="1:12" s="31" customFormat="1" ht="13.5" thickBot="1">
      <c r="A48" s="198" t="s">
        <v>89</v>
      </c>
      <c r="B48" s="180">
        <f>SUM(B47)</f>
        <v>1115</v>
      </c>
      <c r="C48" s="180">
        <f>SUM(C47)</f>
        <v>0</v>
      </c>
      <c r="D48" s="194">
        <f>SUM(C48/B48)*100</f>
        <v>0</v>
      </c>
      <c r="E48" s="180"/>
      <c r="F48" s="181"/>
      <c r="G48" s="180"/>
      <c r="H48" s="181"/>
      <c r="I48" s="180"/>
      <c r="J48" s="181"/>
      <c r="K48" s="180">
        <f>SUM(K47)</f>
        <v>1115</v>
      </c>
      <c r="L48" s="171">
        <f>SUM(K48/B48)*100</f>
        <v>100</v>
      </c>
    </row>
    <row r="49" spans="1:13" s="31" customFormat="1" ht="13.5" thickBot="1">
      <c r="A49" s="111" t="s">
        <v>16</v>
      </c>
      <c r="B49" s="107">
        <f>SUM(B22,B18,B27,B36,B39,B42,B45,B48,B33,B30)</f>
        <v>9088082</v>
      </c>
      <c r="C49" s="107">
        <f>SUM(C22,C18,C27,C36,C39,C42,C45,C48,C33,C30)</f>
        <v>85</v>
      </c>
      <c r="D49" s="116">
        <f>SUM(C49/B49)*100</f>
        <v>0.0009352908567506323</v>
      </c>
      <c r="E49" s="107">
        <f>SUM(E22,E18)</f>
        <v>4318512</v>
      </c>
      <c r="F49" s="109">
        <f>SUM(E49/B49)*100</f>
        <v>47.518409274916316</v>
      </c>
      <c r="G49" s="107">
        <f>SUM(G22,G18)</f>
        <v>77074</v>
      </c>
      <c r="H49" s="109">
        <f>SUM(G49/B49*100)</f>
        <v>0.8480777352140969</v>
      </c>
      <c r="I49" s="107">
        <f>SUM(I22,I18,I27,I36,I39,I42,I45,I48,I33)</f>
        <v>4596200</v>
      </c>
      <c r="J49" s="109">
        <f>SUM(I49/B49*100)</f>
        <v>50.573927479967715</v>
      </c>
      <c r="K49" s="107">
        <f>SUM(K22,K18,K27,K33,K36,K39,K42,K45,K48)</f>
        <v>96211</v>
      </c>
      <c r="L49" s="110">
        <f>SUM(K49/B49)*100</f>
        <v>1.0586502190451188</v>
      </c>
      <c r="M49" s="36"/>
    </row>
    <row r="50" spans="3:11" ht="12.75">
      <c r="C50" s="112"/>
      <c r="E50" s="113"/>
      <c r="F50" s="114"/>
      <c r="G50" s="113"/>
      <c r="H50" s="114"/>
      <c r="I50" s="114"/>
      <c r="J50" s="114"/>
      <c r="K50" s="112"/>
    </row>
    <row r="51" ht="12.75">
      <c r="B51" s="113"/>
    </row>
    <row r="53" ht="12.75">
      <c r="B53" s="113"/>
    </row>
    <row r="55" ht="12.75">
      <c r="B55" s="113"/>
    </row>
    <row r="57" ht="12.75">
      <c r="B57" s="113"/>
    </row>
    <row r="59" ht="12.75">
      <c r="B59" s="113"/>
    </row>
  </sheetData>
  <sheetProtection/>
  <mergeCells count="2">
    <mergeCell ref="K1:L1"/>
    <mergeCell ref="A2:L3"/>
  </mergeCells>
  <printOptions/>
  <pageMargins left="0.7480314960629921" right="0.15748031496062992" top="0.5905511811023623" bottom="0.3937007874015748" header="0.2755905511811024" footer="0.5118110236220472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37"/>
  <sheetViews>
    <sheetView zoomScalePageLayoutView="0" workbookViewId="0" topLeftCell="B1">
      <selection activeCell="C36" sqref="C36:E37"/>
    </sheetView>
  </sheetViews>
  <sheetFormatPr defaultColWidth="9.00390625" defaultRowHeight="12.75"/>
  <cols>
    <col min="1" max="1" width="1.12109375" style="1" hidden="1" customWidth="1"/>
    <col min="2" max="2" width="33.25390625" style="1" customWidth="1"/>
    <col min="3" max="3" width="10.25390625" style="3" customWidth="1"/>
    <col min="4" max="4" width="9.375" style="3" bestFit="1" customWidth="1"/>
    <col min="5" max="5" width="9.75390625" style="2" customWidth="1"/>
    <col min="6" max="6" width="10.875" style="3" customWidth="1"/>
    <col min="7" max="7" width="9.75390625" style="7" customWidth="1"/>
    <col min="8" max="8" width="11.625" style="59" customWidth="1"/>
    <col min="9" max="9" width="8.375" style="63" customWidth="1"/>
    <col min="10" max="10" width="9.75390625" style="5" customWidth="1"/>
    <col min="11" max="11" width="10.00390625" style="68" customWidth="1"/>
    <col min="12" max="12" width="11.125" style="6" customWidth="1"/>
    <col min="13" max="13" width="13.00390625" style="1" customWidth="1"/>
    <col min="14" max="16384" width="9.125" style="1" customWidth="1"/>
  </cols>
  <sheetData>
    <row r="1" spans="12:13" ht="12" customHeight="1">
      <c r="L1" s="211" t="s">
        <v>28</v>
      </c>
      <c r="M1" s="211"/>
    </row>
    <row r="2" spans="2:13" ht="18" customHeight="1">
      <c r="B2" s="210" t="s">
        <v>105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2:13" ht="12" customHeight="1" thickBot="1">
      <c r="B3" s="37"/>
      <c r="C3" s="49"/>
      <c r="D3" s="49"/>
      <c r="E3" s="50"/>
      <c r="F3" s="49"/>
      <c r="G3" s="51"/>
      <c r="H3" s="60"/>
      <c r="I3" s="64"/>
      <c r="J3" s="52"/>
      <c r="K3" s="69"/>
      <c r="L3" s="53"/>
      <c r="M3" s="54" t="s">
        <v>0</v>
      </c>
    </row>
    <row r="4" spans="2:13" s="56" customFormat="1" ht="51.75" customHeight="1" thickBot="1">
      <c r="B4" s="38" t="s">
        <v>2</v>
      </c>
      <c r="C4" s="46" t="s">
        <v>63</v>
      </c>
      <c r="D4" s="46" t="s">
        <v>78</v>
      </c>
      <c r="E4" s="47" t="s">
        <v>68</v>
      </c>
      <c r="F4" s="46" t="s">
        <v>58</v>
      </c>
      <c r="G4" s="47" t="s">
        <v>69</v>
      </c>
      <c r="H4" s="46" t="s">
        <v>79</v>
      </c>
      <c r="I4" s="47" t="s">
        <v>71</v>
      </c>
      <c r="J4" s="47" t="s">
        <v>74</v>
      </c>
      <c r="K4" s="47" t="s">
        <v>46</v>
      </c>
      <c r="L4" s="48" t="s">
        <v>72</v>
      </c>
      <c r="M4" s="55" t="s">
        <v>73</v>
      </c>
    </row>
    <row r="5" spans="2:13" ht="12" customHeight="1">
      <c r="B5" s="82" t="s">
        <v>75</v>
      </c>
      <c r="C5" s="20"/>
      <c r="D5" s="21"/>
      <c r="E5" s="22"/>
      <c r="F5" s="21"/>
      <c r="G5" s="17"/>
      <c r="H5" s="21"/>
      <c r="I5" s="65"/>
      <c r="J5" s="16"/>
      <c r="K5" s="17"/>
      <c r="L5" s="16"/>
      <c r="M5" s="23"/>
    </row>
    <row r="6" spans="2:13" ht="12" customHeight="1">
      <c r="B6" s="14" t="s">
        <v>76</v>
      </c>
      <c r="C6" s="20">
        <f>92723-'önként2019.felh.'!B7</f>
        <v>55356</v>
      </c>
      <c r="D6" s="21"/>
      <c r="E6" s="22"/>
      <c r="F6" s="21"/>
      <c r="G6" s="17"/>
      <c r="H6" s="21"/>
      <c r="I6" s="65"/>
      <c r="J6" s="16">
        <v>55356</v>
      </c>
      <c r="K6" s="17">
        <f>SUM(J6/C6)*100</f>
        <v>100</v>
      </c>
      <c r="L6" s="16">
        <f>SUM(C6-D6-F6-H6-J6)</f>
        <v>0</v>
      </c>
      <c r="M6" s="23">
        <f>SUM(L6/C6)*100</f>
        <v>0</v>
      </c>
    </row>
    <row r="7" spans="2:13" ht="12" customHeight="1">
      <c r="B7" s="14" t="s">
        <v>77</v>
      </c>
      <c r="C7" s="20">
        <f>42088+924+6000+7850+76158+3032+21923+25500+32365</f>
        <v>215840</v>
      </c>
      <c r="D7" s="21"/>
      <c r="E7" s="22">
        <f>SUM(D7/C7)*100</f>
        <v>0</v>
      </c>
      <c r="F7" s="21"/>
      <c r="G7" s="17">
        <f>SUM(F7/C7)*100</f>
        <v>0</v>
      </c>
      <c r="H7" s="21"/>
      <c r="I7" s="65">
        <f>SUM(H7/C7)*100</f>
        <v>0</v>
      </c>
      <c r="J7" s="16">
        <v>215840</v>
      </c>
      <c r="K7" s="17">
        <f>SUM(J7/C7)*100</f>
        <v>100</v>
      </c>
      <c r="L7" s="16">
        <f>SUM(C7-D7-F7-H7-J7)</f>
        <v>0</v>
      </c>
      <c r="M7" s="23">
        <f>SUM(L7/C7)*100</f>
        <v>0</v>
      </c>
    </row>
    <row r="8" spans="2:13" ht="12" customHeight="1">
      <c r="B8" s="83" t="s">
        <v>80</v>
      </c>
      <c r="C8" s="20"/>
      <c r="D8" s="21"/>
      <c r="E8" s="22"/>
      <c r="F8" s="21"/>
      <c r="G8" s="22"/>
      <c r="H8" s="21"/>
      <c r="I8" s="65"/>
      <c r="J8" s="16"/>
      <c r="K8" s="17"/>
      <c r="L8" s="16"/>
      <c r="M8" s="23"/>
    </row>
    <row r="9" spans="2:13" ht="12" customHeight="1">
      <c r="B9" s="14" t="s">
        <v>76</v>
      </c>
      <c r="C9" s="20">
        <f>6366+5414+4953</f>
        <v>16733</v>
      </c>
      <c r="D9" s="21"/>
      <c r="E9" s="22"/>
      <c r="F9" s="21"/>
      <c r="G9" s="22"/>
      <c r="H9" s="21"/>
      <c r="I9" s="65"/>
      <c r="J9" s="16">
        <v>16733</v>
      </c>
      <c r="K9" s="17">
        <f>SUM(J9/C9)*100</f>
        <v>100</v>
      </c>
      <c r="L9" s="16"/>
      <c r="M9" s="23">
        <f>SUM(L9/C9)*100</f>
        <v>0</v>
      </c>
    </row>
    <row r="10" spans="2:13" ht="12" customHeight="1">
      <c r="B10" s="14" t="s">
        <v>77</v>
      </c>
      <c r="C10" s="20">
        <f>21000+25000+7036</f>
        <v>53036</v>
      </c>
      <c r="D10" s="21"/>
      <c r="E10" s="22">
        <f>SUM(D10/C10)*100</f>
        <v>0</v>
      </c>
      <c r="F10" s="21"/>
      <c r="G10" s="22">
        <f>SUM(F10/C10)*100</f>
        <v>0</v>
      </c>
      <c r="H10" s="21"/>
      <c r="I10" s="65">
        <f>SUM(H10/C10)*100</f>
        <v>0</v>
      </c>
      <c r="J10" s="16">
        <v>53036</v>
      </c>
      <c r="K10" s="17">
        <f>SUM(J10/C10)*100</f>
        <v>100</v>
      </c>
      <c r="L10" s="16">
        <f>SUM(C10-D10-F10-H10-J10)</f>
        <v>0</v>
      </c>
      <c r="M10" s="23">
        <f>SUM(L10/C10)*100</f>
        <v>0</v>
      </c>
    </row>
    <row r="11" spans="2:13" ht="12" customHeight="1">
      <c r="B11" s="87" t="s">
        <v>81</v>
      </c>
      <c r="C11" s="32"/>
      <c r="D11" s="33"/>
      <c r="E11" s="34"/>
      <c r="F11" s="33"/>
      <c r="G11" s="34"/>
      <c r="H11" s="33"/>
      <c r="I11" s="115"/>
      <c r="J11" s="33"/>
      <c r="K11" s="34"/>
      <c r="L11" s="33"/>
      <c r="M11" s="212"/>
    </row>
    <row r="12" spans="2:13" ht="12" customHeight="1">
      <c r="B12" s="14" t="s">
        <v>76</v>
      </c>
      <c r="C12" s="32">
        <v>0</v>
      </c>
      <c r="D12" s="33"/>
      <c r="E12" s="34"/>
      <c r="F12" s="33"/>
      <c r="G12" s="34"/>
      <c r="H12" s="33"/>
      <c r="I12" s="115"/>
      <c r="J12" s="33"/>
      <c r="K12" s="34"/>
      <c r="L12" s="33"/>
      <c r="M12" s="213"/>
    </row>
    <row r="13" spans="2:13" ht="12" customHeight="1" thickBot="1">
      <c r="B13" s="39" t="s">
        <v>77</v>
      </c>
      <c r="C13" s="26">
        <v>9850</v>
      </c>
      <c r="D13" s="27"/>
      <c r="E13" s="40"/>
      <c r="F13" s="27"/>
      <c r="G13" s="40"/>
      <c r="H13" s="27"/>
      <c r="I13" s="66"/>
      <c r="J13" s="27">
        <v>9850</v>
      </c>
      <c r="K13" s="40">
        <f>SUM(J13/C13)*100</f>
        <v>100</v>
      </c>
      <c r="L13" s="27"/>
      <c r="M13" s="23">
        <f>SUM(L13/C13)*100</f>
        <v>0</v>
      </c>
    </row>
    <row r="14" spans="2:13" s="31" customFormat="1" ht="12" customHeight="1" thickBot="1">
      <c r="B14" s="28" t="s">
        <v>37</v>
      </c>
      <c r="C14" s="25">
        <f>SUM(C6:C13)</f>
        <v>350815</v>
      </c>
      <c r="D14" s="25">
        <f>SUM(D7:D13)</f>
        <v>0</v>
      </c>
      <c r="E14" s="57">
        <f>SUM(D14/C14)*100</f>
        <v>0</v>
      </c>
      <c r="F14" s="25">
        <f>SUM(F5:F10)</f>
        <v>0</v>
      </c>
      <c r="G14" s="57">
        <f>SUM(F14/C14)*100</f>
        <v>0</v>
      </c>
      <c r="H14" s="25">
        <f>SUM(H5:H10)</f>
        <v>0</v>
      </c>
      <c r="I14" s="57">
        <f>SUM(H14/C14)*100</f>
        <v>0</v>
      </c>
      <c r="J14" s="25">
        <f>SUM(J5:J13)</f>
        <v>350815</v>
      </c>
      <c r="K14" s="29">
        <f>SUM(J14/C14)*100</f>
        <v>100</v>
      </c>
      <c r="L14" s="25">
        <f>SUM(L5:L10)</f>
        <v>0</v>
      </c>
      <c r="M14" s="75">
        <f>SUM(L14/C14)*100</f>
        <v>0</v>
      </c>
    </row>
    <row r="15" spans="2:13" s="150" customFormat="1" ht="12" customHeight="1">
      <c r="B15" s="82" t="s">
        <v>75</v>
      </c>
      <c r="C15" s="20"/>
      <c r="D15" s="145"/>
      <c r="E15" s="22"/>
      <c r="F15" s="145"/>
      <c r="G15" s="146"/>
      <c r="H15" s="145"/>
      <c r="I15" s="147"/>
      <c r="J15" s="148"/>
      <c r="K15" s="149"/>
      <c r="L15" s="16"/>
      <c r="M15" s="23"/>
    </row>
    <row r="16" spans="2:13" s="150" customFormat="1" ht="12" customHeight="1">
      <c r="B16" s="14" t="s">
        <v>77</v>
      </c>
      <c r="C16" s="20">
        <v>4484</v>
      </c>
      <c r="D16" s="145"/>
      <c r="E16" s="22"/>
      <c r="F16" s="145"/>
      <c r="G16" s="146"/>
      <c r="H16" s="145"/>
      <c r="I16" s="147"/>
      <c r="J16" s="148">
        <v>4484</v>
      </c>
      <c r="K16" s="149"/>
      <c r="L16" s="16">
        <f>SUM(C16-D16-F16-H16-J16)</f>
        <v>0</v>
      </c>
      <c r="M16" s="23"/>
    </row>
    <row r="17" spans="2:13" s="150" customFormat="1" ht="12" customHeight="1">
      <c r="B17" s="83" t="s">
        <v>80</v>
      </c>
      <c r="C17" s="20"/>
      <c r="D17" s="145"/>
      <c r="E17" s="22"/>
      <c r="F17" s="145"/>
      <c r="G17" s="146"/>
      <c r="H17" s="145"/>
      <c r="I17" s="147"/>
      <c r="J17" s="148"/>
      <c r="K17" s="149"/>
      <c r="L17" s="16"/>
      <c r="M17" s="23"/>
    </row>
    <row r="18" spans="2:13" s="150" customFormat="1" ht="12" customHeight="1">
      <c r="B18" s="14" t="s">
        <v>76</v>
      </c>
      <c r="C18" s="20"/>
      <c r="D18" s="145"/>
      <c r="E18" s="22"/>
      <c r="F18" s="145"/>
      <c r="G18" s="146"/>
      <c r="H18" s="145"/>
      <c r="I18" s="147"/>
      <c r="J18" s="148"/>
      <c r="K18" s="149"/>
      <c r="L18" s="16"/>
      <c r="M18" s="23"/>
    </row>
    <row r="19" spans="2:13" s="150" customFormat="1" ht="12" customHeight="1" thickBot="1">
      <c r="B19" s="14" t="s">
        <v>77</v>
      </c>
      <c r="C19" s="130">
        <v>4684</v>
      </c>
      <c r="D19" s="152"/>
      <c r="E19" s="132"/>
      <c r="F19" s="152"/>
      <c r="G19" s="153"/>
      <c r="H19" s="152"/>
      <c r="I19" s="147"/>
      <c r="J19" s="154">
        <v>4684</v>
      </c>
      <c r="K19" s="149"/>
      <c r="L19" s="16"/>
      <c r="M19" s="143"/>
    </row>
    <row r="20" spans="2:13" s="31" customFormat="1" ht="12" customHeight="1" thickBot="1">
      <c r="B20" s="28" t="s">
        <v>36</v>
      </c>
      <c r="C20" s="25">
        <f>SUM(C15:C19)</f>
        <v>9168</v>
      </c>
      <c r="D20" s="25">
        <f aca="true" t="shared" si="0" ref="D20:L20">SUM(D15:D19)</f>
        <v>0</v>
      </c>
      <c r="E20" s="29"/>
      <c r="F20" s="25">
        <f t="shared" si="0"/>
        <v>0</v>
      </c>
      <c r="G20" s="29"/>
      <c r="H20" s="25">
        <f t="shared" si="0"/>
        <v>0</v>
      </c>
      <c r="I20" s="57"/>
      <c r="J20" s="25">
        <f>SUM(J15:J19)</f>
        <v>9168</v>
      </c>
      <c r="K20" s="29"/>
      <c r="L20" s="25">
        <f t="shared" si="0"/>
        <v>0</v>
      </c>
      <c r="M20" s="42"/>
    </row>
    <row r="21" spans="2:13" ht="12" customHeight="1">
      <c r="B21" s="83" t="s">
        <v>80</v>
      </c>
      <c r="C21" s="76"/>
      <c r="D21" s="77"/>
      <c r="E21" s="78"/>
      <c r="F21" s="77"/>
      <c r="G21" s="78"/>
      <c r="H21" s="77"/>
      <c r="I21" s="79"/>
      <c r="J21" s="77"/>
      <c r="K21" s="78"/>
      <c r="L21" s="77"/>
      <c r="M21" s="80"/>
    </row>
    <row r="22" spans="2:13" ht="12" customHeight="1" thickBot="1">
      <c r="B22" s="14" t="s">
        <v>77</v>
      </c>
      <c r="C22" s="26">
        <v>13789</v>
      </c>
      <c r="D22" s="27"/>
      <c r="E22" s="40">
        <f>SUM(D22/C22)*100</f>
        <v>0</v>
      </c>
      <c r="F22" s="27"/>
      <c r="G22" s="40">
        <f>SUM(F22/C22)*100</f>
        <v>0</v>
      </c>
      <c r="H22" s="27"/>
      <c r="I22" s="66">
        <f>SUM(H22/C22)*100</f>
        <v>0</v>
      </c>
      <c r="J22" s="27"/>
      <c r="K22" s="40">
        <f>SUM(J22/C22)*100</f>
        <v>0</v>
      </c>
      <c r="L22" s="27">
        <f>SUM(C22-D22-F22-H22-J22)</f>
        <v>13789</v>
      </c>
      <c r="M22" s="41">
        <f>SUM(L22/C22)*100</f>
        <v>100</v>
      </c>
    </row>
    <row r="23" spans="2:13" ht="12" customHeight="1" thickBot="1">
      <c r="B23" s="28" t="s">
        <v>50</v>
      </c>
      <c r="C23" s="25">
        <f>SUM(C21:C22)</f>
        <v>13789</v>
      </c>
      <c r="D23" s="25">
        <f>SUM(D21:D22)</f>
        <v>0</v>
      </c>
      <c r="E23" s="57">
        <f>SUM(D23/C23)*100</f>
        <v>0</v>
      </c>
      <c r="F23" s="25">
        <f aca="true" t="shared" si="1" ref="F23:L23">SUM(F21:F22)</f>
        <v>0</v>
      </c>
      <c r="G23" s="57">
        <f t="shared" si="1"/>
        <v>0</v>
      </c>
      <c r="H23" s="25">
        <f t="shared" si="1"/>
        <v>0</v>
      </c>
      <c r="I23" s="57">
        <f t="shared" si="1"/>
        <v>0</v>
      </c>
      <c r="J23" s="25">
        <f t="shared" si="1"/>
        <v>0</v>
      </c>
      <c r="K23" s="29">
        <f t="shared" si="1"/>
        <v>0</v>
      </c>
      <c r="L23" s="25">
        <f t="shared" si="1"/>
        <v>13789</v>
      </c>
      <c r="M23" s="75">
        <f>SUM(L23/C23)*100</f>
        <v>100</v>
      </c>
    </row>
    <row r="24" spans="2:13" ht="12" customHeight="1">
      <c r="B24" s="83" t="s">
        <v>80</v>
      </c>
      <c r="C24" s="199"/>
      <c r="D24" s="199"/>
      <c r="E24" s="200"/>
      <c r="F24" s="199"/>
      <c r="G24" s="200"/>
      <c r="H24" s="199"/>
      <c r="I24" s="200"/>
      <c r="J24" s="199"/>
      <c r="K24" s="201"/>
      <c r="L24" s="199"/>
      <c r="M24" s="202"/>
    </row>
    <row r="25" spans="2:13" ht="12" customHeight="1" thickBot="1">
      <c r="B25" s="14" t="s">
        <v>77</v>
      </c>
      <c r="C25" s="166"/>
      <c r="D25" s="203"/>
      <c r="E25" s="204"/>
      <c r="F25" s="203"/>
      <c r="G25" s="204"/>
      <c r="H25" s="203"/>
      <c r="I25" s="204"/>
      <c r="J25" s="203"/>
      <c r="K25" s="205"/>
      <c r="L25" s="203"/>
      <c r="M25" s="206"/>
    </row>
    <row r="26" spans="2:13" ht="12" customHeight="1" thickBot="1">
      <c r="B26" s="28" t="s">
        <v>87</v>
      </c>
      <c r="C26" s="25">
        <f>SUM(C25)</f>
        <v>0</v>
      </c>
      <c r="D26" s="25"/>
      <c r="E26" s="57"/>
      <c r="F26" s="25"/>
      <c r="G26" s="57"/>
      <c r="H26" s="25"/>
      <c r="I26" s="57"/>
      <c r="J26" s="25"/>
      <c r="K26" s="207"/>
      <c r="L26" s="25"/>
      <c r="M26" s="75"/>
    </row>
    <row r="27" spans="2:13" ht="12" customHeight="1">
      <c r="B27" s="83" t="s">
        <v>80</v>
      </c>
      <c r="C27" s="199"/>
      <c r="D27" s="199"/>
      <c r="E27" s="200"/>
      <c r="F27" s="199"/>
      <c r="G27" s="200"/>
      <c r="H27" s="199"/>
      <c r="I27" s="200"/>
      <c r="J27" s="199"/>
      <c r="K27" s="201"/>
      <c r="L27" s="199"/>
      <c r="M27" s="202"/>
    </row>
    <row r="28" spans="2:13" ht="12" customHeight="1" thickBot="1">
      <c r="B28" s="14" t="s">
        <v>77</v>
      </c>
      <c r="C28" s="166"/>
      <c r="D28" s="203"/>
      <c r="E28" s="204"/>
      <c r="F28" s="203"/>
      <c r="G28" s="204"/>
      <c r="H28" s="203"/>
      <c r="I28" s="204"/>
      <c r="J28" s="203"/>
      <c r="K28" s="205"/>
      <c r="L28" s="203"/>
      <c r="M28" s="206"/>
    </row>
    <row r="29" spans="2:13" ht="12" customHeight="1" thickBot="1">
      <c r="B29" s="28" t="s">
        <v>88</v>
      </c>
      <c r="C29" s="25">
        <f>SUM(C28)</f>
        <v>0</v>
      </c>
      <c r="D29" s="25"/>
      <c r="E29" s="57"/>
      <c r="F29" s="25"/>
      <c r="G29" s="57"/>
      <c r="H29" s="25"/>
      <c r="I29" s="57"/>
      <c r="J29" s="25"/>
      <c r="K29" s="207"/>
      <c r="L29" s="25"/>
      <c r="M29" s="75"/>
    </row>
    <row r="30" spans="2:13" ht="12" customHeight="1">
      <c r="B30" s="87" t="s">
        <v>80</v>
      </c>
      <c r="C30" s="199"/>
      <c r="D30" s="199"/>
      <c r="E30" s="200"/>
      <c r="F30" s="199"/>
      <c r="G30" s="200"/>
      <c r="H30" s="199"/>
      <c r="I30" s="200"/>
      <c r="J30" s="199"/>
      <c r="K30" s="201"/>
      <c r="L30" s="199"/>
      <c r="M30" s="202"/>
    </row>
    <row r="31" spans="2:13" ht="12" customHeight="1" thickBot="1">
      <c r="B31" s="39" t="s">
        <v>77</v>
      </c>
      <c r="C31" s="166"/>
      <c r="D31" s="203"/>
      <c r="E31" s="204"/>
      <c r="F31" s="203"/>
      <c r="G31" s="204"/>
      <c r="H31" s="203"/>
      <c r="I31" s="204"/>
      <c r="J31" s="203"/>
      <c r="K31" s="205"/>
      <c r="L31" s="203"/>
      <c r="M31" s="206"/>
    </row>
    <row r="32" spans="2:13" ht="12" customHeight="1" thickBot="1">
      <c r="B32" s="28" t="s">
        <v>89</v>
      </c>
      <c r="C32" s="25">
        <f>SUM(C31)</f>
        <v>0</v>
      </c>
      <c r="D32" s="25"/>
      <c r="E32" s="57"/>
      <c r="F32" s="25"/>
      <c r="G32" s="57"/>
      <c r="H32" s="25"/>
      <c r="I32" s="57"/>
      <c r="J32" s="25"/>
      <c r="K32" s="207"/>
      <c r="L32" s="25"/>
      <c r="M32" s="75"/>
    </row>
    <row r="33" spans="2:13" s="4" customFormat="1" ht="12" customHeight="1" thickBot="1">
      <c r="B33" s="24" t="s">
        <v>16</v>
      </c>
      <c r="C33" s="25">
        <f>SUM(C23,C20,C14,C26,C29,C32)</f>
        <v>373772</v>
      </c>
      <c r="D33" s="25">
        <f aca="true" t="shared" si="2" ref="D33:L33">SUM(D23,D20,D14)</f>
        <v>0</v>
      </c>
      <c r="E33" s="57">
        <f>SUM(D33/C33)*100</f>
        <v>0</v>
      </c>
      <c r="F33" s="25">
        <f t="shared" si="2"/>
        <v>0</v>
      </c>
      <c r="G33" s="57">
        <f>SUM(G22:G23)</f>
        <v>0</v>
      </c>
      <c r="H33" s="25">
        <f t="shared" si="2"/>
        <v>0</v>
      </c>
      <c r="I33" s="57">
        <f>SUM(I22:I23)</f>
        <v>0</v>
      </c>
      <c r="J33" s="25">
        <f t="shared" si="2"/>
        <v>359983</v>
      </c>
      <c r="K33" s="40">
        <f>SUM(J33/C33)*100</f>
        <v>96.31085260533159</v>
      </c>
      <c r="L33" s="25">
        <f t="shared" si="2"/>
        <v>13789</v>
      </c>
      <c r="M33" s="75">
        <f>SUM(L33/C33)*100</f>
        <v>3.6891473946684075</v>
      </c>
    </row>
    <row r="34" spans="2:13" ht="12.75">
      <c r="B34" s="8"/>
      <c r="C34" s="9"/>
      <c r="D34" s="9"/>
      <c r="E34" s="13"/>
      <c r="F34" s="9"/>
      <c r="G34" s="10"/>
      <c r="H34" s="61"/>
      <c r="I34" s="67"/>
      <c r="J34" s="11"/>
      <c r="K34" s="70"/>
      <c r="L34" s="12"/>
      <c r="M34" s="8"/>
    </row>
    <row r="35" spans="8:11" s="3" customFormat="1" ht="12.75">
      <c r="H35" s="59"/>
      <c r="I35" s="59"/>
      <c r="J35" s="59"/>
      <c r="K35" s="59"/>
    </row>
    <row r="36" spans="4:12" ht="12.75">
      <c r="D36" s="7"/>
      <c r="E36" s="59"/>
      <c r="F36" s="63"/>
      <c r="G36" s="5"/>
      <c r="H36" s="68"/>
      <c r="I36" s="6"/>
      <c r="J36" s="3"/>
      <c r="K36" s="1"/>
      <c r="L36" s="1"/>
    </row>
    <row r="37" spans="4:12" ht="12.75">
      <c r="D37" s="7"/>
      <c r="E37" s="59"/>
      <c r="F37" s="63"/>
      <c r="G37" s="59"/>
      <c r="H37" s="68"/>
      <c r="I37" s="6"/>
      <c r="J37" s="1"/>
      <c r="K37" s="1"/>
      <c r="L37" s="1"/>
    </row>
  </sheetData>
  <sheetProtection/>
  <mergeCells count="3">
    <mergeCell ref="L1:M1"/>
    <mergeCell ref="B2:M2"/>
    <mergeCell ref="M11:M12"/>
  </mergeCells>
  <printOptions/>
  <pageMargins left="0.15748031496062992" right="0.15748031496062992" top="0.5905511811023623" bottom="0.3937007874015748" header="0.2755905511811024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4" sqref="A14:IV19"/>
    </sheetView>
  </sheetViews>
  <sheetFormatPr defaultColWidth="9.00390625" defaultRowHeight="12.75"/>
  <cols>
    <col min="1" max="1" width="26.00390625" style="1" customWidth="1"/>
    <col min="2" max="2" width="10.125" style="1" customWidth="1"/>
    <col min="3" max="3" width="9.75390625" style="1" customWidth="1"/>
    <col min="4" max="4" width="9.625" style="74" customWidth="1"/>
    <col min="5" max="5" width="11.375" style="1" customWidth="1"/>
    <col min="6" max="6" width="10.375" style="1" customWidth="1"/>
    <col min="7" max="7" width="11.875" style="1" customWidth="1"/>
    <col min="8" max="8" width="9.375" style="1" customWidth="1"/>
    <col min="9" max="9" width="11.25390625" style="1" customWidth="1"/>
    <col min="10" max="10" width="9.75390625" style="1" customWidth="1"/>
    <col min="11" max="11" width="11.75390625" style="1" customWidth="1"/>
    <col min="12" max="12" width="13.375" style="1" customWidth="1"/>
    <col min="13" max="13" width="9.75390625" style="1" bestFit="1" customWidth="1"/>
    <col min="14" max="14" width="10.125" style="1" bestFit="1" customWidth="1"/>
    <col min="15" max="16384" width="9.125" style="1" customWidth="1"/>
  </cols>
  <sheetData>
    <row r="1" spans="1:12" ht="12.75">
      <c r="A1" s="37"/>
      <c r="B1" s="37"/>
      <c r="C1" s="37"/>
      <c r="D1" s="71"/>
      <c r="E1" s="37"/>
      <c r="F1" s="37"/>
      <c r="G1" s="37"/>
      <c r="H1" s="37"/>
      <c r="I1" s="37"/>
      <c r="J1" s="37"/>
      <c r="K1" s="208" t="s">
        <v>29</v>
      </c>
      <c r="L1" s="208"/>
    </row>
    <row r="2" spans="1:12" ht="12.75">
      <c r="A2" s="209" t="s">
        <v>106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 ht="12.75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</row>
    <row r="4" spans="1:12" ht="13.5" thickBot="1">
      <c r="A4" s="58"/>
      <c r="B4" s="58"/>
      <c r="C4" s="58"/>
      <c r="D4" s="72"/>
      <c r="E4" s="43"/>
      <c r="F4" s="44"/>
      <c r="G4" s="43"/>
      <c r="H4" s="44"/>
      <c r="I4" s="44"/>
      <c r="J4" s="44"/>
      <c r="K4" s="45"/>
      <c r="L4" s="54" t="s">
        <v>0</v>
      </c>
    </row>
    <row r="5" spans="1:12" ht="92.25" customHeight="1" thickBot="1">
      <c r="A5" s="38" t="s">
        <v>2</v>
      </c>
      <c r="B5" s="46" t="s">
        <v>67</v>
      </c>
      <c r="C5" s="46" t="s">
        <v>78</v>
      </c>
      <c r="D5" s="47" t="s">
        <v>68</v>
      </c>
      <c r="E5" s="46" t="s">
        <v>58</v>
      </c>
      <c r="F5" s="47" t="s">
        <v>69</v>
      </c>
      <c r="G5" s="46" t="s">
        <v>79</v>
      </c>
      <c r="H5" s="47" t="s">
        <v>71</v>
      </c>
      <c r="I5" s="47" t="s">
        <v>74</v>
      </c>
      <c r="J5" s="47" t="s">
        <v>46</v>
      </c>
      <c r="K5" s="48" t="s">
        <v>72</v>
      </c>
      <c r="L5" s="55" t="s">
        <v>73</v>
      </c>
    </row>
    <row r="6" spans="1:12" ht="12.75">
      <c r="A6" s="82"/>
      <c r="B6" s="15"/>
      <c r="C6" s="15"/>
      <c r="D6" s="85"/>
      <c r="E6" s="16"/>
      <c r="F6" s="17"/>
      <c r="G6" s="16"/>
      <c r="H6" s="17"/>
      <c r="I6" s="16"/>
      <c r="J6" s="17"/>
      <c r="K6" s="21"/>
      <c r="L6" s="18"/>
    </row>
    <row r="7" spans="1:12" ht="12.75">
      <c r="A7" s="14" t="s">
        <v>91</v>
      </c>
      <c r="B7" s="20">
        <v>13789</v>
      </c>
      <c r="C7" s="20"/>
      <c r="D7" s="156">
        <f>SUM(C7/B7)*100</f>
        <v>0</v>
      </c>
      <c r="E7" s="21"/>
      <c r="F7" s="22">
        <f>SUM(E7/B7)*100</f>
        <v>0</v>
      </c>
      <c r="G7" s="21"/>
      <c r="H7" s="22">
        <f>SUM(G7/B7*100)</f>
        <v>0</v>
      </c>
      <c r="I7" s="21"/>
      <c r="J7" s="17">
        <f>SUM(I7/B7*100)</f>
        <v>0</v>
      </c>
      <c r="K7" s="21">
        <f>SUM(B7-C7-E7-G7-I7)</f>
        <v>13789</v>
      </c>
      <c r="L7" s="23">
        <f>SUM(K7/B7)*100</f>
        <v>100</v>
      </c>
    </row>
    <row r="8" spans="1:12" ht="12.75">
      <c r="A8" s="14" t="s">
        <v>90</v>
      </c>
      <c r="B8" s="20">
        <f>5726890-'kötelező2019.finansz.'!C6-1</f>
        <v>1723065</v>
      </c>
      <c r="C8" s="20"/>
      <c r="D8" s="156">
        <f>SUM(C8/B8)*100</f>
        <v>0</v>
      </c>
      <c r="E8" s="21"/>
      <c r="F8" s="22">
        <f>SUM(E8/B8)*100</f>
        <v>0</v>
      </c>
      <c r="G8" s="21"/>
      <c r="H8" s="22">
        <f>SUM(G8/B8*100)</f>
        <v>0</v>
      </c>
      <c r="I8" s="21"/>
      <c r="J8" s="17">
        <f>SUM(I8/B8*100)</f>
        <v>0</v>
      </c>
      <c r="K8" s="21">
        <f>SUM(B8-C8-E8-G8-I8)</f>
        <v>1723065</v>
      </c>
      <c r="L8" s="23">
        <f>SUM(K8/B8)*100</f>
        <v>100</v>
      </c>
    </row>
    <row r="9" spans="1:12" ht="13.5" thickBot="1">
      <c r="A9" s="14" t="s">
        <v>113</v>
      </c>
      <c r="B9" s="20">
        <v>4000000</v>
      </c>
      <c r="C9" s="20"/>
      <c r="D9" s="156">
        <f>SUM(C9/B9)*100</f>
        <v>0</v>
      </c>
      <c r="E9" s="21"/>
      <c r="F9" s="22">
        <f>SUM(E9/B9)*100</f>
        <v>0</v>
      </c>
      <c r="G9" s="21"/>
      <c r="H9" s="22">
        <f>SUM(G9/B9*100)</f>
        <v>0</v>
      </c>
      <c r="I9" s="21"/>
      <c r="J9" s="17">
        <f>SUM(I9/B9*100)</f>
        <v>0</v>
      </c>
      <c r="K9" s="21">
        <f>SUM(B9-C9-E9-G9-I9)</f>
        <v>4000000</v>
      </c>
      <c r="L9" s="23">
        <f>SUM(K9/B9)*100</f>
        <v>100</v>
      </c>
    </row>
    <row r="10" spans="1:12" s="31" customFormat="1" ht="13.5" thickBot="1">
      <c r="A10" s="28" t="s">
        <v>37</v>
      </c>
      <c r="B10" s="25">
        <f>SUM(B6:B9)</f>
        <v>5736854</v>
      </c>
      <c r="C10" s="25">
        <f>SUM(C6:C9)</f>
        <v>0</v>
      </c>
      <c r="D10" s="86">
        <f>SUM(C10/B10)*100</f>
        <v>0</v>
      </c>
      <c r="E10" s="25">
        <f>SUM(E6:E9)</f>
        <v>0</v>
      </c>
      <c r="F10" s="57">
        <f>SUM(E10/B10*100)</f>
        <v>0</v>
      </c>
      <c r="G10" s="25">
        <f>SUM(G6:G9)</f>
        <v>0</v>
      </c>
      <c r="H10" s="29">
        <f>SUM(G10/B10*100)</f>
        <v>0</v>
      </c>
      <c r="I10" s="25">
        <f>SUM(I6:I9)</f>
        <v>0</v>
      </c>
      <c r="J10" s="29">
        <f>SUM(I10/B10*100)</f>
        <v>0</v>
      </c>
      <c r="K10" s="25">
        <f>SUM(K6:K9)</f>
        <v>5736854</v>
      </c>
      <c r="L10" s="42">
        <f>SUM(K10/B10)*100</f>
        <v>100</v>
      </c>
    </row>
    <row r="11" spans="3:11" ht="12.75">
      <c r="C11" s="6"/>
      <c r="D11" s="73"/>
      <c r="E11" s="3"/>
      <c r="F11" s="2"/>
      <c r="G11" s="3"/>
      <c r="H11" s="2"/>
      <c r="I11" s="2"/>
      <c r="J11" s="2"/>
      <c r="K11" s="6"/>
    </row>
  </sheetData>
  <sheetProtection/>
  <mergeCells count="2">
    <mergeCell ref="K1:L1"/>
    <mergeCell ref="A2:L3"/>
  </mergeCells>
  <printOptions/>
  <pageMargins left="0.15748031496062992" right="0.15748031496062992" top="0.5905511811023623" bottom="0.3937007874015748" header="0.2755905511811024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9"/>
  <sheetViews>
    <sheetView zoomScalePageLayoutView="0" workbookViewId="0" topLeftCell="B1">
      <selection activeCell="G25" sqref="G25"/>
    </sheetView>
  </sheetViews>
  <sheetFormatPr defaultColWidth="9.00390625" defaultRowHeight="12.75"/>
  <cols>
    <col min="1" max="1" width="1.12109375" style="1" hidden="1" customWidth="1"/>
    <col min="2" max="2" width="33.25390625" style="1" customWidth="1"/>
    <col min="3" max="3" width="10.25390625" style="3" customWidth="1"/>
    <col min="4" max="4" width="9.375" style="3" bestFit="1" customWidth="1"/>
    <col min="5" max="5" width="9.75390625" style="2" customWidth="1"/>
    <col min="6" max="6" width="10.875" style="3" customWidth="1"/>
    <col min="7" max="7" width="9.75390625" style="7" customWidth="1"/>
    <col min="8" max="8" width="11.625" style="59" customWidth="1"/>
    <col min="9" max="9" width="8.375" style="63" customWidth="1"/>
    <col min="10" max="10" width="9.75390625" style="5" customWidth="1"/>
    <col min="11" max="11" width="10.00390625" style="68" customWidth="1"/>
    <col min="12" max="12" width="11.125" style="6" customWidth="1"/>
    <col min="13" max="13" width="13.00390625" style="1" customWidth="1"/>
    <col min="14" max="14" width="9.125" style="1" customWidth="1"/>
    <col min="15" max="15" width="10.125" style="1" bestFit="1" customWidth="1"/>
    <col min="16" max="16384" width="9.125" style="1" customWidth="1"/>
  </cols>
  <sheetData>
    <row r="1" spans="12:13" ht="12" customHeight="1">
      <c r="L1" s="211" t="s">
        <v>28</v>
      </c>
      <c r="M1" s="211"/>
    </row>
    <row r="2" spans="2:13" ht="18" customHeight="1">
      <c r="B2" s="210" t="s">
        <v>107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2:13" ht="12" customHeight="1" thickBot="1">
      <c r="B3" s="37"/>
      <c r="C3" s="49"/>
      <c r="D3" s="49"/>
      <c r="E3" s="50"/>
      <c r="F3" s="49"/>
      <c r="G3" s="51"/>
      <c r="H3" s="60"/>
      <c r="I3" s="64"/>
      <c r="J3" s="52"/>
      <c r="K3" s="69"/>
      <c r="L3" s="53"/>
      <c r="M3" s="54" t="s">
        <v>0</v>
      </c>
    </row>
    <row r="4" spans="2:13" s="56" customFormat="1" ht="51.75" customHeight="1" thickBot="1">
      <c r="B4" s="38" t="s">
        <v>2</v>
      </c>
      <c r="C4" s="46" t="s">
        <v>63</v>
      </c>
      <c r="D4" s="46" t="s">
        <v>78</v>
      </c>
      <c r="E4" s="47" t="s">
        <v>68</v>
      </c>
      <c r="F4" s="46" t="s">
        <v>58</v>
      </c>
      <c r="G4" s="47" t="s">
        <v>69</v>
      </c>
      <c r="H4" s="46" t="s">
        <v>79</v>
      </c>
      <c r="I4" s="47" t="s">
        <v>71</v>
      </c>
      <c r="J4" s="47" t="s">
        <v>74</v>
      </c>
      <c r="K4" s="47" t="s">
        <v>46</v>
      </c>
      <c r="L4" s="48" t="s">
        <v>72</v>
      </c>
      <c r="M4" s="55" t="s">
        <v>73</v>
      </c>
    </row>
    <row r="5" spans="2:13" ht="12" customHeight="1">
      <c r="B5" s="82" t="s">
        <v>93</v>
      </c>
      <c r="C5" s="20"/>
      <c r="D5" s="21"/>
      <c r="E5" s="22"/>
      <c r="F5" s="21"/>
      <c r="G5" s="17"/>
      <c r="H5" s="21"/>
      <c r="I5" s="65"/>
      <c r="J5" s="16"/>
      <c r="K5" s="17"/>
      <c r="L5" s="16">
        <f>SUM(C5-D5-F5-H5-J5)</f>
        <v>0</v>
      </c>
      <c r="M5" s="23"/>
    </row>
    <row r="6" spans="2:13" ht="12" customHeight="1">
      <c r="B6" s="14" t="s">
        <v>90</v>
      </c>
      <c r="C6" s="20">
        <v>4003824</v>
      </c>
      <c r="D6" s="21"/>
      <c r="E6" s="22">
        <f>SUM(D6/C6)*100</f>
        <v>0</v>
      </c>
      <c r="F6" s="21"/>
      <c r="G6" s="17">
        <f>SUM(F6/C6)*100</f>
        <v>0</v>
      </c>
      <c r="H6" s="21"/>
      <c r="I6" s="65">
        <f>SUM(H6/C6)*100</f>
        <v>0</v>
      </c>
      <c r="J6" s="16"/>
      <c r="K6" s="17">
        <f>SUM(J6/C6)*100</f>
        <v>0</v>
      </c>
      <c r="L6" s="16">
        <f>SUM(C6-D6-F6-H6-J6)</f>
        <v>4003824</v>
      </c>
      <c r="M6" s="23">
        <f>SUM(L6/C6)*100</f>
        <v>100</v>
      </c>
    </row>
    <row r="7" spans="2:13" ht="12" customHeight="1">
      <c r="B7" s="14" t="s">
        <v>91</v>
      </c>
      <c r="C7" s="20">
        <f>186989-'kötelező2019.felh.'!L22</f>
        <v>173200</v>
      </c>
      <c r="D7" s="21"/>
      <c r="E7" s="22"/>
      <c r="F7" s="21"/>
      <c r="G7" s="17"/>
      <c r="H7" s="21"/>
      <c r="I7" s="65"/>
      <c r="J7" s="16"/>
      <c r="K7" s="17"/>
      <c r="L7" s="16">
        <f>SUM(C7-D7-F7-H7-J7)</f>
        <v>173200</v>
      </c>
      <c r="M7" s="23">
        <f>SUM(L7/C7)*100</f>
        <v>100</v>
      </c>
    </row>
    <row r="8" spans="2:13" ht="12" customHeight="1" thickBot="1">
      <c r="B8" s="14" t="s">
        <v>92</v>
      </c>
      <c r="C8" s="20">
        <v>96642</v>
      </c>
      <c r="D8" s="21"/>
      <c r="E8" s="22">
        <f>SUM(D8/C8)*100</f>
        <v>0</v>
      </c>
      <c r="F8" s="21"/>
      <c r="G8" s="22">
        <f>SUM(F8/C8)*100</f>
        <v>0</v>
      </c>
      <c r="H8" s="21"/>
      <c r="I8" s="65">
        <f>SUM(H8/C8)*100</f>
        <v>0</v>
      </c>
      <c r="J8" s="16"/>
      <c r="K8" s="17">
        <f>SUM(J8/C8)*100</f>
        <v>0</v>
      </c>
      <c r="L8" s="16">
        <f>SUM(C8-D8-F8-H8-J8)</f>
        <v>96642</v>
      </c>
      <c r="M8" s="23">
        <f>SUM(L8/C8)*100</f>
        <v>100</v>
      </c>
    </row>
    <row r="9" spans="2:13" s="31" customFormat="1" ht="12" customHeight="1" thickBot="1">
      <c r="B9" s="28" t="s">
        <v>37</v>
      </c>
      <c r="C9" s="25">
        <f>SUM(C5:C8)</f>
        <v>4273666</v>
      </c>
      <c r="D9" s="25">
        <f>SUM(D5:D8)</f>
        <v>0</v>
      </c>
      <c r="E9" s="57">
        <f>SUM(D9/C9)*100</f>
        <v>0</v>
      </c>
      <c r="F9" s="25">
        <f>SUM(F5:F8)</f>
        <v>0</v>
      </c>
      <c r="G9" s="57">
        <f>SUM(F9/C9)*100</f>
        <v>0</v>
      </c>
      <c r="H9" s="25">
        <f>SUM(H5:H8)</f>
        <v>0</v>
      </c>
      <c r="I9" s="57">
        <f>SUM(H9/C9)*100</f>
        <v>0</v>
      </c>
      <c r="J9" s="25">
        <f>SUM(J5:J8)</f>
        <v>0</v>
      </c>
      <c r="K9" s="29">
        <f>SUM(J9/C9)*100</f>
        <v>0</v>
      </c>
      <c r="L9" s="25">
        <f>SUM(L5:L8)</f>
        <v>4273666</v>
      </c>
      <c r="M9" s="75">
        <f>SUM(L9/C9)*100</f>
        <v>100</v>
      </c>
    </row>
  </sheetData>
  <sheetProtection/>
  <mergeCells count="2">
    <mergeCell ref="L1:M1"/>
    <mergeCell ref="B2:M2"/>
  </mergeCells>
  <printOptions/>
  <pageMargins left="0.15748031496062992" right="0.15748031496062992" top="0.5905511811023623" bottom="0.3937007874015748" header="0.275590551181102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2019-06-20T14:14:07Z</cp:lastPrinted>
  <dcterms:created xsi:type="dcterms:W3CDTF">2009-02-04T11:37:44Z</dcterms:created>
  <dcterms:modified xsi:type="dcterms:W3CDTF">2020-05-26T13:38:43Z</dcterms:modified>
  <cp:category/>
  <cp:version/>
  <cp:contentType/>
  <cp:contentStatus/>
</cp:coreProperties>
</file>