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895" firstSheet="5" activeTab="11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" sheetId="10" r:id="rId10"/>
    <sheet name="11.normatívák" sheetId="11" r:id="rId11"/>
    <sheet name="12. EU projektek" sheetId="12" r:id="rId12"/>
    <sheet name="Munka1" sheetId="13" r:id="rId13"/>
  </sheets>
  <definedNames>
    <definedName name="_xlnm.Print_Titles" localSheetId="0">'1. bevételek'!$5:$6</definedName>
    <definedName name="_xlnm.Print_Titles" localSheetId="9">'10.tart'!$7:$7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bevételek'!$A$1:$J$200</definedName>
    <definedName name="_xlnm.Print_Area" localSheetId="10">'11.normatívák'!$A$1:$L$48</definedName>
    <definedName name="_xlnm.Print_Area" localSheetId="1">'2. kiadások '!$A$1:$J$76</definedName>
    <definedName name="_xlnm.Print_Area" localSheetId="3">'4.önkorm.kiad.feladat'!$D$1:$V$49</definedName>
    <definedName name="_xlnm.Print_Area" localSheetId="4">'5. Óvoda, Kult. kiad. feladat'!$A$1:$K$35</definedName>
    <definedName name="_xlnm.Print_Area" localSheetId="5">'6. kiadások megbontása'!$A$1:$M$79</definedName>
    <definedName name="_xlnm.Print_Area" localSheetId="6">'7. források sz. bontás'!$A$1:$AC$60</definedName>
    <definedName name="_xlnm.Print_Area" localSheetId="7">'8. létszámok'!$A$1:$M$100</definedName>
    <definedName name="_xlnm.Print_Area" localSheetId="8">'9.felhki'!$A$1:$D$79</definedName>
  </definedNames>
  <calcPr fullCalcOnLoad="1"/>
</workbook>
</file>

<file path=xl/sharedStrings.xml><?xml version="1.0" encoding="utf-8"?>
<sst xmlns="http://schemas.openxmlformats.org/spreadsheetml/2006/main" count="1782" uniqueCount="1059">
  <si>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</si>
  <si>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</si>
  <si>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</si>
  <si>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</si>
  <si>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</si>
  <si>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</si>
  <si>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</si>
  <si>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</si>
  <si>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</si>
  <si>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</si>
  <si>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</si>
  <si>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</si>
  <si>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</si>
  <si>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</si>
  <si>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</si>
  <si>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</si>
  <si>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</si>
  <si>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</si>
  <si>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</si>
  <si>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</si>
  <si>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</si>
  <si>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</si>
  <si>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</si>
  <si>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</si>
  <si>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</si>
  <si>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</si>
  <si>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</si>
  <si>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</si>
  <si>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</si>
  <si>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</si>
  <si>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</si>
  <si>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</si>
  <si>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</si>
  <si>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</si>
  <si>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</si>
  <si>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</si>
  <si>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</si>
  <si>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</si>
  <si>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</si>
  <si>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</si>
  <si>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</si>
  <si>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</si>
  <si>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</si>
  <si>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</si>
  <si>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</si>
  <si>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</si>
  <si>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</si>
  <si>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</si>
  <si>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</si>
  <si>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</si>
  <si>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</si>
  <si>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</si>
  <si>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</si>
  <si>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</si>
  <si>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</si>
  <si>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</si>
  <si>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</si>
  <si>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</si>
  <si>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</si>
  <si>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</si>
  <si>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</si>
  <si>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</si>
  <si>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</si>
  <si>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</si>
  <si>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</si>
  <si>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</si>
  <si>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</si>
  <si>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</si>
  <si>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</si>
  <si>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</si>
  <si>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</si>
  <si>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</si>
  <si>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</si>
  <si>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</si>
  <si>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</si>
  <si>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</si>
  <si>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</si>
  <si>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</si>
  <si>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</si>
  <si>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</si>
  <si>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</si>
  <si>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</si>
  <si>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</si>
  <si>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</si>
  <si>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</si>
  <si>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</si>
  <si>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</si>
  <si>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</si>
  <si>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</si>
  <si>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</si>
  <si>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</si>
  <si>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</si>
  <si>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</si>
  <si>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</si>
  <si>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</si>
  <si>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</si>
  <si>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</si>
  <si>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</si>
  <si>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</si>
  <si>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</si>
  <si>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</si>
  <si>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</si>
  <si>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</si>
  <si>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</si>
  <si>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</si>
  <si>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</si>
  <si>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</si>
  <si>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</si>
  <si>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</si>
  <si>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</si>
  <si>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</si>
  <si>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</si>
  <si>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</si>
  <si>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</si>
  <si>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</si>
  <si>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</si>
  <si>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</si>
  <si>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</si>
  <si>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</si>
  <si>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</si>
  <si>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</si>
  <si>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</si>
  <si>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</si>
  <si>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</si>
  <si>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</si>
  <si>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</si>
  <si>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</si>
  <si>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</si>
  <si>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</si>
  <si>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</si>
  <si>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</si>
  <si>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</si>
  <si>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</si>
  <si>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</si>
  <si>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</si>
  <si>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</si>
  <si>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</si>
  <si>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</si>
  <si>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</si>
  <si>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</si>
  <si>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</si>
  <si>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</si>
  <si>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</si>
  <si>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</si>
  <si>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</si>
  <si>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</si>
  <si>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</si>
  <si>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</si>
  <si>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</si>
  <si>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</si>
  <si>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</si>
  <si>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</si>
  <si>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</si>
  <si>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</si>
  <si>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</si>
  <si>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</si>
  <si>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</si>
  <si>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</si>
  <si>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</si>
  <si>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</si>
  <si>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</si>
  <si>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</si>
  <si>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</si>
  <si>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</si>
  <si>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</si>
  <si>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</si>
  <si>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</si>
  <si>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</si>
  <si>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</si>
  <si>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</si>
  <si>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</si>
  <si>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</si>
  <si>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</si>
  <si>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</si>
  <si>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</si>
  <si>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</si>
  <si>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</si>
  <si>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</si>
  <si>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</si>
  <si>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</si>
  <si>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</si>
  <si>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</si>
  <si>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</si>
  <si>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</si>
  <si>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</si>
  <si>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</si>
  <si>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</si>
  <si>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</si>
  <si>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</si>
  <si>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</si>
  <si>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</si>
  <si>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</si>
  <si>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</si>
  <si>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</si>
  <si>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</si>
  <si>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</si>
  <si>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</si>
  <si>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</si>
  <si>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</si>
  <si>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</si>
  <si>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</si>
  <si>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</si>
  <si>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</si>
  <si>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</si>
  <si>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</si>
  <si>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</si>
  <si>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</si>
  <si>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</si>
  <si>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</si>
  <si>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</si>
  <si>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</si>
  <si>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</si>
  <si>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</si>
  <si>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</si>
  <si>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</si>
  <si>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</si>
  <si>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</si>
  <si>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</si>
  <si>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</si>
  <si>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</si>
  <si>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</si>
  <si>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</si>
  <si>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</si>
  <si>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</si>
  <si>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</si>
  <si>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</si>
  <si>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</si>
  <si>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</si>
  <si>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</si>
  <si>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</si>
  <si>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</si>
  <si>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</si>
  <si>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</si>
  <si>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</si>
  <si>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</si>
  <si>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</si>
  <si>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</si>
  <si>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</si>
  <si>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</si>
  <si>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</si>
  <si>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</si>
  <si>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</si>
  <si>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</si>
  <si>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</si>
  <si>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</si>
  <si>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</si>
  <si>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</si>
  <si>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</si>
  <si>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</si>
  <si>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</si>
  <si>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</si>
  <si>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</si>
  <si>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</si>
  <si>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</si>
  <si>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</si>
  <si>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</si>
  <si>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</si>
  <si>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</si>
  <si>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</si>
  <si>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</si>
  <si>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</si>
  <si>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</si>
  <si>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</si>
  <si>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</si>
  <si>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</si>
  <si>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</si>
  <si>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</si>
  <si>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</si>
  <si>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</si>
  <si>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</si>
  <si>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</si>
  <si>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</si>
  <si>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</si>
  <si>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</si>
  <si>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</si>
  <si>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</si>
  <si>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</si>
  <si>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</si>
  <si>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</si>
  <si>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</si>
  <si>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</si>
  <si>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</si>
  <si>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</si>
  <si>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</si>
  <si>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</si>
  <si>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</si>
  <si>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</si>
  <si>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</si>
  <si>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</si>
  <si>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</si>
  <si>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</si>
  <si>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</si>
  <si>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</si>
  <si>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</si>
  <si>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</si>
  <si>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</si>
  <si>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</si>
  <si>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</si>
  <si>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</si>
  <si>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</si>
  <si>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</si>
  <si>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</si>
  <si>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</si>
  <si>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</si>
  <si>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</si>
  <si>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</si>
  <si>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</si>
  <si>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</si>
  <si>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</si>
  <si>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</si>
  <si>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</si>
  <si>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</si>
  <si>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</si>
  <si>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</si>
  <si>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</si>
  <si>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</si>
  <si>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</si>
  <si>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</si>
  <si>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</si>
  <si>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</si>
  <si>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</si>
  <si>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</si>
  <si>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</si>
  <si>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</si>
  <si>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</si>
  <si>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</si>
  <si>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</si>
  <si>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</si>
  <si>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</si>
  <si>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</si>
  <si>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</si>
  <si>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</si>
  <si>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</si>
  <si>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</si>
  <si>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</si>
  <si>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</si>
  <si>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</si>
  <si>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</si>
  <si>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</si>
  <si>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</si>
  <si>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</si>
  <si>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</si>
  <si>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</si>
  <si>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</si>
  <si>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</si>
  <si>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</si>
  <si>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</si>
  <si>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</si>
  <si>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</si>
  <si>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</si>
  <si>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</si>
  <si>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</si>
  <si>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</si>
  <si>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</si>
  <si>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</si>
  <si>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</si>
  <si>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</si>
  <si>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</si>
  <si>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</si>
  <si>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</si>
  <si>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</si>
  <si>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</si>
  <si>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</si>
  <si>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</si>
  <si>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</si>
  <si>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</si>
  <si>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</si>
  <si>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</si>
  <si>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</si>
  <si>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</si>
  <si>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</si>
  <si>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</si>
  <si>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</si>
  <si>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</si>
  <si>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</si>
  <si>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</si>
  <si>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</si>
  <si>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</si>
  <si>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</si>
  <si>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</si>
  <si>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</si>
  <si>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</si>
  <si>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</si>
  <si>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</si>
  <si>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</si>
  <si>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</si>
  <si>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</si>
  <si>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</si>
  <si>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</si>
  <si>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</si>
  <si>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</si>
  <si>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</si>
  <si>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</si>
  <si>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</si>
  <si>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</si>
  <si>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</si>
  <si>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</si>
  <si>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</si>
  <si>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</si>
  <si>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</si>
  <si>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</si>
  <si>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</si>
  <si>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</si>
  <si>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</si>
  <si>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</si>
  <si>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</si>
  <si>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</si>
  <si>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</si>
  <si>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</si>
  <si>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</si>
  <si>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</si>
  <si>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</si>
  <si>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</si>
  <si>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</si>
  <si>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</si>
  <si>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</si>
  <si>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</si>
  <si>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</si>
  <si>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</si>
  <si>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</si>
  <si>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</si>
  <si>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</si>
  <si>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</si>
  <si>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</si>
  <si>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</si>
  <si>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</si>
  <si>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</si>
  <si>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</si>
  <si>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</si>
  <si>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</si>
  <si>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</si>
  <si>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</si>
  <si>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</si>
  <si>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</si>
  <si>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</si>
  <si>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</si>
  <si>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</si>
  <si>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</si>
  <si>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</si>
  <si>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</si>
  <si>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</si>
  <si>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</si>
  <si>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</si>
  <si>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</si>
  <si>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</si>
  <si>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</si>
  <si>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</si>
  <si>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</si>
  <si>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</si>
  <si>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</si>
  <si>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</si>
  <si>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</si>
  <si>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</si>
  <si>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</si>
  <si>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</si>
  <si>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</si>
  <si>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</si>
  <si>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</si>
  <si>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</si>
  <si>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</si>
  <si>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</si>
  <si>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</si>
  <si>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</si>
  <si>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</si>
  <si>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</si>
  <si>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</si>
  <si>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</si>
  <si>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</si>
  <si>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</si>
  <si>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</si>
  <si>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</si>
  <si>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</si>
  <si>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</si>
  <si>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</si>
  <si>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</si>
  <si>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</si>
  <si>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</si>
  <si>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</si>
  <si>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</si>
  <si>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</si>
  <si>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</si>
  <si>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</si>
  <si>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</si>
  <si>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</si>
  <si>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</si>
  <si>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</si>
  <si>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</si>
  <si>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</si>
  <si>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</si>
  <si>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</si>
  <si>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</si>
  <si>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</si>
  <si>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</si>
  <si>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</si>
  <si>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</si>
  <si>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</si>
  <si>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</si>
  <si>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</si>
  <si>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</si>
  <si>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</si>
  <si>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</si>
  <si>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</si>
  <si>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</si>
  <si>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</si>
  <si>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</si>
  <si>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</si>
  <si>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</si>
  <si>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</si>
  <si>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</si>
  <si>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</si>
  <si>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</si>
  <si>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</si>
  <si>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</si>
  <si>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</si>
  <si>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</si>
  <si>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</si>
  <si>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</si>
  <si>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</si>
  <si>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</si>
  <si>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</si>
  <si>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</si>
  <si>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</si>
  <si>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</si>
  <si>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</si>
  <si>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</si>
  <si>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</si>
  <si>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</si>
  <si>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</si>
  <si>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</si>
  <si>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</si>
  <si>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</si>
  <si>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</si>
  <si>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</si>
  <si>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</si>
  <si>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</si>
  <si>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II.4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</si>
  <si>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</si>
  <si>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</si>
  <si>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</si>
  <si>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</si>
  <si>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</si>
  <si>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</si>
  <si>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</si>
  <si>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</si>
  <si>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</si>
  <si>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</si>
  <si>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</si>
  <si>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</si>
  <si>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</si>
  <si>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</si>
  <si>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</si>
  <si>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</si>
  <si>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</si>
  <si>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</si>
  <si>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</si>
  <si>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</si>
  <si>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</si>
  <si>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</si>
  <si>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</si>
  <si>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</si>
  <si>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</si>
  <si>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</si>
  <si>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</si>
  <si>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</si>
  <si>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</si>
  <si>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</si>
  <si>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</si>
  <si>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</si>
  <si>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</si>
  <si>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</si>
  <si>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</si>
  <si>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</si>
  <si>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</si>
  <si>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</si>
  <si>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</si>
  <si>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</si>
  <si>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</si>
  <si>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</si>
  <si>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</si>
  <si>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</si>
  <si>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</si>
  <si>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</si>
  <si>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</si>
  <si>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</si>
  <si>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</si>
  <si>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</si>
  <si>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</si>
  <si>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</si>
  <si>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</si>
  <si>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</si>
  <si>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</si>
  <si>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</si>
  <si>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</si>
  <si>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</si>
  <si>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</si>
  <si>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</si>
  <si>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</si>
  <si>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</si>
  <si>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</si>
  <si>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</si>
  <si>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</si>
  <si>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</si>
  <si>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</si>
  <si>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</si>
  <si>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</si>
  <si>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</si>
  <si>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</si>
  <si>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</si>
  <si>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</si>
  <si>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</si>
  <si>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</si>
  <si>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</si>
  <si>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</si>
  <si>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</si>
  <si>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</si>
  <si>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</si>
  <si>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</si>
  <si>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</si>
  <si>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</si>
  <si>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</si>
  <si>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</si>
  <si>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</si>
  <si>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</si>
  <si>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</si>
  <si>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</si>
  <si>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</si>
  <si>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</si>
  <si>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</si>
  <si>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</si>
  <si>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</si>
  <si>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</si>
  <si>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</si>
  <si>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</si>
  <si>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</si>
  <si>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</si>
  <si>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</si>
  <si>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</si>
  <si>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</si>
  <si>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</si>
  <si>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</si>
  <si>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</si>
  <si>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</si>
  <si>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</si>
  <si>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</si>
  <si>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</si>
  <si>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</si>
  <si>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</si>
  <si>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</si>
  <si>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</si>
  <si>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</si>
  <si>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</si>
  <si>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</si>
  <si>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</si>
  <si>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</si>
  <si>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</si>
  <si>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</si>
  <si>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</si>
  <si>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</si>
  <si>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</si>
  <si>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</si>
  <si>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</si>
  <si>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</si>
  <si>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</si>
  <si>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</si>
  <si>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</si>
  <si>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</si>
  <si>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</si>
  <si>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</si>
  <si>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</si>
  <si>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</si>
  <si>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</si>
  <si>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</si>
  <si>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</si>
  <si>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</si>
  <si>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</si>
  <si>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</si>
  <si>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</si>
  <si>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</si>
  <si>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</si>
  <si>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</si>
  <si>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</si>
  <si>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</si>
  <si>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</si>
  <si>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</si>
  <si>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</si>
  <si>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</si>
  <si>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</si>
  <si>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</si>
  <si>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</si>
  <si>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</si>
  <si>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</si>
  <si>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</si>
  <si>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</si>
  <si>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</si>
  <si>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</si>
  <si>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</si>
  <si>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</si>
  <si>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</si>
  <si>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</si>
  <si>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</si>
  <si>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</si>
  <si>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</si>
  <si>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</si>
  <si>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</si>
  <si>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</si>
  <si>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</si>
  <si>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</si>
  <si>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</si>
  <si>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</si>
  <si>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</si>
  <si>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</si>
  <si>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</si>
  <si>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</si>
  <si>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</si>
  <si>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</si>
  <si>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</si>
  <si>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</si>
  <si>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</si>
  <si>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</si>
  <si>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</si>
  <si>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</si>
  <si>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</si>
  <si>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</si>
  <si>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</si>
  <si>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</si>
  <si>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</si>
  <si>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</si>
  <si>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</si>
  <si>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</si>
  <si>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</si>
  <si>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</si>
  <si>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</si>
  <si>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</si>
  <si>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</si>
  <si>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</si>
  <si>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</si>
  <si>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</si>
  <si>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</si>
  <si>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</si>
  <si>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</si>
  <si>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</si>
  <si>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</si>
  <si>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</si>
  <si>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</si>
  <si>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</si>
  <si>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</si>
  <si>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</si>
  <si>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</si>
  <si>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</si>
  <si>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</si>
  <si>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</si>
  <si>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</si>
  <si>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</si>
  <si>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</si>
  <si>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</si>
  <si>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</si>
  <si>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</si>
  <si>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</si>
  <si>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</si>
  <si>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</si>
  <si>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</si>
  <si>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</si>
  <si>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</si>
  <si>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</si>
  <si>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</si>
  <si>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</si>
  <si>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</si>
  <si>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</si>
  <si>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</si>
  <si>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</si>
  <si>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</si>
  <si>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</si>
  <si>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</si>
  <si>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</si>
  <si>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</si>
  <si>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</si>
  <si>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</si>
  <si>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</si>
  <si>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</si>
  <si>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</si>
  <si>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</si>
  <si>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</si>
  <si>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</si>
  <si>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</si>
  <si>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</si>
  <si>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</si>
  <si>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</si>
  <si>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Állami kv-ből megtérülő kompenzáció, pótlékok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</si>
  <si>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</si>
  <si>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</si>
  <si>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</si>
  <si>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</si>
  <si>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</si>
  <si>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Állami kv-ből megtérülő bérkompenzáció</t>
  </si>
  <si>
    <t>Könyvtári szolgáltatások ellenértéke</t>
  </si>
  <si>
    <t>Közművelődési szolgáltatások ellenértéke</t>
  </si>
  <si>
    <t>Állami kv-ből megtérülő kompenzáció</t>
  </si>
  <si>
    <t>Állami kv-ből megtérülő pótlékok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</si>
  <si>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</si>
  <si>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</si>
  <si>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</si>
  <si>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</si>
  <si>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</si>
  <si>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</si>
  <si>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</si>
  <si>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</si>
  <si>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</si>
  <si>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</si>
  <si>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</si>
  <si>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</si>
  <si>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</si>
  <si>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</si>
  <si>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</si>
  <si>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</si>
  <si>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</si>
  <si>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</si>
  <si>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</si>
  <si>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</si>
  <si>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</si>
  <si>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</si>
  <si>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</si>
  <si>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</si>
  <si>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</si>
  <si>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</si>
  <si>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</si>
  <si>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</si>
  <si>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</si>
  <si>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III.5.aa</t>
  </si>
  <si>
    <t>III.5.ab</t>
  </si>
  <si>
    <t>Egyéb önkormányzati feladatok támogatása (beszámítás után)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</si>
  <si>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</si>
  <si>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</si>
  <si>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</si>
  <si>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</si>
  <si>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</si>
  <si>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</si>
  <si>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</si>
  <si>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</si>
  <si>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</si>
  <si>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</si>
  <si>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</si>
  <si>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</si>
  <si>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</si>
  <si>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</si>
  <si>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</si>
  <si>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</si>
  <si>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</si>
  <si>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</si>
  <si>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</si>
  <si>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</si>
  <si>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</si>
  <si>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</si>
  <si>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</si>
  <si>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</si>
  <si>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</si>
  <si>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</si>
  <si>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</si>
  <si>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</si>
  <si>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</si>
  <si>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</si>
  <si>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</si>
  <si>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</si>
  <si>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</si>
  <si>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</si>
  <si>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</si>
  <si>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</si>
  <si>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</si>
  <si>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</si>
  <si>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</si>
  <si>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</si>
  <si>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</si>
  <si>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</si>
  <si>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Üdülői szálláshely szolgáltatás és étkeztetés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</si>
  <si>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</si>
  <si>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</si>
  <si>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</si>
  <si>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</si>
  <si>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</si>
  <si>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</si>
  <si>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EFOP-3.3.2-16-2016-00284 "Kulturával az oktatás színesítéséért"pr.műk. c.támogatása</t>
  </si>
  <si>
    <t>EFOP-3.3.2-16-2016-00284 "Kulturával az oktatás színesítéséért"pr. felh. c.  támogatása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</si>
  <si>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</si>
  <si>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</si>
  <si>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</si>
  <si>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</si>
  <si>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</si>
  <si>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</si>
  <si>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</si>
  <si>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</si>
  <si>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</si>
  <si>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</si>
  <si>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</si>
  <si>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</si>
  <si>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</si>
  <si>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</si>
  <si>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</si>
  <si>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</si>
  <si>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</si>
  <si>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</si>
  <si>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</si>
  <si>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A települési önkormányzatok szociális feladatainak egyéb támogatása</t>
  </si>
  <si>
    <t>Állami kv-ből megtérülő kompenzáció, pótlékok (Bölcsőde)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</si>
  <si>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</si>
  <si>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</si>
  <si>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</si>
  <si>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</si>
  <si>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</si>
  <si>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</si>
  <si>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</si>
  <si>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</si>
  <si>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</si>
  <si>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</si>
  <si>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Út, autópálya építése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</si>
  <si>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</si>
  <si>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</si>
  <si>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</si>
  <si>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EFOP-1.5.3-16-2017-00082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</si>
  <si>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</si>
  <si>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</si>
  <si>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21. Egészségügyi ellátás</t>
  </si>
  <si>
    <t>- Óvodapedagógus - teljes munkaidős</t>
  </si>
  <si>
    <t>- Óvodapedagógus - részmunkaidős (2 fő napi 4 órában)</t>
  </si>
  <si>
    <t>Start-munka program - Téli közfoglalkoztatás (2019. évről áthúzódó programok 2020.02.29-ig)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</si>
  <si>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</si>
  <si>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</si>
  <si>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</si>
  <si>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</si>
  <si>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</si>
  <si>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</si>
  <si>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</si>
  <si>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</si>
  <si>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Jánoshalma Városi Önkormányzat 2020. évi költségvetésében tervezett köponti költségvetési támogatások</t>
  </si>
  <si>
    <t>a Magyarország 2020. évi központi költségvetéséről szóló 2019. évi LXXI. törvény 2. sz. mellékletének jogcímei szerint</t>
  </si>
  <si>
    <t>Alapfokú végzettségű pedagógus II. kategóriába sorolt óvodapedagógusok kiegészítő támogatása, akik a minősítést 209.01.01-ig szerezték meg</t>
  </si>
  <si>
    <t>Alapfokú végzettségű pedagógus II. kategóriába sorolt óvodapedagógusok kiegészítő támogatása, akik a minősítést a 2020. január 1-jei átsorolással szerezték meg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</si>
  <si>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</si>
  <si>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</si>
  <si>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 xml:space="preserve">III.2.a </t>
  </si>
  <si>
    <t>III.2.b</t>
  </si>
  <si>
    <t>III.2.n</t>
  </si>
  <si>
    <t xml:space="preserve">III.3. </t>
  </si>
  <si>
    <t>III.3. a (1)</t>
  </si>
  <si>
    <t>III.3. a (2)</t>
  </si>
  <si>
    <t>IV.b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</si>
  <si>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</si>
  <si>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</si>
  <si>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</si>
  <si>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</si>
  <si>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</si>
  <si>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</si>
  <si>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</si>
  <si>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Jánoshalma belterületi összközműves, digitális formátumú térképei síkrajzának 2018-2019. évi felújítása</t>
  </si>
  <si>
    <t>Jánoshalma külterületi összközműves, digitális formátumú térképei síkrajzának 2014-2017. évi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</si>
  <si>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</si>
  <si>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</si>
  <si>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</si>
  <si>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</si>
  <si>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</si>
  <si>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</si>
  <si>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</si>
  <si>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</si>
  <si>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</si>
  <si>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VP6-19.2.1-32-1-17kódsz. Mélykúti u. 7. sz. alatti tároló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</si>
  <si>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</si>
  <si>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</si>
  <si>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</si>
  <si>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</si>
  <si>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</si>
  <si>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A 2020. évi költségvetésben tervezett, EU-forrásból finanszírozott  támogatással megvalósuló projektek kiadásai, a helyi önkormányzat ilyen projektekhez történő hozzájárulásai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</si>
  <si>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</si>
  <si>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</si>
  <si>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</si>
  <si>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"Egy fedél alatt" projekt (EFOP-2.1.2-16-2018-00075)</t>
  </si>
  <si>
    <t>"Települések élhetőbbé tétele" Mélykúti u.7. sz. alatti gépjármű tároló (Vidékfejlesztési Program VP6-19.2.1-32-1-17)</t>
  </si>
  <si>
    <t>061040</t>
  </si>
  <si>
    <t>Dologi kiadások (nem elszámolható)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</si>
  <si>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</si>
  <si>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</si>
  <si>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</si>
  <si>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</si>
  <si>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</si>
  <si>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</si>
  <si>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</si>
  <si>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</si>
  <si>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</si>
  <si>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</si>
  <si>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</si>
  <si>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</si>
  <si>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</si>
  <si>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</si>
  <si>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</si>
  <si>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</si>
  <si>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</si>
  <si>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</si>
  <si>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</si>
  <si>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</si>
  <si>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</si>
  <si>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</si>
  <si>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</si>
  <si>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</si>
  <si>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</si>
  <si>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</si>
  <si>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</si>
  <si>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</si>
  <si>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</si>
  <si>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</si>
  <si>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</si>
  <si>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</si>
  <si>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</si>
  <si>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</si>
  <si>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</si>
  <si>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Zöldfa utca szilárd burkolatú út készítése</t>
  </si>
  <si>
    <t>Járdaépítés (fedezet: képviselői felajánlásból)</t>
  </si>
  <si>
    <t>Polgármesteri Hivatal udvarán garázs kialakítása</t>
  </si>
  <si>
    <t>Vízkárelhárítási terv elkészíttetése</t>
  </si>
  <si>
    <t>224/2017.(XII.14) Kt. hat.  és 17/2018(I.25) Kt. határozatok alapján VP6-19.2.1-32-1-17  "Települések élhetőbbé tétele" c. pályázat (gépjármű tároló építése a Mélykúti u. 7. sz. alatt)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</si>
  <si>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</si>
  <si>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</si>
  <si>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</si>
  <si>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</si>
  <si>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</si>
  <si>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</si>
  <si>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</si>
  <si>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</si>
  <si>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</si>
  <si>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</si>
  <si>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Óvodai nevelés eszközbeszerzési (udvari játékok, sportszerek, óvodai ágyak, ágytároló szekrény, kuka, porszívó, takarítógép, létra)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</si>
  <si>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</si>
  <si>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</si>
  <si>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Nyitnikék Gyerekház beruházási kiadásai (fejlesztő játékok vásárlása)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</si>
  <si>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</si>
  <si>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</si>
  <si>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</si>
  <si>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</si>
  <si>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</si>
  <si>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</si>
  <si>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</si>
  <si>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</si>
  <si>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</si>
  <si>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</si>
  <si>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</si>
  <si>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</si>
  <si>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</si>
  <si>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Imre Zoltán Művelődési Központ és Könyvtár  összesen:</t>
  </si>
  <si>
    <t>Épület-felújítás</t>
  </si>
  <si>
    <t>2 fő takarítónő foglalkoztatása 2020.03.01-2020.10.31. -Munkaügyi Központ támogatása</t>
  </si>
  <si>
    <t>Állati hullagyűjtő telep kialakítása</t>
  </si>
  <si>
    <t>1. melléklet a 2/2020.(III.02.) önkormányzati rendelethez</t>
  </si>
  <si>
    <t>2. melléklet a 2/2020.(III.02.) önkormányzati rendelethez</t>
  </si>
  <si>
    <t>3. melléklet a 2/2020.(III.02.) önkormányzati rendelethez</t>
  </si>
  <si>
    <t>4. melléklet a 2/2020.(III.02.) önkormányzati rendelethez</t>
  </si>
  <si>
    <t>5. melléklet a 2/2020.(III.02.) önkormányzati rendelethez</t>
  </si>
  <si>
    <t>6. melléklet a 2/2020.(III.02.) önkormányzati rendelethez</t>
  </si>
  <si>
    <t>7. melléklet a 2/2020.(III.02.) önkormányzati rendelethez</t>
  </si>
  <si>
    <t>8. melléklet a 2/2020. (III.02.) önkormányzati rendelethez</t>
  </si>
  <si>
    <t>9. melléklet a 2/2020.(III.02.) önkormányzati rendelethez</t>
  </si>
  <si>
    <t>10. melléklet a 2/2020.(III.02.) önkormányzati rendelethez</t>
  </si>
  <si>
    <t>11. melléklet a 2/2020. (III.02.) önkormányzati rendelethez</t>
  </si>
  <si>
    <t>12. melléklet a 2/2020. (III.02.)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</si>
</sst>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0" fillId="21" borderId="7" applyNumberFormat="0" applyFont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04" fillId="28" borderId="0" applyNumberFormat="0" applyBorder="0" applyAlignment="0" applyProtection="0"/>
    <xf numFmtId="0" fontId="105" fillId="29" borderId="8" applyNumberFormat="0" applyAlignment="0" applyProtection="0"/>
    <xf numFmtId="0" fontId="1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29" borderId="1" applyNumberFormat="0" applyAlignment="0" applyProtection="0"/>
    <xf numFmtId="9" fontId="0" fillId="0" borderId="0" applyFont="0" applyFill="0" applyBorder="0" applyAlignment="0" applyProtection="0"/>
  </cellStyleXfs>
  <cellXfs count="13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2" applyNumberFormat="1" applyFont="1" applyBorder="1" applyAlignment="1">
      <alignment horizontal="right"/>
    </xf>
    <xf numFmtId="3" fontId="19" fillId="0" borderId="22" xfId="42" applyNumberFormat="1" applyFont="1" applyBorder="1" applyAlignment="1">
      <alignment horizontal="right"/>
    </xf>
    <xf numFmtId="3" fontId="23" fillId="0" borderId="22" xfId="42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2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3" fontId="37" fillId="0" borderId="22" xfId="42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111" fillId="0" borderId="0" xfId="61" applyNumberFormat="1" applyFont="1">
      <alignment/>
      <protection/>
    </xf>
    <xf numFmtId="3" fontId="111" fillId="0" borderId="0" xfId="61" applyNumberFormat="1" applyFont="1" applyAlignment="1">
      <alignment vertical="center"/>
      <protection/>
    </xf>
    <xf numFmtId="0" fontId="42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4" borderId="21" xfId="0" applyNumberFormat="1" applyFont="1" applyFill="1" applyBorder="1" applyAlignment="1">
      <alignment vertical="center" wrapText="1"/>
    </xf>
    <xf numFmtId="0" fontId="14" fillId="34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22" fillId="0" borderId="0" xfId="0" applyFont="1" applyFill="1" applyAlignment="1">
      <alignment vertical="center"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6" fontId="17" fillId="0" borderId="2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3" fillId="0" borderId="22" xfId="58" applyFont="1" applyBorder="1">
      <alignment/>
      <protection/>
    </xf>
    <xf numFmtId="0" fontId="43" fillId="0" borderId="14" xfId="58" applyFont="1" applyBorder="1" applyAlignment="1">
      <alignment horizontal="left"/>
      <protection/>
    </xf>
    <xf numFmtId="0" fontId="43" fillId="0" borderId="17" xfId="58" applyFont="1" applyBorder="1" applyAlignment="1">
      <alignment horizontal="left"/>
      <protection/>
    </xf>
    <xf numFmtId="3" fontId="43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4" fillId="0" borderId="22" xfId="58" applyFont="1" applyBorder="1">
      <alignment/>
      <protection/>
    </xf>
    <xf numFmtId="3" fontId="44" fillId="0" borderId="22" xfId="58" applyNumberFormat="1" applyFont="1" applyBorder="1">
      <alignment/>
      <protection/>
    </xf>
    <xf numFmtId="0" fontId="45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3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8" fillId="0" borderId="22" xfId="58" applyNumberFormat="1" applyFont="1" applyBorder="1">
      <alignment/>
      <protection/>
    </xf>
    <xf numFmtId="0" fontId="49" fillId="0" borderId="22" xfId="58" applyFont="1" applyBorder="1">
      <alignment/>
      <protection/>
    </xf>
    <xf numFmtId="0" fontId="49" fillId="0" borderId="22" xfId="58" applyFont="1" applyBorder="1" applyAlignment="1">
      <alignment horizontal="left"/>
      <protection/>
    </xf>
    <xf numFmtId="3" fontId="49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9" fillId="0" borderId="22" xfId="58" applyFont="1" applyBorder="1" applyAlignment="1">
      <alignment horizontal="right"/>
      <protection/>
    </xf>
    <xf numFmtId="0" fontId="49" fillId="0" borderId="14" xfId="58" applyFont="1" applyBorder="1" applyAlignment="1">
      <alignment horizontal="left"/>
      <protection/>
    </xf>
    <xf numFmtId="0" fontId="49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3" fontId="50" fillId="0" borderId="22" xfId="0" applyNumberFormat="1" applyFont="1" applyBorder="1" applyAlignment="1">
      <alignment/>
    </xf>
    <xf numFmtId="0" fontId="51" fillId="0" borderId="0" xfId="0" applyFont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2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2" xfId="0" applyFont="1" applyBorder="1" applyAlignment="1">
      <alignment horizontal="left"/>
    </xf>
    <xf numFmtId="3" fontId="49" fillId="0" borderId="22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9" fillId="0" borderId="22" xfId="0" applyFont="1" applyBorder="1" applyAlignment="1">
      <alignment horizontal="left" vertical="center" wrapText="1"/>
    </xf>
    <xf numFmtId="3" fontId="49" fillId="35" borderId="22" xfId="0" applyNumberFormat="1" applyFont="1" applyFill="1" applyBorder="1" applyAlignment="1">
      <alignment/>
    </xf>
    <xf numFmtId="0" fontId="49" fillId="0" borderId="22" xfId="0" applyFont="1" applyBorder="1" applyAlignment="1">
      <alignment horizontal="left" vertical="top"/>
    </xf>
    <xf numFmtId="0" fontId="49" fillId="0" borderId="22" xfId="0" applyFont="1" applyBorder="1" applyAlignment="1">
      <alignment horizontal="left" wrapText="1"/>
    </xf>
    <xf numFmtId="3" fontId="49" fillId="0" borderId="32" xfId="0" applyNumberFormat="1" applyFont="1" applyFill="1" applyBorder="1" applyAlignment="1">
      <alignment/>
    </xf>
    <xf numFmtId="0" fontId="54" fillId="0" borderId="22" xfId="0" applyFont="1" applyBorder="1" applyAlignment="1">
      <alignment/>
    </xf>
    <xf numFmtId="3" fontId="54" fillId="0" borderId="22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2" xfId="0" applyFont="1" applyBorder="1" applyAlignment="1">
      <alignment horizontal="right"/>
    </xf>
    <xf numFmtId="3" fontId="56" fillId="0" borderId="22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8" fillId="0" borderId="22" xfId="58" applyFont="1" applyBorder="1" applyAlignment="1">
      <alignment horizontal="left"/>
      <protection/>
    </xf>
    <xf numFmtId="49" fontId="43" fillId="0" borderId="0" xfId="60" applyNumberFormat="1" applyFont="1" applyFill="1" applyAlignment="1">
      <alignment horizontal="center" vertical="center"/>
      <protection/>
    </xf>
    <xf numFmtId="0" fontId="43" fillId="0" borderId="0" xfId="60" applyFont="1" applyFill="1" applyAlignment="1">
      <alignment vertical="center"/>
      <protection/>
    </xf>
    <xf numFmtId="0" fontId="5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4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3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4" fillId="0" borderId="10" xfId="60" applyNumberFormat="1" applyFont="1" applyFill="1" applyBorder="1" applyAlignment="1">
      <alignment vertical="center" wrapText="1"/>
      <protection/>
    </xf>
    <xf numFmtId="3" fontId="44" fillId="0" borderId="37" xfId="60" applyNumberFormat="1" applyFont="1" applyFill="1" applyBorder="1" applyAlignment="1">
      <alignment vertical="center" wrapText="1"/>
      <protection/>
    </xf>
    <xf numFmtId="3" fontId="44" fillId="0" borderId="38" xfId="60" applyNumberFormat="1" applyFont="1" applyFill="1" applyBorder="1" applyAlignment="1">
      <alignment vertical="center" wrapText="1"/>
      <protection/>
    </xf>
    <xf numFmtId="3" fontId="44" fillId="0" borderId="23" xfId="60" applyNumberFormat="1" applyFont="1" applyFill="1" applyBorder="1" applyAlignment="1">
      <alignment vertical="center" wrapText="1"/>
      <protection/>
    </xf>
    <xf numFmtId="3" fontId="44" fillId="0" borderId="39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/>
      <protection/>
    </xf>
    <xf numFmtId="3" fontId="43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3" fillId="0" borderId="37" xfId="60" applyNumberFormat="1" applyFont="1" applyFill="1" applyBorder="1" applyAlignment="1">
      <alignment horizontal="center" vertical="center"/>
      <protection/>
    </xf>
    <xf numFmtId="3" fontId="44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49" fontId="43" fillId="0" borderId="21" xfId="60" applyNumberFormat="1" applyFont="1" applyFill="1" applyBorder="1" applyAlignment="1">
      <alignment horizontal="center" vertical="center"/>
      <protection/>
    </xf>
    <xf numFmtId="3" fontId="44" fillId="0" borderId="21" xfId="60" applyNumberFormat="1" applyFont="1" applyFill="1" applyBorder="1" applyAlignment="1">
      <alignment vertical="center" wrapText="1"/>
      <protection/>
    </xf>
    <xf numFmtId="3" fontId="44" fillId="0" borderId="22" xfId="60" applyNumberFormat="1" applyFont="1" applyFill="1" applyBorder="1" applyAlignment="1">
      <alignment vertical="center" wrapText="1"/>
      <protection/>
    </xf>
    <xf numFmtId="3" fontId="44" fillId="0" borderId="17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0" fontId="21" fillId="0" borderId="15" xfId="60" applyFont="1" applyFill="1" applyBorder="1" applyAlignment="1">
      <alignment vertical="center" wrapText="1"/>
      <protection/>
    </xf>
    <xf numFmtId="3" fontId="44" fillId="0" borderId="23" xfId="60" applyNumberFormat="1" applyFont="1" applyFill="1" applyBorder="1" applyAlignment="1">
      <alignment vertical="center"/>
      <protection/>
    </xf>
    <xf numFmtId="3" fontId="44" fillId="0" borderId="17" xfId="60" applyNumberFormat="1" applyFont="1" applyFill="1" applyBorder="1" applyAlignment="1">
      <alignment horizontal="right" vertical="center" wrapText="1"/>
      <protection/>
    </xf>
    <xf numFmtId="3" fontId="44" fillId="0" borderId="23" xfId="60" applyNumberFormat="1" applyFont="1" applyFill="1" applyBorder="1" applyAlignment="1">
      <alignment horizontal="left" vertical="center" wrapText="1"/>
      <protection/>
    </xf>
    <xf numFmtId="3" fontId="44" fillId="0" borderId="21" xfId="60" applyNumberFormat="1" applyFont="1" applyFill="1" applyBorder="1" applyAlignment="1">
      <alignment vertical="center"/>
      <protection/>
    </xf>
    <xf numFmtId="3" fontId="44" fillId="0" borderId="22" xfId="60" applyNumberFormat="1" applyFont="1" applyFill="1" applyBorder="1" applyAlignment="1">
      <alignment vertical="center"/>
      <protection/>
    </xf>
    <xf numFmtId="3" fontId="44" fillId="0" borderId="17" xfId="60" applyNumberFormat="1" applyFont="1" applyFill="1" applyBorder="1" applyAlignment="1">
      <alignment vertical="center"/>
      <protection/>
    </xf>
    <xf numFmtId="3" fontId="44" fillId="35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60" fillId="0" borderId="22" xfId="60" applyNumberFormat="1" applyFont="1" applyFill="1" applyBorder="1" applyAlignment="1">
      <alignment vertical="center"/>
      <protection/>
    </xf>
    <xf numFmtId="3" fontId="58" fillId="0" borderId="17" xfId="60" applyNumberFormat="1" applyFont="1" applyFill="1" applyBorder="1" applyAlignment="1">
      <alignment vertical="center"/>
      <protection/>
    </xf>
    <xf numFmtId="3" fontId="60" fillId="0" borderId="17" xfId="60" applyNumberFormat="1" applyFont="1" applyFill="1" applyBorder="1" applyAlignment="1">
      <alignment vertical="center"/>
      <protection/>
    </xf>
    <xf numFmtId="3" fontId="54" fillId="0" borderId="34" xfId="60" applyNumberFormat="1" applyFont="1" applyFill="1" applyBorder="1" applyAlignment="1">
      <alignment vertical="center"/>
      <protection/>
    </xf>
    <xf numFmtId="3" fontId="44" fillId="0" borderId="35" xfId="60" applyNumberFormat="1" applyFont="1" applyFill="1" applyBorder="1" applyAlignment="1">
      <alignment vertical="center" wrapText="1"/>
      <protection/>
    </xf>
    <xf numFmtId="3" fontId="44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4" fillId="0" borderId="11" xfId="60" applyNumberFormat="1" applyFont="1" applyFill="1" applyBorder="1" applyAlignment="1">
      <alignment vertical="center" wrapText="1"/>
      <protection/>
    </xf>
    <xf numFmtId="3" fontId="44" fillId="0" borderId="41" xfId="60" applyNumberFormat="1" applyFont="1" applyFill="1" applyBorder="1" applyAlignment="1">
      <alignment vertical="center" wrapText="1"/>
      <protection/>
    </xf>
    <xf numFmtId="0" fontId="21" fillId="0" borderId="42" xfId="60" applyFont="1" applyFill="1" applyBorder="1" applyAlignment="1">
      <alignment vertical="center" wrapText="1"/>
      <protection/>
    </xf>
    <xf numFmtId="3" fontId="44" fillId="0" borderId="43" xfId="60" applyNumberFormat="1" applyFont="1" applyFill="1" applyBorder="1" applyAlignment="1">
      <alignment vertical="center" wrapText="1"/>
      <protection/>
    </xf>
    <xf numFmtId="3" fontId="44" fillId="0" borderId="42" xfId="60" applyNumberFormat="1" applyFont="1" applyFill="1" applyBorder="1" applyAlignment="1">
      <alignment vertical="center" wrapText="1"/>
      <protection/>
    </xf>
    <xf numFmtId="3" fontId="61" fillId="0" borderId="26" xfId="60" applyNumberFormat="1" applyFont="1" applyFill="1" applyBorder="1" applyAlignment="1">
      <alignment vertical="center"/>
      <protection/>
    </xf>
    <xf numFmtId="3" fontId="61" fillId="0" borderId="33" xfId="60" applyNumberFormat="1" applyFont="1" applyFill="1" applyBorder="1" applyAlignment="1">
      <alignment vertical="center"/>
      <protection/>
    </xf>
    <xf numFmtId="3" fontId="61" fillId="0" borderId="44" xfId="60" applyNumberFormat="1" applyFont="1" applyFill="1" applyBorder="1" applyAlignment="1">
      <alignment vertical="center"/>
      <protection/>
    </xf>
    <xf numFmtId="166" fontId="7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7" fillId="0" borderId="45" xfId="0" applyNumberFormat="1" applyFont="1" applyFill="1" applyBorder="1" applyAlignment="1">
      <alignment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7" fillId="0" borderId="46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3" fontId="44" fillId="0" borderId="41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7" xfId="0" applyFont="1" applyBorder="1" applyAlignment="1">
      <alignment/>
    </xf>
    <xf numFmtId="0" fontId="20" fillId="0" borderId="48" xfId="59" applyFont="1" applyBorder="1" applyAlignment="1">
      <alignment horizontal="center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3" fillId="0" borderId="50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1" xfId="59" applyFont="1" applyBorder="1">
      <alignment/>
      <protection/>
    </xf>
    <xf numFmtId="0" fontId="23" fillId="0" borderId="52" xfId="59" applyFont="1" applyBorder="1">
      <alignment/>
      <protection/>
    </xf>
    <xf numFmtId="0" fontId="23" fillId="0" borderId="53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54" xfId="59" applyNumberFormat="1" applyFont="1" applyBorder="1">
      <alignment/>
      <protection/>
    </xf>
    <xf numFmtId="0" fontId="23" fillId="0" borderId="0" xfId="59" applyFont="1" applyBorder="1" applyAlignment="1">
      <alignment horizontal="left"/>
      <protection/>
    </xf>
    <xf numFmtId="3" fontId="16" fillId="0" borderId="55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55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56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0" xfId="59" applyNumberFormat="1" applyFont="1" applyBorder="1" applyAlignment="1">
      <alignment horizontal="right" vertical="center"/>
      <protection/>
    </xf>
    <xf numFmtId="3" fontId="23" fillId="0" borderId="57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1" fillId="0" borderId="53" xfId="59" applyFont="1" applyBorder="1" applyAlignment="1">
      <alignment horizontal="right" vertical="center"/>
      <protection/>
    </xf>
    <xf numFmtId="0" fontId="24" fillId="0" borderId="50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2" xfId="59" applyFont="1" applyBorder="1" applyAlignment="1">
      <alignment horizontal="right"/>
      <protection/>
    </xf>
    <xf numFmtId="3" fontId="20" fillId="0" borderId="52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3" xfId="59" applyNumberFormat="1" applyFont="1" applyBorder="1">
      <alignment/>
      <protection/>
    </xf>
    <xf numFmtId="3" fontId="61" fillId="0" borderId="50" xfId="59" applyNumberFormat="1" applyFont="1" applyBorder="1" applyAlignment="1">
      <alignment horizontal="right" vertical="center"/>
      <protection/>
    </xf>
    <xf numFmtId="3" fontId="61" fillId="0" borderId="32" xfId="59" applyNumberFormat="1" applyFont="1" applyBorder="1" applyAlignment="1">
      <alignment horizontal="right" vertical="center"/>
      <protection/>
    </xf>
    <xf numFmtId="3" fontId="23" fillId="0" borderId="50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1" fillId="0" borderId="53" xfId="59" applyNumberFormat="1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2" xfId="59" applyFont="1" applyBorder="1" applyAlignment="1">
      <alignment horizontal="right"/>
      <protection/>
    </xf>
    <xf numFmtId="0" fontId="61" fillId="0" borderId="53" xfId="59" applyFont="1" applyBorder="1">
      <alignment/>
      <protection/>
    </xf>
    <xf numFmtId="3" fontId="23" fillId="0" borderId="58" xfId="59" applyNumberFormat="1" applyFont="1" applyBorder="1">
      <alignment/>
      <protection/>
    </xf>
    <xf numFmtId="3" fontId="61" fillId="0" borderId="50" xfId="59" applyNumberFormat="1" applyFont="1" applyBorder="1">
      <alignment/>
      <protection/>
    </xf>
    <xf numFmtId="3" fontId="61" fillId="0" borderId="32" xfId="59" applyNumberFormat="1" applyFont="1" applyBorder="1">
      <alignment/>
      <protection/>
    </xf>
    <xf numFmtId="3" fontId="61" fillId="0" borderId="57" xfId="59" applyNumberFormat="1" applyFont="1" applyBorder="1">
      <alignment/>
      <protection/>
    </xf>
    <xf numFmtId="3" fontId="61" fillId="0" borderId="53" xfId="59" applyNumberFormat="1" applyFont="1" applyBorder="1">
      <alignment/>
      <protection/>
    </xf>
    <xf numFmtId="0" fontId="19" fillId="0" borderId="50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2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3" xfId="59" applyFont="1" applyBorder="1">
      <alignment/>
      <protection/>
    </xf>
    <xf numFmtId="3" fontId="62" fillId="0" borderId="0" xfId="59" applyNumberFormat="1" applyFont="1" applyBorder="1">
      <alignment/>
      <protection/>
    </xf>
    <xf numFmtId="0" fontId="62" fillId="0" borderId="50" xfId="59" applyFont="1" applyBorder="1" applyAlignment="1">
      <alignment horizontal="left"/>
      <protection/>
    </xf>
    <xf numFmtId="0" fontId="62" fillId="0" borderId="0" xfId="59" applyFont="1" applyBorder="1" applyAlignment="1">
      <alignment horizontal="left"/>
      <protection/>
    </xf>
    <xf numFmtId="0" fontId="62" fillId="0" borderId="55" xfId="59" applyFont="1" applyBorder="1" applyAlignment="1">
      <alignment horizontal="left"/>
      <protection/>
    </xf>
    <xf numFmtId="0" fontId="62" fillId="0" borderId="54" xfId="59" applyFont="1" applyBorder="1" applyAlignment="1">
      <alignment horizontal="left"/>
      <protection/>
    </xf>
    <xf numFmtId="0" fontId="62" fillId="0" borderId="54" xfId="59" applyFont="1" applyBorder="1">
      <alignment/>
      <protection/>
    </xf>
    <xf numFmtId="3" fontId="23" fillId="0" borderId="59" xfId="59" applyNumberFormat="1" applyFont="1" applyBorder="1">
      <alignment/>
      <protection/>
    </xf>
    <xf numFmtId="0" fontId="62" fillId="0" borderId="0" xfId="59" applyFont="1" applyBorder="1">
      <alignment/>
      <protection/>
    </xf>
    <xf numFmtId="0" fontId="19" fillId="0" borderId="47" xfId="59" applyFont="1" applyBorder="1" applyAlignment="1">
      <alignment horizontal="right"/>
      <protection/>
    </xf>
    <xf numFmtId="0" fontId="19" fillId="0" borderId="60" xfId="59" applyFont="1" applyBorder="1" applyAlignment="1">
      <alignment horizontal="right"/>
      <protection/>
    </xf>
    <xf numFmtId="0" fontId="19" fillId="0" borderId="47" xfId="59" applyFont="1" applyBorder="1">
      <alignment/>
      <protection/>
    </xf>
    <xf numFmtId="0" fontId="19" fillId="0" borderId="61" xfId="59" applyFont="1" applyBorder="1">
      <alignment/>
      <protection/>
    </xf>
    <xf numFmtId="0" fontId="23" fillId="0" borderId="47" xfId="59" applyFont="1" applyBorder="1" applyAlignment="1">
      <alignment horizontal="left"/>
      <protection/>
    </xf>
    <xf numFmtId="0" fontId="62" fillId="0" borderId="62" xfId="59" applyFont="1" applyBorder="1" applyAlignment="1">
      <alignment horizontal="left"/>
      <protection/>
    </xf>
    <xf numFmtId="0" fontId="62" fillId="0" borderId="47" xfId="59" applyFont="1" applyBorder="1" applyAlignment="1">
      <alignment horizontal="left"/>
      <protection/>
    </xf>
    <xf numFmtId="3" fontId="62" fillId="0" borderId="47" xfId="59" applyNumberFormat="1" applyFont="1" applyFill="1" applyBorder="1">
      <alignment/>
      <protection/>
    </xf>
    <xf numFmtId="3" fontId="16" fillId="0" borderId="62" xfId="59" applyNumberFormat="1" applyFont="1" applyBorder="1" applyAlignment="1">
      <alignment horizontal="right" vertical="center"/>
      <protection/>
    </xf>
    <xf numFmtId="3" fontId="61" fillId="0" borderId="63" xfId="59" applyNumberFormat="1" applyFont="1" applyBorder="1" applyAlignment="1">
      <alignment horizontal="right" vertical="center"/>
      <protection/>
    </xf>
    <xf numFmtId="3" fontId="61" fillId="0" borderId="64" xfId="59" applyNumberFormat="1" applyFont="1" applyBorder="1" applyAlignment="1">
      <alignment horizontal="right" vertical="center"/>
      <protection/>
    </xf>
    <xf numFmtId="3" fontId="23" fillId="0" borderId="65" xfId="59" applyNumberFormat="1" applyFont="1" applyBorder="1">
      <alignment/>
      <protection/>
    </xf>
    <xf numFmtId="3" fontId="23" fillId="0" borderId="63" xfId="59" applyNumberFormat="1" applyFont="1" applyBorder="1">
      <alignment/>
      <protection/>
    </xf>
    <xf numFmtId="3" fontId="23" fillId="0" borderId="64" xfId="59" applyNumberFormat="1" applyFont="1" applyBorder="1">
      <alignment/>
      <protection/>
    </xf>
    <xf numFmtId="3" fontId="61" fillId="0" borderId="61" xfId="59" applyNumberFormat="1" applyFont="1" applyBorder="1" applyAlignment="1">
      <alignment horizontal="right" vertical="center"/>
      <protection/>
    </xf>
    <xf numFmtId="3" fontId="61" fillId="0" borderId="66" xfId="59" applyNumberFormat="1" applyFont="1" applyBorder="1" applyAlignment="1">
      <alignment horizontal="right" vertical="center"/>
      <protection/>
    </xf>
    <xf numFmtId="0" fontId="19" fillId="0" borderId="67" xfId="59" applyFont="1" applyBorder="1">
      <alignment/>
      <protection/>
    </xf>
    <xf numFmtId="0" fontId="19" fillId="0" borderId="52" xfId="59" applyFont="1" applyBorder="1">
      <alignment/>
      <protection/>
    </xf>
    <xf numFmtId="0" fontId="19" fillId="0" borderId="32" xfId="59" applyFont="1" applyBorder="1">
      <alignment/>
      <protection/>
    </xf>
    <xf numFmtId="3" fontId="62" fillId="0" borderId="58" xfId="59" applyNumberFormat="1" applyFont="1" applyBorder="1" applyAlignment="1">
      <alignment/>
      <protection/>
    </xf>
    <xf numFmtId="0" fontId="19" fillId="0" borderId="68" xfId="59" applyFont="1" applyBorder="1">
      <alignment/>
      <protection/>
    </xf>
    <xf numFmtId="0" fontId="19" fillId="0" borderId="64" xfId="59" applyFont="1" applyBorder="1">
      <alignment/>
      <protection/>
    </xf>
    <xf numFmtId="0" fontId="19" fillId="0" borderId="69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0" xfId="59" applyFont="1" applyBorder="1" applyAlignment="1">
      <alignment horizontal="left"/>
      <protection/>
    </xf>
    <xf numFmtId="3" fontId="61" fillId="0" borderId="70" xfId="59" applyNumberFormat="1" applyFont="1" applyBorder="1" applyAlignment="1">
      <alignment horizontal="right"/>
      <protection/>
    </xf>
    <xf numFmtId="3" fontId="61" fillId="0" borderId="50" xfId="59" applyNumberFormat="1" applyFont="1" applyBorder="1" applyAlignment="1">
      <alignment horizontal="right"/>
      <protection/>
    </xf>
    <xf numFmtId="0" fontId="19" fillId="0" borderId="71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72" xfId="59" applyFont="1" applyBorder="1" applyAlignment="1">
      <alignment horizontal="right" vertical="center"/>
      <protection/>
    </xf>
    <xf numFmtId="0" fontId="23" fillId="0" borderId="57" xfId="59" applyFont="1" applyBorder="1">
      <alignment/>
      <protection/>
    </xf>
    <xf numFmtId="0" fontId="19" fillId="0" borderId="50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1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3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1" fillId="0" borderId="73" xfId="59" applyNumberFormat="1" applyFont="1" applyBorder="1">
      <alignment/>
      <protection/>
    </xf>
    <xf numFmtId="0" fontId="19" fillId="0" borderId="74" xfId="59" applyFont="1" applyBorder="1">
      <alignment/>
      <protection/>
    </xf>
    <xf numFmtId="0" fontId="19" fillId="0" borderId="75" xfId="59" applyFont="1" applyBorder="1" applyAlignment="1">
      <alignment horizontal="right"/>
      <protection/>
    </xf>
    <xf numFmtId="0" fontId="19" fillId="0" borderId="76" xfId="59" applyFont="1" applyBorder="1" applyAlignment="1">
      <alignment horizontal="right"/>
      <protection/>
    </xf>
    <xf numFmtId="0" fontId="19" fillId="0" borderId="75" xfId="59" applyFont="1" applyBorder="1">
      <alignment/>
      <protection/>
    </xf>
    <xf numFmtId="0" fontId="19" fillId="0" borderId="66" xfId="59" applyFont="1" applyBorder="1">
      <alignment/>
      <protection/>
    </xf>
    <xf numFmtId="0" fontId="19" fillId="0" borderId="75" xfId="59" applyFont="1" applyBorder="1" applyAlignment="1">
      <alignment/>
      <protection/>
    </xf>
    <xf numFmtId="0" fontId="16" fillId="0" borderId="77" xfId="59" applyFont="1" applyBorder="1" applyAlignment="1">
      <alignment horizontal="right"/>
      <protection/>
    </xf>
    <xf numFmtId="0" fontId="19" fillId="0" borderId="78" xfId="59" applyFont="1" applyBorder="1">
      <alignment/>
      <protection/>
    </xf>
    <xf numFmtId="3" fontId="16" fillId="0" borderId="79" xfId="59" applyNumberFormat="1" applyFont="1" applyBorder="1" applyAlignment="1">
      <alignment horizontal="right"/>
      <protection/>
    </xf>
    <xf numFmtId="0" fontId="16" fillId="0" borderId="75" xfId="59" applyFont="1" applyBorder="1" applyAlignment="1">
      <alignment horizontal="right"/>
      <protection/>
    </xf>
    <xf numFmtId="0" fontId="16" fillId="0" borderId="76" xfId="59" applyFont="1" applyBorder="1" applyAlignment="1">
      <alignment horizontal="right"/>
      <protection/>
    </xf>
    <xf numFmtId="0" fontId="19" fillId="0" borderId="80" xfId="59" applyFont="1" applyBorder="1">
      <alignment/>
      <protection/>
    </xf>
    <xf numFmtId="0" fontId="19" fillId="0" borderId="76" xfId="59" applyFont="1" applyBorder="1">
      <alignment/>
      <protection/>
    </xf>
    <xf numFmtId="0" fontId="61" fillId="0" borderId="81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3" fontId="61" fillId="0" borderId="0" xfId="59" applyNumberFormat="1" applyFont="1" applyBorder="1">
      <alignment/>
      <protection/>
    </xf>
    <xf numFmtId="3" fontId="61" fillId="0" borderId="70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58" xfId="59" applyFont="1" applyBorder="1">
      <alignment/>
      <protection/>
    </xf>
    <xf numFmtId="0" fontId="24" fillId="0" borderId="55" xfId="59" applyFont="1" applyBorder="1" applyAlignment="1">
      <alignment horizontal="right"/>
      <protection/>
    </xf>
    <xf numFmtId="0" fontId="19" fillId="0" borderId="54" xfId="0" applyFont="1" applyBorder="1" applyAlignment="1">
      <alignment horizontal="right"/>
    </xf>
    <xf numFmtId="3" fontId="20" fillId="0" borderId="72" xfId="59" applyNumberFormat="1" applyFont="1" applyBorder="1" applyAlignment="1">
      <alignment horizontal="right"/>
      <protection/>
    </xf>
    <xf numFmtId="3" fontId="20" fillId="0" borderId="54" xfId="59" applyNumberFormat="1" applyFont="1" applyBorder="1">
      <alignment/>
      <protection/>
    </xf>
    <xf numFmtId="3" fontId="20" fillId="0" borderId="56" xfId="59" applyNumberFormat="1" applyFont="1" applyBorder="1">
      <alignment/>
      <protection/>
    </xf>
    <xf numFmtId="3" fontId="23" fillId="0" borderId="59" xfId="59" applyNumberFormat="1" applyFont="1" applyBorder="1" applyAlignment="1">
      <alignment/>
      <protection/>
    </xf>
    <xf numFmtId="0" fontId="19" fillId="0" borderId="59" xfId="59" applyFont="1" applyBorder="1">
      <alignment/>
      <protection/>
    </xf>
    <xf numFmtId="3" fontId="61" fillId="0" borderId="55" xfId="59" applyNumberFormat="1" applyFont="1" applyBorder="1" applyAlignment="1">
      <alignment horizontal="right" vertical="center"/>
      <protection/>
    </xf>
    <xf numFmtId="3" fontId="61" fillId="0" borderId="72" xfId="59" applyNumberFormat="1" applyFont="1" applyBorder="1" applyAlignment="1">
      <alignment horizontal="right" vertical="center"/>
      <protection/>
    </xf>
    <xf numFmtId="3" fontId="61" fillId="0" borderId="82" xfId="59" applyNumberFormat="1" applyFont="1" applyBorder="1">
      <alignment/>
      <protection/>
    </xf>
    <xf numFmtId="3" fontId="61" fillId="0" borderId="55" xfId="59" applyNumberFormat="1" applyFont="1" applyBorder="1">
      <alignment/>
      <protection/>
    </xf>
    <xf numFmtId="3" fontId="61" fillId="0" borderId="72" xfId="59" applyNumberFormat="1" applyFont="1" applyBorder="1">
      <alignment/>
      <protection/>
    </xf>
    <xf numFmtId="3" fontId="61" fillId="0" borderId="56" xfId="59" applyNumberFormat="1" applyFont="1" applyBorder="1" applyAlignment="1">
      <alignment horizontal="right" vertical="center"/>
      <protection/>
    </xf>
    <xf numFmtId="3" fontId="62" fillId="0" borderId="0" xfId="59" applyNumberFormat="1" applyFont="1" applyBorder="1" applyAlignment="1">
      <alignment/>
      <protection/>
    </xf>
    <xf numFmtId="3" fontId="16" fillId="0" borderId="83" xfId="59" applyNumberFormat="1" applyFont="1" applyBorder="1">
      <alignment/>
      <protection/>
    </xf>
    <xf numFmtId="0" fontId="63" fillId="0" borderId="84" xfId="59" applyFont="1" applyBorder="1">
      <alignment/>
      <protection/>
    </xf>
    <xf numFmtId="0" fontId="63" fillId="0" borderId="33" xfId="59" applyFont="1" applyBorder="1">
      <alignment/>
      <protection/>
    </xf>
    <xf numFmtId="0" fontId="63" fillId="0" borderId="46" xfId="59" applyFont="1" applyBorder="1">
      <alignment/>
      <protection/>
    </xf>
    <xf numFmtId="3" fontId="61" fillId="0" borderId="84" xfId="59" applyNumberFormat="1" applyFont="1" applyBorder="1" applyAlignment="1">
      <alignment horizontal="right" vertical="center"/>
      <protection/>
    </xf>
    <xf numFmtId="3" fontId="61" fillId="0" borderId="85" xfId="59" applyNumberFormat="1" applyFont="1" applyBorder="1" applyAlignment="1">
      <alignment horizontal="right" vertical="center"/>
      <protection/>
    </xf>
    <xf numFmtId="3" fontId="61" fillId="0" borderId="84" xfId="59" applyNumberFormat="1" applyFont="1" applyBorder="1">
      <alignment/>
      <protection/>
    </xf>
    <xf numFmtId="3" fontId="61" fillId="0" borderId="85" xfId="59" applyNumberFormat="1" applyFont="1" applyBorder="1">
      <alignment/>
      <protection/>
    </xf>
    <xf numFmtId="3" fontId="61" fillId="0" borderId="83" xfId="59" applyNumberFormat="1" applyFont="1" applyBorder="1" applyAlignment="1">
      <alignment horizontal="right" vertical="center"/>
      <protection/>
    </xf>
    <xf numFmtId="3" fontId="47" fillId="0" borderId="86" xfId="59" applyNumberFormat="1" applyFont="1" applyBorder="1" applyAlignment="1">
      <alignment horizontal="center"/>
      <protection/>
    </xf>
    <xf numFmtId="3" fontId="47" fillId="0" borderId="87" xfId="59" applyNumberFormat="1" applyFont="1" applyBorder="1">
      <alignment/>
      <protection/>
    </xf>
    <xf numFmtId="0" fontId="23" fillId="0" borderId="88" xfId="59" applyFont="1" applyBorder="1" applyAlignment="1">
      <alignment horizontal="left"/>
      <protection/>
    </xf>
    <xf numFmtId="0" fontId="19" fillId="0" borderId="88" xfId="59" applyFont="1" applyBorder="1">
      <alignment/>
      <protection/>
    </xf>
    <xf numFmtId="3" fontId="16" fillId="0" borderId="89" xfId="59" applyNumberFormat="1" applyFont="1" applyBorder="1">
      <alignment/>
      <protection/>
    </xf>
    <xf numFmtId="0" fontId="19" fillId="0" borderId="71" xfId="59" applyFont="1" applyBorder="1">
      <alignment/>
      <protection/>
    </xf>
    <xf numFmtId="3" fontId="47" fillId="0" borderId="86" xfId="59" applyNumberFormat="1" applyFont="1" applyBorder="1">
      <alignment/>
      <protection/>
    </xf>
    <xf numFmtId="3" fontId="47" fillId="0" borderId="90" xfId="59" applyNumberFormat="1" applyFont="1" applyBorder="1">
      <alignment/>
      <protection/>
    </xf>
    <xf numFmtId="0" fontId="23" fillId="0" borderId="47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3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91" xfId="59" applyFont="1" applyBorder="1" applyAlignment="1">
      <alignment horizontal="center"/>
      <protection/>
    </xf>
    <xf numFmtId="0" fontId="20" fillId="0" borderId="84" xfId="59" applyFont="1" applyBorder="1" applyAlignment="1">
      <alignment horizontal="center" vertical="center"/>
      <protection/>
    </xf>
    <xf numFmtId="0" fontId="20" fillId="0" borderId="91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5" borderId="2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67" xfId="59" applyFont="1" applyBorder="1" applyAlignment="1">
      <alignment horizontal="left" wrapText="1"/>
      <protection/>
    </xf>
    <xf numFmtId="0" fontId="62" fillId="0" borderId="67" xfId="59" applyFont="1" applyBorder="1" applyAlignment="1">
      <alignment horizontal="left" wrapText="1"/>
      <protection/>
    </xf>
    <xf numFmtId="0" fontId="62" fillId="0" borderId="0" xfId="59" applyFont="1" applyBorder="1" applyAlignment="1">
      <alignment horizontal="left" wrapText="1"/>
      <protection/>
    </xf>
    <xf numFmtId="3" fontId="23" fillId="0" borderId="59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61" fillId="36" borderId="92" xfId="59" applyNumberFormat="1" applyFont="1" applyFill="1" applyBorder="1" applyAlignment="1">
      <alignment horizontal="right" vertical="center"/>
      <protection/>
    </xf>
    <xf numFmtId="0" fontId="19" fillId="0" borderId="51" xfId="0" applyFont="1" applyBorder="1" applyAlignment="1">
      <alignment horizontal="right"/>
    </xf>
    <xf numFmtId="0" fontId="19" fillId="36" borderId="93" xfId="59" applyFont="1" applyFill="1" applyBorder="1" applyAlignment="1">
      <alignment vertical="center"/>
      <protection/>
    </xf>
    <xf numFmtId="3" fontId="16" fillId="36" borderId="94" xfId="59" applyNumberFormat="1" applyFont="1" applyFill="1" applyBorder="1" applyAlignment="1">
      <alignment vertical="center"/>
      <protection/>
    </xf>
    <xf numFmtId="0" fontId="19" fillId="36" borderId="95" xfId="59" applyFont="1" applyFill="1" applyBorder="1" applyAlignment="1">
      <alignment vertical="center"/>
      <protection/>
    </xf>
    <xf numFmtId="3" fontId="61" fillId="36" borderId="96" xfId="59" applyNumberFormat="1" applyFont="1" applyFill="1" applyBorder="1" applyAlignment="1">
      <alignment vertical="center"/>
      <protection/>
    </xf>
    <xf numFmtId="3" fontId="61" fillId="36" borderId="86" xfId="59" applyNumberFormat="1" applyFont="1" applyFill="1" applyBorder="1" applyAlignment="1">
      <alignment vertical="center"/>
      <protection/>
    </xf>
    <xf numFmtId="3" fontId="61" fillId="36" borderId="81" xfId="59" applyNumberFormat="1" applyFont="1" applyFill="1" applyBorder="1" applyAlignment="1">
      <alignment vertical="center"/>
      <protection/>
    </xf>
    <xf numFmtId="3" fontId="61" fillId="36" borderId="97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7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58" xfId="59" applyNumberFormat="1" applyFont="1" applyBorder="1" applyAlignment="1">
      <alignment/>
      <protection/>
    </xf>
    <xf numFmtId="3" fontId="23" fillId="0" borderId="58" xfId="59" applyNumberFormat="1" applyFont="1" applyBorder="1" applyAlignment="1">
      <alignment vertical="center"/>
      <protection/>
    </xf>
    <xf numFmtId="3" fontId="23" fillId="0" borderId="46" xfId="59" applyNumberFormat="1" applyFont="1" applyFill="1" applyBorder="1" applyAlignment="1">
      <alignment vertical="center"/>
      <protection/>
    </xf>
    <xf numFmtId="3" fontId="23" fillId="0" borderId="58" xfId="59" applyNumberFormat="1" applyFont="1" applyFill="1" applyBorder="1" applyAlignment="1">
      <alignment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59" xfId="59" applyNumberFormat="1" applyFont="1" applyFill="1" applyBorder="1" applyAlignment="1">
      <alignment vertical="center"/>
      <protection/>
    </xf>
    <xf numFmtId="0" fontId="46" fillId="0" borderId="0" xfId="60" applyFont="1" applyFill="1" applyAlignment="1">
      <alignment vertical="center" wrapText="1"/>
      <protection/>
    </xf>
    <xf numFmtId="0" fontId="46" fillId="0" borderId="75" xfId="60" applyFont="1" applyFill="1" applyBorder="1" applyAlignment="1">
      <alignment vertical="center" wrapText="1"/>
      <protection/>
    </xf>
    <xf numFmtId="0" fontId="19" fillId="0" borderId="63" xfId="59" applyFont="1" applyBorder="1" applyAlignment="1">
      <alignment horizontal="right"/>
      <protection/>
    </xf>
    <xf numFmtId="3" fontId="23" fillId="0" borderId="98" xfId="0" applyNumberFormat="1" applyFont="1" applyBorder="1" applyAlignment="1">
      <alignment/>
    </xf>
    <xf numFmtId="3" fontId="61" fillId="0" borderId="99" xfId="60" applyNumberFormat="1" applyFont="1" applyFill="1" applyBorder="1" applyAlignment="1">
      <alignment vertical="center"/>
      <protection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3" fontId="44" fillId="0" borderId="38" xfId="0" applyNumberFormat="1" applyFont="1" applyFill="1" applyBorder="1" applyAlignment="1">
      <alignment horizontal="center" vertical="center"/>
    </xf>
    <xf numFmtId="0" fontId="44" fillId="0" borderId="10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49" fontId="43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9" fillId="0" borderId="24" xfId="0" applyNumberFormat="1" applyFont="1" applyFill="1" applyBorder="1" applyAlignment="1">
      <alignment vertical="center"/>
    </xf>
    <xf numFmtId="3" fontId="44" fillId="0" borderId="39" xfId="0" applyNumberFormat="1" applyFont="1" applyFill="1" applyBorder="1" applyAlignment="1">
      <alignment vertical="center"/>
    </xf>
    <xf numFmtId="3" fontId="44" fillId="0" borderId="38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9" fontId="43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vertical="center"/>
    </xf>
    <xf numFmtId="3" fontId="44" fillId="0" borderId="17" xfId="0" applyNumberFormat="1" applyFont="1" applyFill="1" applyBorder="1" applyAlignment="1">
      <alignment vertical="center"/>
    </xf>
    <xf numFmtId="3" fontId="59" fillId="0" borderId="16" xfId="0" applyNumberFormat="1" applyFont="1" applyFill="1" applyBorder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59" fillId="0" borderId="22" xfId="0" applyNumberFormat="1" applyFont="1" applyFill="1" applyBorder="1" applyAlignment="1">
      <alignment vertical="center"/>
    </xf>
    <xf numFmtId="3" fontId="59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4" fillId="0" borderId="22" xfId="0" applyNumberFormat="1" applyFont="1" applyFill="1" applyBorder="1" applyAlignment="1">
      <alignment horizontal="right" vertical="center"/>
    </xf>
    <xf numFmtId="49" fontId="43" fillId="0" borderId="43" xfId="0" applyNumberFormat="1" applyFont="1" applyFill="1" applyBorder="1" applyAlignment="1">
      <alignment horizontal="center" vertical="center"/>
    </xf>
    <xf numFmtId="3" fontId="44" fillId="0" borderId="42" xfId="0" applyNumberFormat="1" applyFont="1" applyFill="1" applyBorder="1" applyAlignment="1">
      <alignment vertical="center"/>
    </xf>
    <xf numFmtId="3" fontId="59" fillId="0" borderId="15" xfId="0" applyNumberFormat="1" applyFont="1" applyFill="1" applyBorder="1" applyAlignment="1">
      <alignment vertical="center"/>
    </xf>
    <xf numFmtId="3" fontId="44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6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71" fontId="14" fillId="0" borderId="21" xfId="61" applyNumberFormat="1" applyBorder="1" applyAlignment="1">
      <alignment vertical="center"/>
      <protection/>
    </xf>
    <xf numFmtId="171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71" fontId="22" fillId="0" borderId="21" xfId="61" applyNumberFormat="1" applyFont="1" applyBorder="1" applyAlignment="1">
      <alignment vertical="center"/>
      <protection/>
    </xf>
    <xf numFmtId="171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43" fillId="0" borderId="22" xfId="0" applyFont="1" applyBorder="1" applyAlignment="1">
      <alignment horizontal="left"/>
    </xf>
    <xf numFmtId="49" fontId="67" fillId="34" borderId="21" xfId="0" applyNumberFormat="1" applyFont="1" applyFill="1" applyBorder="1" applyAlignment="1">
      <alignment vertical="center" wrapText="1"/>
    </xf>
    <xf numFmtId="0" fontId="67" fillId="34" borderId="22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17" fillId="0" borderId="0" xfId="0" applyFont="1" applyBorder="1" applyAlignment="1">
      <alignment/>
    </xf>
    <xf numFmtId="3" fontId="50" fillId="0" borderId="101" xfId="0" applyNumberFormat="1" applyFont="1" applyBorder="1" applyAlignment="1">
      <alignment/>
    </xf>
    <xf numFmtId="3" fontId="21" fillId="0" borderId="101" xfId="0" applyNumberFormat="1" applyFont="1" applyBorder="1" applyAlignment="1">
      <alignment/>
    </xf>
    <xf numFmtId="3" fontId="48" fillId="0" borderId="101" xfId="0" applyNumberFormat="1" applyFont="1" applyBorder="1" applyAlignment="1">
      <alignment/>
    </xf>
    <xf numFmtId="3" fontId="53" fillId="0" borderId="101" xfId="0" applyNumberFormat="1" applyFont="1" applyBorder="1" applyAlignment="1">
      <alignment/>
    </xf>
    <xf numFmtId="3" fontId="55" fillId="0" borderId="101" xfId="0" applyNumberFormat="1" applyFont="1" applyBorder="1" applyAlignment="1">
      <alignment/>
    </xf>
    <xf numFmtId="3" fontId="57" fillId="0" borderId="101" xfId="0" applyNumberFormat="1" applyFont="1" applyBorder="1" applyAlignment="1">
      <alignment/>
    </xf>
    <xf numFmtId="3" fontId="20" fillId="0" borderId="101" xfId="0" applyNumberFormat="1" applyFont="1" applyBorder="1" applyAlignment="1">
      <alignment/>
    </xf>
    <xf numFmtId="3" fontId="16" fillId="0" borderId="101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3" fillId="0" borderId="0" xfId="59" applyFont="1" applyBorder="1" applyAlignment="1">
      <alignment horizontal="left" wrapText="1"/>
      <protection/>
    </xf>
    <xf numFmtId="0" fontId="23" fillId="0" borderId="55" xfId="59" applyFont="1" applyBorder="1" applyAlignment="1">
      <alignment horizontal="left"/>
      <protection/>
    </xf>
    <xf numFmtId="0" fontId="23" fillId="0" borderId="54" xfId="59" applyFont="1" applyBorder="1" applyAlignment="1">
      <alignment horizontal="left"/>
      <protection/>
    </xf>
    <xf numFmtId="0" fontId="19" fillId="0" borderId="52" xfId="0" applyFont="1" applyBorder="1" applyAlignment="1">
      <alignment horizontal="right"/>
    </xf>
    <xf numFmtId="0" fontId="49" fillId="0" borderId="17" xfId="58" applyFont="1" applyBorder="1" applyAlignment="1">
      <alignment horizontal="left" wrapText="1"/>
      <protection/>
    </xf>
    <xf numFmtId="3" fontId="20" fillId="0" borderId="101" xfId="58" applyNumberFormat="1" applyFont="1" applyBorder="1">
      <alignment/>
      <protection/>
    </xf>
    <xf numFmtId="3" fontId="48" fillId="0" borderId="101" xfId="58" applyNumberFormat="1" applyFont="1" applyBorder="1">
      <alignment/>
      <protection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49" fontId="17" fillId="0" borderId="43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/>
    </xf>
    <xf numFmtId="3" fontId="18" fillId="0" borderId="4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99" xfId="0" applyNumberFormat="1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vertical="center"/>
    </xf>
    <xf numFmtId="3" fontId="18" fillId="0" borderId="102" xfId="0" applyNumberFormat="1" applyFont="1" applyFill="1" applyBorder="1" applyAlignment="1">
      <alignment vertical="center"/>
    </xf>
    <xf numFmtId="3" fontId="18" fillId="0" borderId="103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12" fillId="0" borderId="37" xfId="60" applyNumberFormat="1" applyFont="1" applyFill="1" applyBorder="1" applyAlignment="1">
      <alignment vertical="center" wrapText="1"/>
      <protection/>
    </xf>
    <xf numFmtId="3" fontId="112" fillId="0" borderId="38" xfId="60" applyNumberFormat="1" applyFont="1" applyFill="1" applyBorder="1" applyAlignment="1">
      <alignment vertical="center" wrapText="1"/>
      <protection/>
    </xf>
    <xf numFmtId="3" fontId="112" fillId="0" borderId="21" xfId="60" applyNumberFormat="1" applyFont="1" applyFill="1" applyBorder="1" applyAlignment="1">
      <alignment vertical="center" wrapText="1"/>
      <protection/>
    </xf>
    <xf numFmtId="3" fontId="112" fillId="0" borderId="22" xfId="60" applyNumberFormat="1" applyFont="1" applyFill="1" applyBorder="1" applyAlignment="1">
      <alignment vertical="center" wrapText="1"/>
      <protection/>
    </xf>
    <xf numFmtId="3" fontId="112" fillId="0" borderId="21" xfId="60" applyNumberFormat="1" applyFont="1" applyFill="1" applyBorder="1" applyAlignment="1">
      <alignment vertical="center"/>
      <protection/>
    </xf>
    <xf numFmtId="3" fontId="112" fillId="0" borderId="22" xfId="60" applyNumberFormat="1" applyFont="1" applyFill="1" applyBorder="1" applyAlignment="1">
      <alignment vertical="center"/>
      <protection/>
    </xf>
    <xf numFmtId="3" fontId="112" fillId="0" borderId="39" xfId="60" applyNumberFormat="1" applyFont="1" applyFill="1" applyBorder="1" applyAlignment="1">
      <alignment vertical="center" wrapText="1"/>
      <protection/>
    </xf>
    <xf numFmtId="3" fontId="112" fillId="0" borderId="17" xfId="60" applyNumberFormat="1" applyFont="1" applyFill="1" applyBorder="1" applyAlignment="1">
      <alignment vertical="center" wrapText="1"/>
      <protection/>
    </xf>
    <xf numFmtId="3" fontId="112" fillId="35" borderId="17" xfId="60" applyNumberFormat="1" applyFont="1" applyFill="1" applyBorder="1" applyAlignment="1">
      <alignment horizontal="right" vertical="center" wrapText="1"/>
      <protection/>
    </xf>
    <xf numFmtId="3" fontId="112" fillId="0" borderId="17" xfId="60" applyNumberFormat="1" applyFont="1" applyFill="1" applyBorder="1" applyAlignment="1">
      <alignment vertical="center"/>
      <protection/>
    </xf>
    <xf numFmtId="3" fontId="61" fillId="0" borderId="103" xfId="60" applyNumberFormat="1" applyFont="1" applyFill="1" applyBorder="1" applyAlignment="1">
      <alignment vertical="center"/>
      <protection/>
    </xf>
    <xf numFmtId="3" fontId="61" fillId="0" borderId="102" xfId="60" applyNumberFormat="1" applyFont="1" applyFill="1" applyBorder="1" applyAlignment="1">
      <alignment vertical="center"/>
      <protection/>
    </xf>
    <xf numFmtId="3" fontId="61" fillId="0" borderId="104" xfId="60" applyNumberFormat="1" applyFont="1" applyFill="1" applyBorder="1" applyAlignment="1">
      <alignment vertical="center"/>
      <protection/>
    </xf>
    <xf numFmtId="3" fontId="112" fillId="0" borderId="43" xfId="60" applyNumberFormat="1" applyFont="1" applyFill="1" applyBorder="1" applyAlignment="1">
      <alignment vertical="center"/>
      <protection/>
    </xf>
    <xf numFmtId="3" fontId="112" fillId="0" borderId="42" xfId="60" applyNumberFormat="1" applyFont="1" applyFill="1" applyBorder="1" applyAlignment="1">
      <alignment vertical="center"/>
      <protection/>
    </xf>
    <xf numFmtId="3" fontId="44" fillId="0" borderId="25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21" fillId="0" borderId="105" xfId="60" applyNumberFormat="1" applyFont="1" applyFill="1" applyBorder="1" applyAlignment="1">
      <alignment vertical="center"/>
      <protection/>
    </xf>
    <xf numFmtId="3" fontId="23" fillId="0" borderId="46" xfId="59" applyNumberFormat="1" applyFont="1" applyBorder="1" applyAlignment="1">
      <alignment vertical="center"/>
      <protection/>
    </xf>
    <xf numFmtId="3" fontId="47" fillId="0" borderId="81" xfId="59" applyNumberFormat="1" applyFont="1" applyBorder="1">
      <alignment/>
      <protection/>
    </xf>
    <xf numFmtId="166" fontId="6" fillId="0" borderId="40" xfId="0" applyNumberFormat="1" applyFont="1" applyFill="1" applyBorder="1" applyAlignment="1">
      <alignment vertical="center"/>
    </xf>
    <xf numFmtId="166" fontId="6" fillId="0" borderId="23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10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58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12" xfId="0" applyBorder="1" applyAlignment="1">
      <alignment/>
    </xf>
    <xf numFmtId="3" fontId="22" fillId="4" borderId="112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7" borderId="36" xfId="0" applyNumberFormat="1" applyFill="1" applyBorder="1" applyAlignment="1">
      <alignment/>
    </xf>
    <xf numFmtId="3" fontId="0" fillId="4" borderId="113" xfId="0" applyNumberFormat="1" applyFill="1" applyBorder="1" applyAlignment="1">
      <alignment/>
    </xf>
    <xf numFmtId="0" fontId="0" fillId="0" borderId="114" xfId="0" applyBorder="1" applyAlignment="1">
      <alignment/>
    </xf>
    <xf numFmtId="3" fontId="22" fillId="4" borderId="115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2" fillId="0" borderId="44" xfId="0" applyFont="1" applyBorder="1" applyAlignment="1">
      <alignment/>
    </xf>
    <xf numFmtId="3" fontId="22" fillId="4" borderId="116" xfId="0" applyNumberFormat="1" applyFont="1" applyFill="1" applyBorder="1" applyAlignment="1">
      <alignment/>
    </xf>
    <xf numFmtId="3" fontId="22" fillId="38" borderId="91" xfId="0" applyNumberFormat="1" applyFont="1" applyFill="1" applyBorder="1" applyAlignment="1">
      <alignment/>
    </xf>
    <xf numFmtId="3" fontId="22" fillId="37" borderId="91" xfId="0" applyNumberFormat="1" applyFont="1" applyFill="1" applyBorder="1" applyAlignment="1">
      <alignment/>
    </xf>
    <xf numFmtId="3" fontId="22" fillId="37" borderId="117" xfId="0" applyNumberFormat="1" applyFont="1" applyFill="1" applyBorder="1" applyAlignment="1">
      <alignment/>
    </xf>
    <xf numFmtId="3" fontId="22" fillId="37" borderId="103" xfId="0" applyNumberFormat="1" applyFont="1" applyFill="1" applyBorder="1" applyAlignment="1">
      <alignment/>
    </xf>
    <xf numFmtId="3" fontId="22" fillId="4" borderId="99" xfId="0" applyNumberFormat="1" applyFont="1" applyFill="1" applyBorder="1" applyAlignment="1">
      <alignment/>
    </xf>
    <xf numFmtId="0" fontId="19" fillId="0" borderId="105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18" xfId="0" applyBorder="1" applyAlignment="1">
      <alignment horizontal="right"/>
    </xf>
    <xf numFmtId="0" fontId="0" fillId="0" borderId="43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9" fillId="0" borderId="110" xfId="0" applyFont="1" applyBorder="1" applyAlignment="1">
      <alignment horizontal="center" vertical="center"/>
    </xf>
    <xf numFmtId="0" fontId="22" fillId="0" borderId="93" xfId="0" applyFont="1" applyBorder="1" applyAlignment="1">
      <alignment/>
    </xf>
    <xf numFmtId="3" fontId="22" fillId="4" borderId="93" xfId="0" applyNumberFormat="1" applyFont="1" applyFill="1" applyBorder="1" applyAlignment="1">
      <alignment/>
    </xf>
    <xf numFmtId="3" fontId="22" fillId="38" borderId="119" xfId="0" applyNumberFormat="1" applyFont="1" applyFill="1" applyBorder="1" applyAlignment="1">
      <alignment horizontal="right"/>
    </xf>
    <xf numFmtId="3" fontId="22" fillId="4" borderId="94" xfId="0" applyNumberFormat="1" applyFont="1" applyFill="1" applyBorder="1" applyAlignment="1">
      <alignment/>
    </xf>
    <xf numFmtId="0" fontId="19" fillId="0" borderId="106" xfId="0" applyFont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3" fontId="14" fillId="4" borderId="43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9" fillId="0" borderId="110" xfId="0" applyFont="1" applyBorder="1" applyAlignment="1">
      <alignment horizontal="center"/>
    </xf>
    <xf numFmtId="0" fontId="22" fillId="0" borderId="94" xfId="0" applyFont="1" applyBorder="1" applyAlignment="1">
      <alignment/>
    </xf>
    <xf numFmtId="3" fontId="22" fillId="38" borderId="120" xfId="0" applyNumberFormat="1" applyFont="1" applyFill="1" applyBorder="1" applyAlignment="1">
      <alignment/>
    </xf>
    <xf numFmtId="0" fontId="19" fillId="0" borderId="106" xfId="0" applyFont="1" applyBorder="1" applyAlignment="1">
      <alignment horizontal="center"/>
    </xf>
    <xf numFmtId="3" fontId="0" fillId="0" borderId="118" xfId="0" applyNumberFormat="1" applyBorder="1" applyAlignment="1">
      <alignment/>
    </xf>
    <xf numFmtId="3" fontId="0" fillId="37" borderId="72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0" borderId="12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2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7" borderId="91" xfId="0" applyNumberFormat="1" applyFill="1" applyBorder="1" applyAlignment="1">
      <alignment/>
    </xf>
    <xf numFmtId="3" fontId="0" fillId="37" borderId="103" xfId="0" applyNumberFormat="1" applyFill="1" applyBorder="1" applyAlignment="1">
      <alignment/>
    </xf>
    <xf numFmtId="3" fontId="0" fillId="37" borderId="120" xfId="0" applyNumberFormat="1" applyFill="1" applyBorder="1" applyAlignment="1">
      <alignment/>
    </xf>
    <xf numFmtId="3" fontId="0" fillId="37" borderId="123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13" xfId="0" applyBorder="1" applyAlignment="1">
      <alignment/>
    </xf>
    <xf numFmtId="3" fontId="23" fillId="0" borderId="59" xfId="59" applyNumberFormat="1" applyFont="1" applyBorder="1" applyAlignment="1">
      <alignment vertical="center"/>
      <protection/>
    </xf>
    <xf numFmtId="3" fontId="23" fillId="0" borderId="98" xfId="59" applyNumberFormat="1" applyFont="1" applyBorder="1" applyAlignment="1">
      <alignment vertical="center"/>
      <protection/>
    </xf>
    <xf numFmtId="3" fontId="23" fillId="0" borderId="124" xfId="59" applyNumberFormat="1" applyFont="1" applyBorder="1" applyAlignment="1">
      <alignment vertical="center"/>
      <protection/>
    </xf>
    <xf numFmtId="3" fontId="23" fillId="0" borderId="0" xfId="59" applyNumberFormat="1" applyFont="1" applyFill="1" applyBorder="1" applyAlignment="1">
      <alignment vertical="center"/>
      <protection/>
    </xf>
    <xf numFmtId="0" fontId="23" fillId="36" borderId="93" xfId="59" applyFont="1" applyFill="1" applyBorder="1" applyAlignment="1">
      <alignment horizontal="left" vertical="center" wrapText="1"/>
      <protection/>
    </xf>
    <xf numFmtId="3" fontId="20" fillId="36" borderId="120" xfId="59" applyNumberFormat="1" applyFont="1" applyFill="1" applyBorder="1" applyAlignment="1">
      <alignment horizontal="right" vertical="center"/>
      <protection/>
    </xf>
    <xf numFmtId="3" fontId="20" fillId="36" borderId="95" xfId="59" applyNumberFormat="1" applyFont="1" applyFill="1" applyBorder="1" applyAlignment="1">
      <alignment vertical="center"/>
      <protection/>
    </xf>
    <xf numFmtId="3" fontId="20" fillId="36" borderId="92" xfId="59" applyNumberFormat="1" applyFont="1" applyFill="1" applyBorder="1" applyAlignment="1">
      <alignment vertical="center"/>
      <protection/>
    </xf>
    <xf numFmtId="0" fontId="23" fillId="36" borderId="125" xfId="59" applyFont="1" applyFill="1" applyBorder="1" applyAlignment="1">
      <alignment horizontal="left" vertical="center"/>
      <protection/>
    </xf>
    <xf numFmtId="3" fontId="16" fillId="36" borderId="94" xfId="59" applyNumberFormat="1" applyFont="1" applyFill="1" applyBorder="1" applyAlignment="1">
      <alignment horizontal="right" vertical="center"/>
      <protection/>
    </xf>
    <xf numFmtId="3" fontId="16" fillId="36" borderId="126" xfId="59" applyNumberFormat="1" applyFont="1" applyFill="1" applyBorder="1" applyAlignment="1">
      <alignment horizontal="right" vertical="center"/>
      <protection/>
    </xf>
    <xf numFmtId="3" fontId="61" fillId="36" borderId="95" xfId="59" applyNumberFormat="1" applyFont="1" applyFill="1" applyBorder="1" applyAlignment="1">
      <alignment horizontal="right" vertical="center"/>
      <protection/>
    </xf>
    <xf numFmtId="3" fontId="61" fillId="36" borderId="120" xfId="59" applyNumberFormat="1" applyFont="1" applyFill="1" applyBorder="1" applyAlignment="1">
      <alignment horizontal="right" vertical="center"/>
      <protection/>
    </xf>
    <xf numFmtId="3" fontId="61" fillId="36" borderId="127" xfId="59" applyNumberFormat="1" applyFont="1" applyFill="1" applyBorder="1" applyAlignment="1">
      <alignment vertical="center"/>
      <protection/>
    </xf>
    <xf numFmtId="3" fontId="61" fillId="36" borderId="125" xfId="59" applyNumberFormat="1" applyFont="1" applyFill="1" applyBorder="1" applyAlignment="1">
      <alignment vertical="center"/>
      <protection/>
    </xf>
    <xf numFmtId="3" fontId="61" fillId="36" borderId="120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0" fontId="20" fillId="0" borderId="128" xfId="59" applyFont="1" applyBorder="1" applyAlignment="1">
      <alignment horizontal="center" vertical="center"/>
      <protection/>
    </xf>
    <xf numFmtId="3" fontId="16" fillId="0" borderId="88" xfId="59" applyNumberFormat="1" applyFont="1" applyBorder="1">
      <alignment/>
      <protection/>
    </xf>
    <xf numFmtId="3" fontId="47" fillId="0" borderId="96" xfId="59" applyNumberFormat="1" applyFont="1" applyBorder="1">
      <alignment/>
      <protection/>
    </xf>
    <xf numFmtId="3" fontId="61" fillId="0" borderId="70" xfId="59" applyNumberFormat="1" applyFont="1" applyBorder="1" applyAlignment="1">
      <alignment horizontal="right" vertical="center"/>
      <protection/>
    </xf>
    <xf numFmtId="0" fontId="16" fillId="0" borderId="129" xfId="59" applyFont="1" applyBorder="1" applyAlignment="1">
      <alignment horizontal="right" vertical="center"/>
      <protection/>
    </xf>
    <xf numFmtId="3" fontId="61" fillId="0" borderId="130" xfId="59" applyNumberFormat="1" applyFont="1" applyBorder="1" applyAlignment="1">
      <alignment horizontal="right" vertical="center"/>
      <protection/>
    </xf>
    <xf numFmtId="0" fontId="20" fillId="0" borderId="48" xfId="59" applyFont="1" applyBorder="1" applyAlignment="1">
      <alignment horizontal="center" vertical="center"/>
      <protection/>
    </xf>
    <xf numFmtId="0" fontId="20" fillId="0" borderId="131" xfId="60" applyFont="1" applyFill="1" applyBorder="1" applyAlignment="1">
      <alignment horizontal="center" vertical="center" wrapText="1"/>
      <protection/>
    </xf>
    <xf numFmtId="0" fontId="20" fillId="0" borderId="116" xfId="59" applyFont="1" applyBorder="1" applyAlignment="1">
      <alignment horizontal="center" vertical="center"/>
      <protection/>
    </xf>
    <xf numFmtId="0" fontId="20" fillId="0" borderId="117" xfId="59" applyFont="1" applyBorder="1" applyAlignment="1">
      <alignment horizontal="center" vertical="center"/>
      <protection/>
    </xf>
    <xf numFmtId="0" fontId="24" fillId="0" borderId="74" xfId="59" applyFont="1" applyBorder="1" applyAlignment="1">
      <alignment horizontal="right" vertical="center"/>
      <protection/>
    </xf>
    <xf numFmtId="3" fontId="20" fillId="0" borderId="76" xfId="59" applyNumberFormat="1" applyFont="1" applyBorder="1" applyAlignment="1">
      <alignment horizontal="right" vertical="center"/>
      <protection/>
    </xf>
    <xf numFmtId="3" fontId="20" fillId="0" borderId="75" xfId="59" applyNumberFormat="1" applyFont="1" applyBorder="1" applyAlignment="1">
      <alignment vertical="center"/>
      <protection/>
    </xf>
    <xf numFmtId="3" fontId="20" fillId="0" borderId="66" xfId="59" applyNumberFormat="1" applyFont="1" applyBorder="1" applyAlignment="1">
      <alignment vertical="center"/>
      <protection/>
    </xf>
    <xf numFmtId="3" fontId="62" fillId="0" borderId="75" xfId="59" applyNumberFormat="1" applyFont="1" applyBorder="1" applyAlignment="1">
      <alignment vertical="center"/>
      <protection/>
    </xf>
    <xf numFmtId="3" fontId="24" fillId="0" borderId="75" xfId="59" applyNumberFormat="1" applyFont="1" applyFill="1" applyBorder="1" applyAlignment="1">
      <alignment vertical="center"/>
      <protection/>
    </xf>
    <xf numFmtId="3" fontId="16" fillId="0" borderId="78" xfId="59" applyNumberFormat="1" applyFont="1" applyBorder="1" applyAlignment="1">
      <alignment vertical="center"/>
      <protection/>
    </xf>
    <xf numFmtId="3" fontId="61" fillId="0" borderId="74" xfId="59" applyNumberFormat="1" applyFont="1" applyBorder="1" applyAlignment="1">
      <alignment vertical="center"/>
      <protection/>
    </xf>
    <xf numFmtId="3" fontId="61" fillId="0" borderId="76" xfId="59" applyNumberFormat="1" applyFont="1" applyBorder="1" applyAlignment="1">
      <alignment vertical="center"/>
      <protection/>
    </xf>
    <xf numFmtId="3" fontId="61" fillId="0" borderId="80" xfId="59" applyNumberFormat="1" applyFont="1" applyBorder="1" applyAlignment="1">
      <alignment vertical="center"/>
      <protection/>
    </xf>
    <xf numFmtId="0" fontId="20" fillId="0" borderId="132" xfId="59" applyFont="1" applyBorder="1" applyAlignment="1">
      <alignment horizontal="center"/>
      <protection/>
    </xf>
    <xf numFmtId="0" fontId="20" fillId="0" borderId="132" xfId="59" applyFont="1" applyBorder="1" applyAlignment="1">
      <alignment horizontal="center" vertical="center"/>
      <protection/>
    </xf>
    <xf numFmtId="3" fontId="14" fillId="0" borderId="21" xfId="61" applyNumberFormat="1" applyFont="1" applyFill="1" applyBorder="1" applyAlignment="1">
      <alignment vertical="center"/>
      <protection/>
    </xf>
    <xf numFmtId="3" fontId="14" fillId="0" borderId="22" xfId="61" applyNumberFormat="1" applyFont="1" applyFill="1" applyBorder="1" applyAlignment="1">
      <alignment vertical="center"/>
      <protection/>
    </xf>
    <xf numFmtId="3" fontId="14" fillId="0" borderId="23" xfId="61" applyNumberFormat="1" applyFont="1" applyBorder="1" applyAlignment="1">
      <alignment vertical="center"/>
      <protection/>
    </xf>
    <xf numFmtId="0" fontId="23" fillId="0" borderId="67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4" fillId="35" borderId="23" xfId="61" applyNumberFormat="1" applyFill="1" applyBorder="1" applyAlignment="1">
      <alignment vertical="center"/>
      <protection/>
    </xf>
    <xf numFmtId="3" fontId="18" fillId="0" borderId="104" xfId="0" applyNumberFormat="1" applyFont="1" applyFill="1" applyBorder="1" applyAlignment="1">
      <alignment vertical="center"/>
    </xf>
    <xf numFmtId="0" fontId="23" fillId="0" borderId="0" xfId="59" applyFont="1" applyBorder="1" applyAlignment="1">
      <alignment horizontal="left" vertical="center" wrapText="1"/>
      <protection/>
    </xf>
    <xf numFmtId="3" fontId="16" fillId="0" borderId="133" xfId="59" applyNumberFormat="1" applyFont="1" applyBorder="1" applyAlignment="1">
      <alignment horizontal="right" vertical="center"/>
      <protection/>
    </xf>
    <xf numFmtId="3" fontId="16" fillId="0" borderId="134" xfId="59" applyNumberFormat="1" applyFont="1" applyBorder="1" applyAlignment="1">
      <alignment horizontal="right" vertical="center"/>
      <protection/>
    </xf>
    <xf numFmtId="3" fontId="44" fillId="35" borderId="17" xfId="60" applyNumberFormat="1" applyFont="1" applyFill="1" applyBorder="1" applyAlignment="1">
      <alignment horizontal="right" vertical="center" wrapText="1"/>
      <protection/>
    </xf>
    <xf numFmtId="3" fontId="44" fillId="0" borderId="43" xfId="60" applyNumberFormat="1" applyFont="1" applyFill="1" applyBorder="1" applyAlignment="1">
      <alignment vertical="center"/>
      <protection/>
    </xf>
    <xf numFmtId="3" fontId="44" fillId="0" borderId="42" xfId="60" applyNumberFormat="1" applyFont="1" applyFill="1" applyBorder="1" applyAlignment="1">
      <alignment vertical="center"/>
      <protection/>
    </xf>
    <xf numFmtId="49" fontId="43" fillId="0" borderId="29" xfId="60" applyNumberFormat="1" applyFont="1" applyFill="1" applyBorder="1" applyAlignment="1">
      <alignment horizontal="center" vertical="center"/>
      <protection/>
    </xf>
    <xf numFmtId="3" fontId="19" fillId="0" borderId="28" xfId="59" applyNumberFormat="1" applyFont="1" applyBorder="1">
      <alignment/>
      <protection/>
    </xf>
    <xf numFmtId="0" fontId="23" fillId="0" borderId="28" xfId="59" applyFont="1" applyBorder="1" applyAlignment="1">
      <alignment horizontal="left"/>
      <protection/>
    </xf>
    <xf numFmtId="0" fontId="23" fillId="0" borderId="28" xfId="0" applyFont="1" applyFill="1" applyBorder="1" applyAlignment="1">
      <alignment/>
    </xf>
    <xf numFmtId="3" fontId="16" fillId="0" borderId="135" xfId="59" applyNumberFormat="1" applyFont="1" applyBorder="1" applyAlignment="1">
      <alignment horizontal="right" vertical="center"/>
      <protection/>
    </xf>
    <xf numFmtId="0" fontId="23" fillId="0" borderId="115" xfId="59" applyFont="1" applyBorder="1" applyAlignment="1">
      <alignment horizontal="left" vertical="center" wrapText="1"/>
      <protection/>
    </xf>
    <xf numFmtId="0" fontId="23" fillId="0" borderId="28" xfId="59" applyFont="1" applyBorder="1" applyAlignment="1">
      <alignment horizontal="left" vertical="center" wrapText="1"/>
      <protection/>
    </xf>
    <xf numFmtId="3" fontId="23" fillId="0" borderId="13" xfId="59" applyNumberFormat="1" applyFont="1" applyBorder="1" applyAlignment="1">
      <alignment vertical="center"/>
      <protection/>
    </xf>
    <xf numFmtId="3" fontId="23" fillId="0" borderId="28" xfId="59" applyNumberFormat="1" applyFont="1" applyBorder="1" applyAlignment="1">
      <alignment vertical="center"/>
      <protection/>
    </xf>
    <xf numFmtId="3" fontId="16" fillId="0" borderId="136" xfId="59" applyNumberFormat="1" applyFont="1" applyBorder="1" applyAlignment="1">
      <alignment horizontal="right" vertical="center"/>
      <protection/>
    </xf>
    <xf numFmtId="3" fontId="61" fillId="0" borderId="28" xfId="59" applyNumberFormat="1" applyFont="1" applyBorder="1" applyAlignment="1">
      <alignment horizontal="right" vertical="center"/>
      <protection/>
    </xf>
    <xf numFmtId="3" fontId="61" fillId="0" borderId="18" xfId="59" applyNumberFormat="1" applyFont="1" applyBorder="1" applyAlignment="1">
      <alignment horizontal="right" vertical="center"/>
      <protection/>
    </xf>
    <xf numFmtId="3" fontId="23" fillId="0" borderId="137" xfId="59" applyNumberFormat="1" applyFont="1" applyBorder="1">
      <alignment/>
      <protection/>
    </xf>
    <xf numFmtId="3" fontId="23" fillId="0" borderId="18" xfId="59" applyNumberFormat="1" applyFont="1" applyBorder="1">
      <alignment/>
      <protection/>
    </xf>
    <xf numFmtId="3" fontId="61" fillId="0" borderId="138" xfId="59" applyNumberFormat="1" applyFont="1" applyBorder="1" applyAlignment="1">
      <alignment horizontal="right" vertical="center"/>
      <protection/>
    </xf>
    <xf numFmtId="3" fontId="20" fillId="0" borderId="18" xfId="59" applyNumberFormat="1" applyFont="1" applyBorder="1" applyAlignment="1">
      <alignment horizontal="right"/>
      <protection/>
    </xf>
    <xf numFmtId="3" fontId="20" fillId="0" borderId="138" xfId="59" applyNumberFormat="1" applyFont="1" applyBorder="1">
      <alignment/>
      <protection/>
    </xf>
    <xf numFmtId="0" fontId="19" fillId="0" borderId="70" xfId="59" applyFont="1" applyBorder="1">
      <alignment/>
      <protection/>
    </xf>
    <xf numFmtId="0" fontId="19" fillId="39" borderId="89" xfId="0" applyFont="1" applyFill="1" applyBorder="1" applyAlignment="1">
      <alignment horizontal="center"/>
    </xf>
    <xf numFmtId="0" fontId="19" fillId="0" borderId="139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98" xfId="0" applyBorder="1" applyAlignment="1">
      <alignment vertical="center"/>
    </xf>
    <xf numFmtId="3" fontId="0" fillId="4" borderId="106" xfId="0" applyNumberFormat="1" applyFill="1" applyBorder="1" applyAlignment="1">
      <alignment/>
    </xf>
    <xf numFmtId="0" fontId="19" fillId="0" borderId="89" xfId="0" applyFont="1" applyBorder="1" applyAlignment="1">
      <alignment horizontal="center" vertical="center"/>
    </xf>
    <xf numFmtId="3" fontId="0" fillId="37" borderId="36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37" borderId="140" xfId="0" applyNumberFormat="1" applyFill="1" applyBorder="1" applyAlignment="1">
      <alignment horizontal="right" vertical="center"/>
    </xf>
    <xf numFmtId="3" fontId="0" fillId="4" borderId="114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3" fontId="0" fillId="4" borderId="122" xfId="0" applyNumberFormat="1" applyFill="1" applyBorder="1" applyAlignment="1">
      <alignment/>
    </xf>
    <xf numFmtId="3" fontId="22" fillId="37" borderId="14" xfId="0" applyNumberFormat="1" applyFont="1" applyFill="1" applyBorder="1" applyAlignment="1">
      <alignment/>
    </xf>
    <xf numFmtId="0" fontId="0" fillId="0" borderId="135" xfId="0" applyBorder="1" applyAlignment="1">
      <alignment horizontal="left"/>
    </xf>
    <xf numFmtId="3" fontId="0" fillId="37" borderId="141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5" xfId="0" applyNumberFormat="1" applyFill="1" applyBorder="1" applyAlignment="1">
      <alignment/>
    </xf>
    <xf numFmtId="3" fontId="0" fillId="4" borderId="142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0" fontId="22" fillId="0" borderId="67" xfId="0" applyFont="1" applyBorder="1" applyAlignment="1">
      <alignment/>
    </xf>
    <xf numFmtId="3" fontId="22" fillId="4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horizontal="center"/>
    </xf>
    <xf numFmtId="3" fontId="22" fillId="4" borderId="58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22" fillId="0" borderId="78" xfId="0" applyFont="1" applyBorder="1" applyAlignment="1">
      <alignment/>
    </xf>
    <xf numFmtId="3" fontId="22" fillId="35" borderId="75" xfId="0" applyNumberFormat="1" applyFont="1" applyFill="1" applyBorder="1" applyAlignment="1">
      <alignment/>
    </xf>
    <xf numFmtId="3" fontId="0" fillId="35" borderId="75" xfId="0" applyNumberFormat="1" applyFill="1" applyBorder="1" applyAlignment="1">
      <alignment/>
    </xf>
    <xf numFmtId="3" fontId="0" fillId="35" borderId="75" xfId="0" applyNumberFormat="1" applyFill="1" applyBorder="1" applyAlignment="1">
      <alignment horizontal="center"/>
    </xf>
    <xf numFmtId="3" fontId="22" fillId="35" borderId="124" xfId="0" applyNumberFormat="1" applyFont="1" applyFill="1" applyBorder="1" applyAlignment="1">
      <alignment/>
    </xf>
    <xf numFmtId="3" fontId="0" fillId="35" borderId="72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0" fontId="22" fillId="35" borderId="78" xfId="0" applyFont="1" applyFill="1" applyBorder="1" applyAlignment="1">
      <alignment/>
    </xf>
    <xf numFmtId="0" fontId="19" fillId="39" borderId="89" xfId="0" applyFont="1" applyFill="1" applyBorder="1" applyAlignment="1">
      <alignment horizontal="center" vertical="center"/>
    </xf>
    <xf numFmtId="0" fontId="0" fillId="0" borderId="143" xfId="0" applyBorder="1" applyAlignment="1">
      <alignment vertical="center"/>
    </xf>
    <xf numFmtId="3" fontId="14" fillId="4" borderId="37" xfId="0" applyNumberFormat="1" applyFont="1" applyFill="1" applyBorder="1" applyAlignment="1">
      <alignment horizontal="right"/>
    </xf>
    <xf numFmtId="3" fontId="0" fillId="37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0" fontId="19" fillId="0" borderId="144" xfId="0" applyFont="1" applyBorder="1" applyAlignment="1">
      <alignment horizontal="center"/>
    </xf>
    <xf numFmtId="3" fontId="0" fillId="37" borderId="101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47" xfId="0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52" xfId="0" applyNumberFormat="1" applyFill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0" xfId="0" applyFont="1" applyAlignment="1">
      <alignment/>
    </xf>
    <xf numFmtId="3" fontId="16" fillId="0" borderId="145" xfId="59" applyNumberFormat="1" applyFont="1" applyBorder="1" applyAlignment="1">
      <alignment horizontal="right" vertical="center"/>
      <protection/>
    </xf>
    <xf numFmtId="3" fontId="16" fillId="0" borderId="146" xfId="59" applyNumberFormat="1" applyFont="1" applyBorder="1" applyAlignment="1">
      <alignment horizontal="right" vertical="center"/>
      <protection/>
    </xf>
    <xf numFmtId="3" fontId="20" fillId="36" borderId="120" xfId="59" applyNumberFormat="1" applyFont="1" applyFill="1" applyBorder="1" applyAlignment="1">
      <alignment vertical="center"/>
      <protection/>
    </xf>
    <xf numFmtId="3" fontId="20" fillId="36" borderId="147" xfId="59" applyNumberFormat="1" applyFont="1" applyFill="1" applyBorder="1" applyAlignment="1">
      <alignment vertical="center"/>
      <protection/>
    </xf>
    <xf numFmtId="3" fontId="20" fillId="36" borderId="123" xfId="59" applyNumberFormat="1" applyFont="1" applyFill="1" applyBorder="1" applyAlignment="1">
      <alignment vertical="center"/>
      <protection/>
    </xf>
    <xf numFmtId="3" fontId="113" fillId="0" borderId="22" xfId="58" applyNumberFormat="1" applyFont="1" applyBorder="1">
      <alignment/>
      <protection/>
    </xf>
    <xf numFmtId="0" fontId="44" fillId="0" borderId="22" xfId="0" applyFont="1" applyBorder="1" applyAlignment="1">
      <alignment vertical="center"/>
    </xf>
    <xf numFmtId="3" fontId="114" fillId="0" borderId="22" xfId="0" applyNumberFormat="1" applyFont="1" applyBorder="1" applyAlignment="1">
      <alignment/>
    </xf>
    <xf numFmtId="49" fontId="27" fillId="35" borderId="21" xfId="0" applyNumberFormat="1" applyFont="1" applyFill="1" applyBorder="1" applyAlignment="1">
      <alignment/>
    </xf>
    <xf numFmtId="0" fontId="27" fillId="35" borderId="22" xfId="0" applyFont="1" applyFill="1" applyBorder="1" applyAlignment="1">
      <alignment/>
    </xf>
    <xf numFmtId="0" fontId="0" fillId="35" borderId="0" xfId="0" applyFill="1" applyAlignment="1">
      <alignment/>
    </xf>
    <xf numFmtId="49" fontId="22" fillId="33" borderId="21" xfId="61" applyNumberFormat="1" applyFont="1" applyFill="1" applyBorder="1" applyAlignment="1">
      <alignment horizontal="center" vertical="center"/>
      <protection/>
    </xf>
    <xf numFmtId="49" fontId="22" fillId="0" borderId="21" xfId="61" applyNumberFormat="1" applyFont="1" applyBorder="1" applyAlignment="1">
      <alignment vertical="center"/>
      <protection/>
    </xf>
    <xf numFmtId="49" fontId="14" fillId="0" borderId="21" xfId="61" applyNumberFormat="1" applyBorder="1" applyAlignment="1">
      <alignment vertical="center"/>
      <protection/>
    </xf>
    <xf numFmtId="49" fontId="22" fillId="0" borderId="21" xfId="61" applyNumberFormat="1" applyFont="1" applyBorder="1" applyAlignment="1">
      <alignment horizontal="center" vertical="center"/>
      <protection/>
    </xf>
    <xf numFmtId="49" fontId="14" fillId="0" borderId="67" xfId="61" applyNumberFormat="1" applyBorder="1">
      <alignment/>
      <protection/>
    </xf>
    <xf numFmtId="0" fontId="14" fillId="0" borderId="0" xfId="61" applyBorder="1">
      <alignment/>
      <protection/>
    </xf>
    <xf numFmtId="0" fontId="14" fillId="0" borderId="0" xfId="61" applyBorder="1" applyAlignment="1">
      <alignment vertical="center"/>
      <protection/>
    </xf>
    <xf numFmtId="0" fontId="14" fillId="0" borderId="58" xfId="61" applyBorder="1" applyAlignment="1">
      <alignment vertical="center"/>
      <protection/>
    </xf>
    <xf numFmtId="3" fontId="40" fillId="33" borderId="29" xfId="61" applyNumberFormat="1" applyFont="1" applyFill="1" applyBorder="1" applyAlignment="1">
      <alignment horizontal="center" vertical="center"/>
      <protection/>
    </xf>
    <xf numFmtId="3" fontId="40" fillId="33" borderId="18" xfId="61" applyNumberFormat="1" applyFont="1" applyFill="1" applyBorder="1" applyAlignment="1">
      <alignment horizontal="center" vertical="center"/>
      <protection/>
    </xf>
    <xf numFmtId="3" fontId="40" fillId="33" borderId="34" xfId="61" applyNumberFormat="1" applyFont="1" applyFill="1" applyBorder="1" applyAlignment="1">
      <alignment vertical="center"/>
      <protection/>
    </xf>
    <xf numFmtId="3" fontId="40" fillId="33" borderId="20" xfId="61" applyNumberFormat="1" applyFont="1" applyFill="1" applyBorder="1" applyAlignment="1">
      <alignment horizontal="center" vertical="center"/>
      <protection/>
    </xf>
    <xf numFmtId="3" fontId="41" fillId="33" borderId="135" xfId="61" applyNumberFormat="1" applyFont="1" applyFill="1" applyBorder="1" applyAlignment="1">
      <alignment vertical="center"/>
      <protection/>
    </xf>
    <xf numFmtId="0" fontId="19" fillId="0" borderId="47" xfId="0" applyFont="1" applyBorder="1" applyAlignment="1">
      <alignment horizontal="center"/>
    </xf>
    <xf numFmtId="166" fontId="6" fillId="35" borderId="4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3" fontId="23" fillId="35" borderId="58" xfId="59" applyNumberFormat="1" applyFont="1" applyFill="1" applyBorder="1" applyAlignment="1">
      <alignment vertical="center"/>
      <protection/>
    </xf>
    <xf numFmtId="3" fontId="23" fillId="35" borderId="58" xfId="59" applyNumberFormat="1" applyFont="1" applyFill="1" applyBorder="1" applyAlignment="1">
      <alignment horizontal="right" vertical="center"/>
      <protection/>
    </xf>
    <xf numFmtId="0" fontId="19" fillId="0" borderId="116" xfId="59" applyFont="1" applyBorder="1">
      <alignment/>
      <protection/>
    </xf>
    <xf numFmtId="0" fontId="19" fillId="0" borderId="132" xfId="59" applyFont="1" applyBorder="1">
      <alignment/>
      <protection/>
    </xf>
    <xf numFmtId="0" fontId="19" fillId="0" borderId="104" xfId="59" applyFont="1" applyBorder="1">
      <alignment/>
      <protection/>
    </xf>
    <xf numFmtId="3" fontId="23" fillId="35" borderId="59" xfId="59" applyNumberFormat="1" applyFont="1" applyFill="1" applyBorder="1" applyAlignment="1">
      <alignment/>
      <protection/>
    </xf>
    <xf numFmtId="3" fontId="23" fillId="35" borderId="58" xfId="59" applyNumberFormat="1" applyFont="1" applyFill="1" applyBorder="1" applyAlignment="1">
      <alignment/>
      <protection/>
    </xf>
    <xf numFmtId="3" fontId="23" fillId="35" borderId="0" xfId="59" applyNumberFormat="1" applyFont="1" applyFill="1" applyBorder="1" applyAlignment="1">
      <alignment vertical="center"/>
      <protection/>
    </xf>
    <xf numFmtId="3" fontId="22" fillId="4" borderId="75" xfId="0" applyNumberFormat="1" applyFont="1" applyFill="1" applyBorder="1" applyAlignment="1">
      <alignment/>
    </xf>
    <xf numFmtId="3" fontId="0" fillId="37" borderId="75" xfId="0" applyNumberFormat="1" applyFill="1" applyBorder="1" applyAlignment="1">
      <alignment/>
    </xf>
    <xf numFmtId="3" fontId="0" fillId="37" borderId="75" xfId="0" applyNumberFormat="1" applyFill="1" applyBorder="1" applyAlignment="1">
      <alignment horizontal="center"/>
    </xf>
    <xf numFmtId="3" fontId="22" fillId="4" borderId="124" xfId="0" applyNumberFormat="1" applyFont="1" applyFill="1" applyBorder="1" applyAlignment="1">
      <alignment/>
    </xf>
    <xf numFmtId="3" fontId="0" fillId="4" borderId="122" xfId="0" applyNumberFormat="1" applyFill="1" applyBorder="1" applyAlignment="1">
      <alignment horizontal="right" vertical="center"/>
    </xf>
    <xf numFmtId="3" fontId="0" fillId="37" borderId="10" xfId="0" applyNumberFormat="1" applyFill="1" applyBorder="1" applyAlignment="1">
      <alignment/>
    </xf>
    <xf numFmtId="3" fontId="22" fillId="37" borderId="22" xfId="0" applyNumberFormat="1" applyFon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22" fillId="37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7" borderId="42" xfId="0" applyNumberFormat="1" applyFill="1" applyBorder="1" applyAlignment="1">
      <alignment/>
    </xf>
    <xf numFmtId="3" fontId="0" fillId="37" borderId="41" xfId="0" applyNumberFormat="1" applyFill="1" applyBorder="1" applyAlignment="1">
      <alignment/>
    </xf>
    <xf numFmtId="3" fontId="49" fillId="0" borderId="22" xfId="58" applyNumberFormat="1" applyFont="1" applyBorder="1" applyAlignment="1">
      <alignment vertical="center"/>
      <protection/>
    </xf>
    <xf numFmtId="3" fontId="48" fillId="0" borderId="22" xfId="58" applyNumberFormat="1" applyFont="1" applyBorder="1" applyAlignment="1">
      <alignment vertical="center"/>
      <protection/>
    </xf>
    <xf numFmtId="3" fontId="19" fillId="0" borderId="22" xfId="58" applyNumberFormat="1" applyFont="1" applyBorder="1">
      <alignment/>
      <protection/>
    </xf>
    <xf numFmtId="3" fontId="44" fillId="0" borderId="22" xfId="0" applyNumberFormat="1" applyFont="1" applyBorder="1" applyAlignment="1">
      <alignment vertical="center"/>
    </xf>
    <xf numFmtId="3" fontId="48" fillId="0" borderId="22" xfId="0" applyNumberFormat="1" applyFont="1" applyBorder="1" applyAlignment="1">
      <alignment vertic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3" fontId="30" fillId="0" borderId="22" xfId="42" applyNumberFormat="1" applyFont="1" applyBorder="1" applyAlignment="1">
      <alignment horizontal="right" vertical="center"/>
    </xf>
    <xf numFmtId="0" fontId="30" fillId="0" borderId="22" xfId="57" applyFont="1" applyBorder="1" applyAlignment="1">
      <alignment vertical="center"/>
      <protection/>
    </xf>
    <xf numFmtId="3" fontId="54" fillId="0" borderId="23" xfId="60" applyNumberFormat="1" applyFont="1" applyFill="1" applyBorder="1" applyAlignment="1">
      <alignment horizontal="left" vertical="center" wrapText="1"/>
      <protection/>
    </xf>
    <xf numFmtId="0" fontId="21" fillId="0" borderId="18" xfId="60" applyFont="1" applyFill="1" applyBorder="1" applyAlignment="1">
      <alignment vertical="center" wrapText="1"/>
      <protection/>
    </xf>
    <xf numFmtId="3" fontId="115" fillId="0" borderId="99" xfId="60" applyNumberFormat="1" applyFont="1" applyFill="1" applyBorder="1" applyAlignment="1">
      <alignment vertical="center"/>
      <protection/>
    </xf>
    <xf numFmtId="3" fontId="115" fillId="0" borderId="102" xfId="60" applyNumberFormat="1" applyFont="1" applyFill="1" applyBorder="1" applyAlignment="1">
      <alignment vertical="center"/>
      <protection/>
    </xf>
    <xf numFmtId="3" fontId="115" fillId="0" borderId="103" xfId="60" applyNumberFormat="1" applyFont="1" applyFill="1" applyBorder="1" applyAlignment="1">
      <alignment vertical="center"/>
      <protection/>
    </xf>
    <xf numFmtId="0" fontId="116" fillId="0" borderId="0" xfId="0" applyFont="1" applyAlignment="1">
      <alignment/>
    </xf>
    <xf numFmtId="3" fontId="116" fillId="0" borderId="0" xfId="0" applyNumberFormat="1" applyFont="1" applyAlignment="1">
      <alignment/>
    </xf>
    <xf numFmtId="3" fontId="115" fillId="0" borderId="116" xfId="60" applyNumberFormat="1" applyFont="1" applyFill="1" applyBorder="1" applyAlignment="1">
      <alignment horizontal="right" vertical="center"/>
      <protection/>
    </xf>
    <xf numFmtId="3" fontId="115" fillId="0" borderId="91" xfId="60" applyNumberFormat="1" applyFont="1" applyFill="1" applyBorder="1" applyAlignment="1">
      <alignment horizontal="right" vertical="center"/>
      <protection/>
    </xf>
    <xf numFmtId="3" fontId="115" fillId="0" borderId="132" xfId="60" applyNumberFormat="1" applyFont="1" applyFill="1" applyBorder="1" applyAlignment="1">
      <alignment horizontal="right" vertical="center"/>
      <protection/>
    </xf>
    <xf numFmtId="3" fontId="115" fillId="0" borderId="44" xfId="60" applyNumberFormat="1" applyFont="1" applyFill="1" applyBorder="1" applyAlignment="1">
      <alignment vertical="center"/>
      <protection/>
    </xf>
    <xf numFmtId="0" fontId="117" fillId="0" borderId="0" xfId="0" applyFont="1" applyAlignment="1">
      <alignment/>
    </xf>
    <xf numFmtId="3" fontId="116" fillId="0" borderId="0" xfId="0" applyNumberFormat="1" applyFont="1" applyAlignment="1">
      <alignment vertical="center"/>
    </xf>
    <xf numFmtId="0" fontId="22" fillId="5" borderId="2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3" fontId="16" fillId="0" borderId="67" xfId="59" applyNumberFormat="1" applyFont="1" applyBorder="1" applyAlignment="1">
      <alignment horizontal="right" vertical="center"/>
      <protection/>
    </xf>
    <xf numFmtId="0" fontId="23" fillId="0" borderId="145" xfId="59" applyFont="1" applyBorder="1" applyAlignment="1">
      <alignment horizontal="left" wrapText="1"/>
      <protection/>
    </xf>
    <xf numFmtId="0" fontId="23" fillId="0" borderId="54" xfId="59" applyFont="1" applyBorder="1" applyAlignment="1">
      <alignment horizontal="left" wrapText="1"/>
      <protection/>
    </xf>
    <xf numFmtId="3" fontId="16" fillId="0" borderId="148" xfId="59" applyNumberFormat="1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left" vertical="center" wrapText="1"/>
      <protection/>
    </xf>
    <xf numFmtId="0" fontId="23" fillId="0" borderId="55" xfId="59" applyFont="1" applyBorder="1" applyAlignment="1">
      <alignment horizontal="left" vertical="center" wrapText="1"/>
      <protection/>
    </xf>
    <xf numFmtId="3" fontId="20" fillId="0" borderId="32" xfId="59" applyNumberFormat="1" applyFont="1" applyBorder="1" applyAlignment="1">
      <alignment horizontal="right" vertical="center"/>
      <protection/>
    </xf>
    <xf numFmtId="3" fontId="20" fillId="0" borderId="53" xfId="59" applyNumberFormat="1" applyFont="1" applyBorder="1" applyAlignment="1">
      <alignment horizontal="right" vertical="center"/>
      <protection/>
    </xf>
    <xf numFmtId="3" fontId="61" fillId="0" borderId="70" xfId="59" applyNumberFormat="1" applyFont="1" applyBorder="1" applyAlignment="1">
      <alignment horizontal="center" vertical="center"/>
      <protection/>
    </xf>
    <xf numFmtId="0" fontId="23" fillId="0" borderId="59" xfId="59" applyFont="1" applyBorder="1">
      <alignment/>
      <protection/>
    </xf>
    <xf numFmtId="3" fontId="61" fillId="0" borderId="54" xfId="59" applyNumberFormat="1" applyFont="1" applyBorder="1" applyAlignment="1">
      <alignment horizontal="right" vertical="center"/>
      <protection/>
    </xf>
    <xf numFmtId="0" fontId="43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43" fillId="0" borderId="22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4" fillId="0" borderId="14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7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/>
      <protection/>
    </xf>
    <xf numFmtId="0" fontId="43" fillId="0" borderId="17" xfId="58" applyFont="1" applyBorder="1" applyAlignment="1">
      <alignment horizontal="left"/>
      <protection/>
    </xf>
    <xf numFmtId="0" fontId="43" fillId="0" borderId="16" xfId="58" applyFont="1" applyBorder="1" applyAlignment="1">
      <alignment horizontal="left"/>
      <protection/>
    </xf>
    <xf numFmtId="0" fontId="43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44" fillId="0" borderId="14" xfId="58" applyFont="1" applyBorder="1" applyAlignment="1">
      <alignment horizontal="left" wrapText="1"/>
      <protection/>
    </xf>
    <xf numFmtId="0" fontId="44" fillId="0" borderId="17" xfId="58" applyFont="1" applyBorder="1" applyAlignment="1">
      <alignment horizontal="left" wrapText="1"/>
      <protection/>
    </xf>
    <xf numFmtId="0" fontId="19" fillId="0" borderId="0" xfId="58" applyFont="1" applyAlignment="1">
      <alignment horizontal="right" vertical="center"/>
      <protection/>
    </xf>
    <xf numFmtId="0" fontId="46" fillId="0" borderId="0" xfId="58" applyFont="1" applyFill="1" applyAlignment="1">
      <alignment horizontal="center" vertical="center"/>
      <protection/>
    </xf>
    <xf numFmtId="0" fontId="47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20" fillId="0" borderId="22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vertical="center" wrapText="1"/>
      <protection/>
    </xf>
    <xf numFmtId="0" fontId="43" fillId="0" borderId="17" xfId="58" applyFont="1" applyBorder="1" applyAlignment="1">
      <alignment horizontal="left" vertical="center" wrapText="1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2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4" fillId="0" borderId="21" xfId="0" applyNumberFormat="1" applyFont="1" applyFill="1" applyBorder="1" applyAlignment="1">
      <alignment horizontal="center" textRotation="90"/>
    </xf>
    <xf numFmtId="0" fontId="4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49" fontId="21" fillId="0" borderId="142" xfId="0" applyNumberFormat="1" applyFont="1" applyFill="1" applyBorder="1" applyAlignment="1">
      <alignment horizontal="center" vertical="center"/>
    </xf>
    <xf numFmtId="49" fontId="21" fillId="0" borderId="121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5" fillId="0" borderId="140" xfId="0" applyFont="1" applyFill="1" applyBorder="1" applyAlignment="1">
      <alignment horizontal="center" vertical="center" wrapText="1"/>
    </xf>
    <xf numFmtId="0" fontId="65" fillId="0" borderId="101" xfId="0" applyFont="1" applyFill="1" applyBorder="1" applyAlignment="1">
      <alignment horizontal="center" vertical="center" wrapText="1"/>
    </xf>
    <xf numFmtId="0" fontId="65" fillId="0" borderId="10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21" fillId="0" borderId="149" xfId="0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/>
    </xf>
    <xf numFmtId="0" fontId="21" fillId="0" borderId="118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 wrapText="1"/>
    </xf>
    <xf numFmtId="0" fontId="21" fillId="0" borderId="15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47" fillId="0" borderId="114" xfId="0" applyNumberFormat="1" applyFont="1" applyFill="1" applyBorder="1" applyAlignment="1">
      <alignment horizontal="left" vertical="center"/>
    </xf>
    <xf numFmtId="49" fontId="47" fillId="0" borderId="16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122" xfId="0" applyNumberFormat="1" applyFont="1" applyFill="1" applyBorder="1" applyAlignment="1">
      <alignment horizontal="left" vertical="center"/>
    </xf>
    <xf numFmtId="49" fontId="47" fillId="0" borderId="27" xfId="0" applyNumberFormat="1" applyFont="1" applyFill="1" applyBorder="1" applyAlignment="1">
      <alignment horizontal="left" vertical="center"/>
    </xf>
    <xf numFmtId="49" fontId="47" fillId="0" borderId="24" xfId="0" applyNumberFormat="1" applyFont="1" applyFill="1" applyBorder="1" applyAlignment="1">
      <alignment horizontal="left" vertical="center"/>
    </xf>
    <xf numFmtId="49" fontId="47" fillId="0" borderId="112" xfId="0" applyNumberFormat="1" applyFont="1" applyFill="1" applyBorder="1" applyAlignment="1">
      <alignment horizontal="left" vertical="center"/>
    </xf>
    <xf numFmtId="49" fontId="47" fillId="0" borderId="150" xfId="0" applyNumberFormat="1" applyFont="1" applyFill="1" applyBorder="1" applyAlignment="1">
      <alignment horizontal="left" vertical="center"/>
    </xf>
    <xf numFmtId="49" fontId="47" fillId="0" borderId="153" xfId="0" applyNumberFormat="1" applyFont="1" applyFill="1" applyBorder="1" applyAlignment="1">
      <alignment horizontal="left" vertical="center"/>
    </xf>
    <xf numFmtId="0" fontId="61" fillId="0" borderId="115" xfId="60" applyFont="1" applyFill="1" applyBorder="1" applyAlignment="1">
      <alignment horizontal="left" vertical="center"/>
      <protection/>
    </xf>
    <xf numFmtId="0" fontId="61" fillId="0" borderId="28" xfId="60" applyFont="1" applyFill="1" applyBorder="1" applyAlignment="1">
      <alignment horizontal="left" vertical="center"/>
      <protection/>
    </xf>
    <xf numFmtId="0" fontId="61" fillId="0" borderId="13" xfId="60" applyFont="1" applyFill="1" applyBorder="1" applyAlignment="1">
      <alignment horizontal="left" vertical="center"/>
      <protection/>
    </xf>
    <xf numFmtId="0" fontId="115" fillId="0" borderId="116" xfId="60" applyFont="1" applyFill="1" applyBorder="1" applyAlignment="1">
      <alignment horizontal="left" vertical="center"/>
      <protection/>
    </xf>
    <xf numFmtId="0" fontId="115" fillId="0" borderId="132" xfId="60" applyFont="1" applyFill="1" applyBorder="1" applyAlignment="1">
      <alignment horizontal="left" vertical="center"/>
      <protection/>
    </xf>
    <xf numFmtId="0" fontId="115" fillId="0" borderId="104" xfId="60" applyFont="1" applyFill="1" applyBorder="1" applyAlignment="1">
      <alignment horizontal="left" vertical="center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115" fillId="0" borderId="116" xfId="60" applyFont="1" applyFill="1" applyBorder="1" applyAlignment="1">
      <alignment horizontal="left" vertical="center" wrapText="1"/>
      <protection/>
    </xf>
    <xf numFmtId="0" fontId="115" fillId="0" borderId="132" xfId="60" applyFont="1" applyFill="1" applyBorder="1" applyAlignment="1">
      <alignment horizontal="left" vertical="center" wrapText="1"/>
      <protection/>
    </xf>
    <xf numFmtId="0" fontId="115" fillId="0" borderId="104" xfId="60" applyFont="1" applyFill="1" applyBorder="1" applyAlignment="1">
      <alignment horizontal="left" vertical="center" wrapText="1"/>
      <protection/>
    </xf>
    <xf numFmtId="0" fontId="21" fillId="0" borderId="72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85" xfId="60" applyFont="1" applyFill="1" applyBorder="1" applyAlignment="1">
      <alignment horizontal="center" vertical="center"/>
      <protection/>
    </xf>
    <xf numFmtId="49" fontId="21" fillId="0" borderId="142" xfId="60" applyNumberFormat="1" applyFont="1" applyFill="1" applyBorder="1" applyAlignment="1">
      <alignment horizontal="center" vertical="center"/>
      <protection/>
    </xf>
    <xf numFmtId="49" fontId="21" fillId="0" borderId="121" xfId="60" applyNumberFormat="1" applyFont="1" applyFill="1" applyBorder="1" applyAlignment="1">
      <alignment horizontal="center" vertical="center"/>
      <protection/>
    </xf>
    <xf numFmtId="49" fontId="21" fillId="0" borderId="154" xfId="60" applyNumberFormat="1" applyFont="1" applyFill="1" applyBorder="1" applyAlignment="1">
      <alignment horizontal="center" vertical="center"/>
      <protection/>
    </xf>
    <xf numFmtId="0" fontId="16" fillId="0" borderId="132" xfId="60" applyFont="1" applyFill="1" applyBorder="1" applyAlignment="1">
      <alignment horizontal="center" vertical="center"/>
      <protection/>
    </xf>
    <xf numFmtId="0" fontId="16" fillId="0" borderId="104" xfId="60" applyFont="1" applyFill="1" applyBorder="1" applyAlignment="1">
      <alignment horizontal="center" vertical="center"/>
      <protection/>
    </xf>
    <xf numFmtId="3" fontId="44" fillId="0" borderId="41" xfId="60" applyNumberFormat="1" applyFont="1" applyFill="1" applyBorder="1" applyAlignment="1">
      <alignment horizontal="center" vertical="center"/>
      <protection/>
    </xf>
    <xf numFmtId="3" fontId="44" fillId="0" borderId="40" xfId="60" applyNumberFormat="1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34" xfId="60" applyFont="1" applyFill="1" applyBorder="1" applyAlignment="1">
      <alignment horizontal="center" vertical="center" wrapText="1"/>
      <protection/>
    </xf>
    <xf numFmtId="0" fontId="18" fillId="0" borderId="106" xfId="60" applyFont="1" applyFill="1" applyBorder="1" applyAlignment="1">
      <alignment horizontal="center" vertical="center" wrapText="1"/>
      <protection/>
    </xf>
    <xf numFmtId="0" fontId="18" fillId="0" borderId="133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59" xfId="60" applyFont="1" applyFill="1" applyBorder="1" applyAlignment="1">
      <alignment horizontal="center" vertical="center" wrapText="1"/>
      <protection/>
    </xf>
    <xf numFmtId="0" fontId="21" fillId="0" borderId="58" xfId="60" applyFont="1" applyFill="1" applyBorder="1" applyAlignment="1">
      <alignment horizontal="center" vertical="center" wrapText="1"/>
      <protection/>
    </xf>
    <xf numFmtId="0" fontId="21" fillId="0" borderId="46" xfId="60" applyFont="1" applyFill="1" applyBorder="1" applyAlignment="1">
      <alignment horizontal="center" vertical="center" wrapText="1"/>
      <protection/>
    </xf>
    <xf numFmtId="3" fontId="16" fillId="0" borderId="155" xfId="59" applyNumberFormat="1" applyFont="1" applyBorder="1" applyAlignment="1">
      <alignment horizontal="right" vertical="center"/>
      <protection/>
    </xf>
    <xf numFmtId="3" fontId="16" fillId="0" borderId="106" xfId="59" applyNumberFormat="1" applyFont="1" applyBorder="1" applyAlignment="1">
      <alignment horizontal="right" vertical="center"/>
      <protection/>
    </xf>
    <xf numFmtId="3" fontId="16" fillId="0" borderId="133" xfId="59" applyNumberFormat="1" applyFont="1" applyBorder="1" applyAlignment="1">
      <alignment horizontal="right" vertical="center"/>
      <protection/>
    </xf>
    <xf numFmtId="0" fontId="23" fillId="0" borderId="67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6" fillId="0" borderId="134" xfId="59" applyNumberFormat="1" applyFont="1" applyBorder="1" applyAlignment="1">
      <alignment horizontal="right" vertical="center"/>
      <protection/>
    </xf>
    <xf numFmtId="0" fontId="23" fillId="0" borderId="67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23" fillId="0" borderId="156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23" fillId="0" borderId="145" xfId="59" applyFont="1" applyBorder="1" applyAlignment="1">
      <alignment horizontal="left" vertical="center" wrapText="1"/>
      <protection/>
    </xf>
    <xf numFmtId="0" fontId="23" fillId="0" borderId="54" xfId="59" applyFont="1" applyBorder="1" applyAlignment="1">
      <alignment horizontal="left" vertical="center" wrapText="1"/>
      <protection/>
    </xf>
    <xf numFmtId="0" fontId="23" fillId="0" borderId="145" xfId="59" applyFont="1" applyBorder="1" applyAlignment="1">
      <alignment horizontal="left" wrapText="1"/>
      <protection/>
    </xf>
    <xf numFmtId="0" fontId="23" fillId="0" borderId="54" xfId="59" applyFont="1" applyBorder="1" applyAlignment="1">
      <alignment horizontal="left" wrapText="1"/>
      <protection/>
    </xf>
    <xf numFmtId="0" fontId="23" fillId="0" borderId="67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61" fillId="36" borderId="95" xfId="59" applyFont="1" applyFill="1" applyBorder="1" applyAlignment="1">
      <alignment vertical="center"/>
      <protection/>
    </xf>
    <xf numFmtId="0" fontId="61" fillId="36" borderId="157" xfId="59" applyFont="1" applyFill="1" applyBorder="1" applyAlignment="1">
      <alignment vertical="center"/>
      <protection/>
    </xf>
    <xf numFmtId="0" fontId="23" fillId="0" borderId="67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3" fontId="23" fillId="0" borderId="59" xfId="59" applyNumberFormat="1" applyFont="1" applyBorder="1" applyAlignment="1">
      <alignment horizontal="right" vertical="center"/>
      <protection/>
    </xf>
    <xf numFmtId="3" fontId="23" fillId="0" borderId="58" xfId="59" applyNumberFormat="1" applyFont="1" applyBorder="1" applyAlignment="1">
      <alignment horizontal="right" vertical="center"/>
      <protection/>
    </xf>
    <xf numFmtId="3" fontId="16" fillId="0" borderId="146" xfId="59" applyNumberFormat="1" applyFont="1" applyBorder="1" applyAlignment="1">
      <alignment horizontal="right" vertical="center"/>
      <protection/>
    </xf>
    <xf numFmtId="3" fontId="16" fillId="0" borderId="148" xfId="59" applyNumberFormat="1" applyFont="1" applyBorder="1" applyAlignment="1">
      <alignment horizontal="right" vertical="center"/>
      <protection/>
    </xf>
    <xf numFmtId="0" fontId="23" fillId="0" borderId="115" xfId="59" applyFont="1" applyBorder="1" applyAlignment="1">
      <alignment horizontal="left" vertical="center"/>
      <protection/>
    </xf>
    <xf numFmtId="0" fontId="23" fillId="0" borderId="28" xfId="59" applyFont="1" applyBorder="1" applyAlignment="1">
      <alignment horizontal="left" vertical="center"/>
      <protection/>
    </xf>
    <xf numFmtId="0" fontId="23" fillId="0" borderId="145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78" xfId="59" applyFont="1" applyBorder="1" applyAlignment="1">
      <alignment horizontal="left" vertical="center"/>
      <protection/>
    </xf>
    <xf numFmtId="0" fontId="23" fillId="0" borderId="75" xfId="59" applyFont="1" applyBorder="1" applyAlignment="1">
      <alignment horizontal="left" vertical="center"/>
      <protection/>
    </xf>
    <xf numFmtId="0" fontId="62" fillId="0" borderId="74" xfId="59" applyFont="1" applyBorder="1" applyAlignment="1">
      <alignment horizontal="left" vertical="center"/>
      <protection/>
    </xf>
    <xf numFmtId="0" fontId="62" fillId="0" borderId="75" xfId="59" applyFont="1" applyBorder="1" applyAlignment="1">
      <alignment horizontal="left" vertical="center"/>
      <protection/>
    </xf>
    <xf numFmtId="3" fontId="16" fillId="0" borderId="77" xfId="59" applyNumberFormat="1" applyFont="1" applyBorder="1" applyAlignment="1">
      <alignment horizontal="right" vertical="center"/>
      <protection/>
    </xf>
    <xf numFmtId="3" fontId="16" fillId="0" borderId="145" xfId="59" applyNumberFormat="1" applyFont="1" applyBorder="1" applyAlignment="1">
      <alignment horizontal="right" vertical="center"/>
      <protection/>
    </xf>
    <xf numFmtId="3" fontId="16" fillId="0" borderId="67" xfId="59" applyNumberFormat="1" applyFont="1" applyBorder="1" applyAlignment="1">
      <alignment horizontal="right" vertical="center"/>
      <protection/>
    </xf>
    <xf numFmtId="0" fontId="46" fillId="0" borderId="0" xfId="60" applyFont="1" applyFill="1" applyAlignment="1">
      <alignment horizontal="center" vertical="center" wrapText="1"/>
      <protection/>
    </xf>
    <xf numFmtId="0" fontId="23" fillId="0" borderId="55" xfId="59" applyFont="1" applyBorder="1" applyAlignment="1">
      <alignment horizontal="left" wrapText="1"/>
      <protection/>
    </xf>
    <xf numFmtId="0" fontId="23" fillId="0" borderId="50" xfId="59" applyFont="1" applyBorder="1" applyAlignment="1">
      <alignment horizontal="left" wrapText="1"/>
      <protection/>
    </xf>
    <xf numFmtId="0" fontId="23" fillId="0" borderId="145" xfId="59" applyFont="1" applyBorder="1" applyAlignment="1">
      <alignment horizontal="left"/>
      <protection/>
    </xf>
    <xf numFmtId="0" fontId="23" fillId="0" borderId="54" xfId="59" applyFont="1" applyBorder="1" applyAlignment="1">
      <alignment horizontal="left"/>
      <protection/>
    </xf>
    <xf numFmtId="3" fontId="16" fillId="0" borderId="134" xfId="59" applyNumberFormat="1" applyFont="1" applyBorder="1" applyAlignment="1">
      <alignment horizontal="right" vertical="center" wrapText="1"/>
      <protection/>
    </xf>
    <xf numFmtId="3" fontId="16" fillId="0" borderId="106" xfId="59" applyNumberFormat="1" applyFont="1" applyBorder="1" applyAlignment="1">
      <alignment horizontal="right" vertical="center" wrapText="1"/>
      <protection/>
    </xf>
    <xf numFmtId="0" fontId="61" fillId="0" borderId="63" xfId="59" applyFont="1" applyBorder="1" applyAlignment="1">
      <alignment horizontal="center" wrapText="1"/>
      <protection/>
    </xf>
    <xf numFmtId="0" fontId="61" fillId="0" borderId="47" xfId="59" applyFont="1" applyBorder="1" applyAlignment="1">
      <alignment horizontal="center" wrapText="1"/>
      <protection/>
    </xf>
    <xf numFmtId="0" fontId="61" fillId="0" borderId="84" xfId="59" applyFont="1" applyBorder="1" applyAlignment="1">
      <alignment horizontal="center" wrapText="1"/>
      <protection/>
    </xf>
    <xf numFmtId="0" fontId="61" fillId="0" borderId="33" xfId="59" applyFont="1" applyBorder="1" applyAlignment="1">
      <alignment horizontal="center" wrapText="1"/>
      <protection/>
    </xf>
    <xf numFmtId="0" fontId="61" fillId="0" borderId="62" xfId="60" applyFont="1" applyFill="1" applyBorder="1" applyAlignment="1">
      <alignment horizontal="center" vertical="center" wrapText="1"/>
      <protection/>
    </xf>
    <xf numFmtId="0" fontId="61" fillId="0" borderId="47" xfId="60" applyFont="1" applyFill="1" applyBorder="1" applyAlignment="1">
      <alignment horizontal="center" vertical="center" wrapText="1"/>
      <protection/>
    </xf>
    <xf numFmtId="0" fontId="61" fillId="0" borderId="98" xfId="60" applyFont="1" applyFill="1" applyBorder="1" applyAlignment="1">
      <alignment horizontal="center" vertical="center" wrapText="1"/>
      <protection/>
    </xf>
    <xf numFmtId="0" fontId="61" fillId="0" borderId="156" xfId="60" applyFont="1" applyFill="1" applyBorder="1" applyAlignment="1">
      <alignment horizontal="center" vertical="center" wrapText="1"/>
      <protection/>
    </xf>
    <xf numFmtId="0" fontId="61" fillId="0" borderId="33" xfId="60" applyFont="1" applyFill="1" applyBorder="1" applyAlignment="1">
      <alignment horizontal="center" vertical="center" wrapText="1"/>
      <protection/>
    </xf>
    <xf numFmtId="0" fontId="61" fillId="0" borderId="46" xfId="60" applyFont="1" applyFill="1" applyBorder="1" applyAlignment="1">
      <alignment horizontal="center" vertical="center" wrapText="1"/>
      <protection/>
    </xf>
    <xf numFmtId="0" fontId="16" fillId="0" borderId="69" xfId="60" applyFont="1" applyFill="1" applyBorder="1" applyAlignment="1">
      <alignment horizontal="center" vertical="center" wrapText="1"/>
      <protection/>
    </xf>
    <xf numFmtId="0" fontId="19" fillId="0" borderId="47" xfId="0" applyFont="1" applyBorder="1" applyAlignment="1">
      <alignment/>
    </xf>
    <xf numFmtId="0" fontId="19" fillId="0" borderId="65" xfId="0" applyFont="1" applyBorder="1" applyAlignment="1">
      <alignment/>
    </xf>
    <xf numFmtId="0" fontId="61" fillId="0" borderId="63" xfId="59" applyFont="1" applyBorder="1" applyAlignment="1">
      <alignment horizontal="center" vertical="center"/>
      <protection/>
    </xf>
    <xf numFmtId="0" fontId="19" fillId="0" borderId="47" xfId="59" applyFont="1" applyBorder="1" applyAlignment="1">
      <alignment horizontal="center" vertical="center"/>
      <protection/>
    </xf>
    <xf numFmtId="0" fontId="19" fillId="0" borderId="98" xfId="59" applyFont="1" applyBorder="1" applyAlignment="1">
      <alignment horizontal="center" vertical="center"/>
      <protection/>
    </xf>
    <xf numFmtId="0" fontId="19" fillId="0" borderId="84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6" xfId="59" applyFont="1" applyBorder="1" applyAlignment="1">
      <alignment horizontal="center" vertical="center"/>
      <protection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63" xfId="60" applyFont="1" applyFill="1" applyBorder="1" applyAlignment="1">
      <alignment horizontal="center" vertical="center" wrapText="1"/>
      <protection/>
    </xf>
    <xf numFmtId="0" fontId="19" fillId="0" borderId="47" xfId="0" applyFont="1" applyBorder="1" applyAlignment="1">
      <alignment horizontal="center" vertical="center" wrapText="1"/>
    </xf>
    <xf numFmtId="0" fontId="16" fillId="0" borderId="158" xfId="60" applyFont="1" applyFill="1" applyBorder="1" applyAlignment="1">
      <alignment horizontal="center" vertical="center" wrapText="1"/>
      <protection/>
    </xf>
    <xf numFmtId="0" fontId="19" fillId="0" borderId="159" xfId="0" applyFont="1" applyBorder="1" applyAlignment="1">
      <alignment horizontal="center" vertical="center" wrapText="1"/>
    </xf>
    <xf numFmtId="0" fontId="19" fillId="0" borderId="160" xfId="0" applyFont="1" applyBorder="1" applyAlignment="1">
      <alignment horizontal="center" vertical="center" wrapText="1"/>
    </xf>
    <xf numFmtId="3" fontId="16" fillId="0" borderId="146" xfId="59" applyNumberFormat="1" applyFont="1" applyBorder="1" applyAlignment="1">
      <alignment horizontal="center" vertical="center"/>
      <protection/>
    </xf>
    <xf numFmtId="3" fontId="16" fillId="0" borderId="148" xfId="59" applyNumberFormat="1" applyFont="1" applyBorder="1" applyAlignment="1">
      <alignment horizontal="center" vertical="center"/>
      <protection/>
    </xf>
    <xf numFmtId="0" fontId="23" fillId="0" borderId="55" xfId="59" applyFont="1" applyBorder="1" applyAlignment="1">
      <alignment horizontal="center" vertical="center"/>
      <protection/>
    </xf>
    <xf numFmtId="0" fontId="23" fillId="0" borderId="54" xfId="59" applyFont="1" applyBorder="1" applyAlignment="1">
      <alignment horizontal="center" vertical="center"/>
      <protection/>
    </xf>
    <xf numFmtId="0" fontId="23" fillId="0" borderId="50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3" fontId="23" fillId="0" borderId="59" xfId="0" applyNumberFormat="1" applyFont="1" applyBorder="1" applyAlignment="1">
      <alignment horizontal="center" vertical="center"/>
    </xf>
    <xf numFmtId="3" fontId="23" fillId="0" borderId="58" xfId="0" applyNumberFormat="1" applyFont="1" applyBorder="1" applyAlignment="1">
      <alignment horizontal="center" vertical="center"/>
    </xf>
    <xf numFmtId="0" fontId="24" fillId="0" borderId="50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2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 vertical="center"/>
      <protection/>
    </xf>
    <xf numFmtId="0" fontId="23" fillId="0" borderId="47" xfId="59" applyFont="1" applyBorder="1" applyAlignment="1">
      <alignment horizontal="left" vertical="center"/>
      <protection/>
    </xf>
    <xf numFmtId="0" fontId="16" fillId="36" borderId="125" xfId="59" applyFont="1" applyFill="1" applyBorder="1" applyAlignment="1">
      <alignment horizontal="right" vertical="center" wrapText="1"/>
      <protection/>
    </xf>
    <xf numFmtId="0" fontId="19" fillId="36" borderId="95" xfId="0" applyFont="1" applyFill="1" applyBorder="1" applyAlignment="1">
      <alignment horizontal="right" vertical="center" wrapText="1"/>
    </xf>
    <xf numFmtId="0" fontId="19" fillId="36" borderId="147" xfId="0" applyFont="1" applyFill="1" applyBorder="1" applyAlignment="1">
      <alignment horizontal="right" vertical="center" wrapText="1"/>
    </xf>
    <xf numFmtId="0" fontId="16" fillId="36" borderId="95" xfId="59" applyFont="1" applyFill="1" applyBorder="1" applyAlignment="1">
      <alignment vertical="center"/>
      <protection/>
    </xf>
    <xf numFmtId="0" fontId="16" fillId="36" borderId="95" xfId="0" applyFont="1" applyFill="1" applyBorder="1" applyAlignment="1">
      <alignment vertical="center"/>
    </xf>
    <xf numFmtId="0" fontId="16" fillId="36" borderId="157" xfId="0" applyFont="1" applyFill="1" applyBorder="1" applyAlignment="1">
      <alignment vertical="center"/>
    </xf>
    <xf numFmtId="0" fontId="23" fillId="0" borderId="63" xfId="59" applyFont="1" applyBorder="1" applyAlignment="1">
      <alignment horizontal="left"/>
      <protection/>
    </xf>
    <xf numFmtId="0" fontId="23" fillId="0" borderId="47" xfId="59" applyFont="1" applyBorder="1" applyAlignment="1">
      <alignment horizontal="left"/>
      <protection/>
    </xf>
    <xf numFmtId="0" fontId="19" fillId="0" borderId="98" xfId="0" applyFont="1" applyBorder="1" applyAlignment="1">
      <alignment/>
    </xf>
    <xf numFmtId="0" fontId="19" fillId="0" borderId="156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73" xfId="0" applyFont="1" applyBorder="1" applyAlignment="1">
      <alignment/>
    </xf>
    <xf numFmtId="0" fontId="16" fillId="0" borderId="62" xfId="60" applyFont="1" applyFill="1" applyBorder="1" applyAlignment="1">
      <alignment horizontal="center" vertical="center" wrapText="1"/>
      <protection/>
    </xf>
    <xf numFmtId="0" fontId="24" fillId="0" borderId="75" xfId="59" applyFont="1" applyBorder="1" applyAlignment="1">
      <alignment horizontal="right" vertical="center"/>
      <protection/>
    </xf>
    <xf numFmtId="0" fontId="24" fillId="0" borderId="161" xfId="59" applyFont="1" applyBorder="1" applyAlignment="1">
      <alignment horizontal="right" vertical="center"/>
      <protection/>
    </xf>
    <xf numFmtId="3" fontId="16" fillId="0" borderId="62" xfId="59" applyNumberFormat="1" applyFont="1" applyBorder="1" applyAlignment="1">
      <alignment horizontal="right" vertical="center"/>
      <protection/>
    </xf>
    <xf numFmtId="3" fontId="16" fillId="0" borderId="156" xfId="59" applyNumberFormat="1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left" vertical="center" wrapText="1"/>
      <protection/>
    </xf>
    <xf numFmtId="0" fontId="61" fillId="0" borderId="63" xfId="59" applyFont="1" applyBorder="1" applyAlignment="1">
      <alignment horizontal="center" vertical="center" wrapText="1"/>
      <protection/>
    </xf>
    <xf numFmtId="0" fontId="19" fillId="0" borderId="47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84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84" xfId="0" applyFont="1" applyBorder="1" applyAlignment="1">
      <alignment/>
    </xf>
    <xf numFmtId="0" fontId="19" fillId="0" borderId="0" xfId="0" applyFont="1" applyBorder="1" applyAlignment="1">
      <alignment/>
    </xf>
    <xf numFmtId="3" fontId="16" fillId="0" borderId="59" xfId="59" applyNumberFormat="1" applyFont="1" applyBorder="1" applyAlignment="1">
      <alignment horizontal="right" vertical="center"/>
      <protection/>
    </xf>
    <xf numFmtId="0" fontId="24" fillId="0" borderId="50" xfId="59" applyFont="1" applyBorder="1" applyAlignment="1">
      <alignment horizontal="right" vertical="center"/>
      <protection/>
    </xf>
    <xf numFmtId="0" fontId="24" fillId="0" borderId="0" xfId="59" applyFont="1" applyBorder="1" applyAlignment="1">
      <alignment horizontal="right" vertical="center"/>
      <protection/>
    </xf>
    <xf numFmtId="0" fontId="24" fillId="0" borderId="52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61" fillId="0" borderId="47" xfId="59" applyFont="1" applyBorder="1" applyAlignment="1">
      <alignment horizontal="center" vertical="center"/>
      <protection/>
    </xf>
    <xf numFmtId="0" fontId="61" fillId="0" borderId="98" xfId="59" applyFont="1" applyBorder="1" applyAlignment="1">
      <alignment horizontal="center" vertical="center"/>
      <protection/>
    </xf>
    <xf numFmtId="0" fontId="61" fillId="0" borderId="84" xfId="59" applyFont="1" applyBorder="1" applyAlignment="1">
      <alignment horizontal="center" vertical="center"/>
      <protection/>
    </xf>
    <xf numFmtId="0" fontId="61" fillId="0" borderId="33" xfId="59" applyFont="1" applyBorder="1" applyAlignment="1">
      <alignment horizontal="center" vertical="center"/>
      <protection/>
    </xf>
    <xf numFmtId="0" fontId="61" fillId="0" borderId="46" xfId="59" applyFont="1" applyBorder="1" applyAlignment="1">
      <alignment horizontal="center" vertical="center"/>
      <protection/>
    </xf>
    <xf numFmtId="0" fontId="47" fillId="0" borderId="162" xfId="59" applyFont="1" applyBorder="1" applyAlignment="1">
      <alignment horizontal="center"/>
      <protection/>
    </xf>
    <xf numFmtId="0" fontId="19" fillId="0" borderId="71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47" fillId="0" borderId="47" xfId="59" applyFont="1" applyBorder="1" applyAlignment="1">
      <alignment horizontal="center"/>
      <protection/>
    </xf>
    <xf numFmtId="0" fontId="19" fillId="0" borderId="4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61" fillId="36" borderId="125" xfId="59" applyFont="1" applyFill="1" applyBorder="1" applyAlignment="1">
      <alignment vertical="center" wrapText="1"/>
      <protection/>
    </xf>
    <xf numFmtId="0" fontId="15" fillId="36" borderId="95" xfId="0" applyFont="1" applyFill="1" applyBorder="1" applyAlignment="1">
      <alignment vertical="center" wrapText="1"/>
    </xf>
    <xf numFmtId="0" fontId="15" fillId="36" borderId="147" xfId="0" applyFont="1" applyFill="1" applyBorder="1" applyAlignment="1">
      <alignment vertical="center" wrapText="1"/>
    </xf>
    <xf numFmtId="0" fontId="16" fillId="0" borderId="75" xfId="59" applyFont="1" applyBorder="1" applyAlignment="1">
      <alignment/>
      <protection/>
    </xf>
    <xf numFmtId="0" fontId="16" fillId="0" borderId="75" xfId="0" applyFont="1" applyBorder="1" applyAlignment="1">
      <alignment/>
    </xf>
    <xf numFmtId="0" fontId="16" fillId="0" borderId="124" xfId="0" applyFont="1" applyBorder="1" applyAlignment="1">
      <alignment/>
    </xf>
    <xf numFmtId="0" fontId="23" fillId="0" borderId="50" xfId="59" applyFont="1" applyBorder="1" applyAlignment="1">
      <alignment horizontal="left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61" fillId="0" borderId="75" xfId="59" applyFont="1" applyBorder="1" applyAlignment="1">
      <alignment/>
      <protection/>
    </xf>
    <xf numFmtId="0" fontId="61" fillId="0" borderId="124" xfId="59" applyFont="1" applyBorder="1" applyAlignment="1">
      <alignment/>
      <protection/>
    </xf>
    <xf numFmtId="0" fontId="19" fillId="0" borderId="0" xfId="59" applyFont="1" applyAlignment="1">
      <alignment horizontal="center"/>
      <protection/>
    </xf>
    <xf numFmtId="0" fontId="61" fillId="0" borderId="65" xfId="60" applyFont="1" applyFill="1" applyBorder="1" applyAlignment="1">
      <alignment horizontal="center" vertical="center" wrapText="1"/>
      <protection/>
    </xf>
    <xf numFmtId="0" fontId="61" fillId="0" borderId="73" xfId="60" applyFont="1" applyFill="1" applyBorder="1" applyAlignment="1">
      <alignment horizontal="center" vertical="center" wrapText="1"/>
      <protection/>
    </xf>
    <xf numFmtId="0" fontId="62" fillId="0" borderId="67" xfId="59" applyFont="1" applyBorder="1" applyAlignment="1">
      <alignment horizontal="left" wrapText="1"/>
      <protection/>
    </xf>
    <xf numFmtId="0" fontId="62" fillId="0" borderId="0" xfId="59" applyFont="1" applyBorder="1" applyAlignment="1">
      <alignment horizontal="left" wrapText="1"/>
      <protection/>
    </xf>
    <xf numFmtId="3" fontId="16" fillId="0" borderId="134" xfId="59" applyNumberFormat="1" applyFont="1" applyBorder="1" applyAlignment="1">
      <alignment horizontal="center" vertical="center"/>
      <protection/>
    </xf>
    <xf numFmtId="3" fontId="16" fillId="0" borderId="106" xfId="59" applyNumberFormat="1" applyFont="1" applyBorder="1" applyAlignment="1">
      <alignment horizontal="center" vertical="center"/>
      <protection/>
    </xf>
    <xf numFmtId="3" fontId="16" fillId="0" borderId="145" xfId="59" applyNumberFormat="1" applyFont="1" applyBorder="1" applyAlignment="1">
      <alignment horizontal="center" vertical="center"/>
      <protection/>
    </xf>
    <xf numFmtId="3" fontId="16" fillId="0" borderId="156" xfId="59" applyNumberFormat="1" applyFont="1" applyBorder="1" applyAlignment="1">
      <alignment horizontal="center" vertical="center"/>
      <protection/>
    </xf>
    <xf numFmtId="0" fontId="24" fillId="0" borderId="137" xfId="59" applyFont="1" applyBorder="1" applyAlignment="1">
      <alignment horizontal="right"/>
      <protection/>
    </xf>
    <xf numFmtId="0" fontId="24" fillId="0" borderId="28" xfId="59" applyFont="1" applyBorder="1" applyAlignment="1">
      <alignment horizontal="right"/>
      <protection/>
    </xf>
    <xf numFmtId="0" fontId="24" fillId="0" borderId="20" xfId="59" applyFont="1" applyBorder="1" applyAlignment="1">
      <alignment horizontal="right"/>
      <protection/>
    </xf>
    <xf numFmtId="0" fontId="23" fillId="0" borderId="55" xfId="59" applyFont="1" applyBorder="1" applyAlignment="1">
      <alignment horizontal="left"/>
      <protection/>
    </xf>
    <xf numFmtId="0" fontId="22" fillId="0" borderId="0" xfId="0" applyFont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33" borderId="21" xfId="61" applyFont="1" applyFill="1" applyBorder="1" applyAlignment="1">
      <alignment horizontal="right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9" xfId="61" applyFont="1" applyFill="1" applyBorder="1" applyAlignment="1">
      <alignment horizontal="left"/>
      <protection/>
    </xf>
    <xf numFmtId="0" fontId="40" fillId="33" borderId="18" xfId="61" applyFont="1" applyFill="1" applyBorder="1" applyAlignment="1">
      <alignment horizontal="left"/>
      <protection/>
    </xf>
    <xf numFmtId="0" fontId="40" fillId="33" borderId="141" xfId="61" applyFont="1" applyFill="1" applyBorder="1" applyAlignment="1">
      <alignment horizontal="left"/>
      <protection/>
    </xf>
    <xf numFmtId="0" fontId="1" fillId="0" borderId="134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44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49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18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22" fillId="35" borderId="162" xfId="0" applyNumberFormat="1" applyFont="1" applyFill="1" applyBorder="1" applyAlignment="1">
      <alignment horizontal="center"/>
    </xf>
    <xf numFmtId="3" fontId="22" fillId="35" borderId="71" xfId="0" applyNumberFormat="1" applyFont="1" applyFill="1" applyBorder="1" applyAlignment="1">
      <alignment horizontal="center"/>
    </xf>
    <xf numFmtId="3" fontId="22" fillId="35" borderId="90" xfId="0" applyNumberFormat="1" applyFont="1" applyFill="1" applyBorder="1" applyAlignment="1">
      <alignment horizontal="center"/>
    </xf>
    <xf numFmtId="0" fontId="70" fillId="0" borderId="62" xfId="0" applyFont="1" applyBorder="1" applyAlignment="1">
      <alignment horizontal="left" vertical="center" wrapText="1"/>
    </xf>
    <xf numFmtId="0" fontId="70" fillId="0" borderId="47" xfId="0" applyFont="1" applyBorder="1" applyAlignment="1">
      <alignment horizontal="left" vertical="center" wrapText="1"/>
    </xf>
    <xf numFmtId="0" fontId="70" fillId="0" borderId="98" xfId="0" applyFont="1" applyBorder="1" applyAlignment="1">
      <alignment horizontal="left" vertical="center" wrapText="1"/>
    </xf>
    <xf numFmtId="3" fontId="0" fillId="37" borderId="134" xfId="0" applyNumberFormat="1" applyFill="1" applyBorder="1" applyAlignment="1">
      <alignment horizontal="center"/>
    </xf>
    <xf numFmtId="3" fontId="0" fillId="37" borderId="106" xfId="0" applyNumberFormat="1" applyFill="1" applyBorder="1" applyAlignment="1">
      <alignment horizontal="center"/>
    </xf>
    <xf numFmtId="3" fontId="0" fillId="37" borderId="133" xfId="0" applyNumberForma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3" fontId="0" fillId="37" borderId="77" xfId="0" applyNumberFormat="1" applyFill="1" applyBorder="1" applyAlignment="1">
      <alignment horizontal="center"/>
    </xf>
    <xf numFmtId="0" fontId="69" fillId="40" borderId="88" xfId="0" applyFont="1" applyFill="1" applyBorder="1" applyAlignment="1">
      <alignment horizontal="center" vertical="center"/>
    </xf>
    <xf numFmtId="0" fontId="69" fillId="40" borderId="71" xfId="0" applyFont="1" applyFill="1" applyBorder="1" applyAlignment="1">
      <alignment horizontal="center" vertical="center"/>
    </xf>
    <xf numFmtId="0" fontId="69" fillId="40" borderId="163" xfId="0" applyFont="1" applyFill="1" applyBorder="1" applyAlignment="1">
      <alignment horizontal="center" vertical="center"/>
    </xf>
    <xf numFmtId="0" fontId="0" fillId="35" borderId="88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163" xfId="0" applyFill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8" xfId="0" applyFont="1" applyBorder="1" applyAlignment="1">
      <alignment horizontal="center"/>
    </xf>
    <xf numFmtId="0" fontId="70" fillId="0" borderId="164" xfId="0" applyFont="1" applyBorder="1" applyAlignment="1">
      <alignment horizontal="left" vertical="center" wrapText="1"/>
    </xf>
    <xf numFmtId="0" fontId="70" fillId="0" borderId="159" xfId="0" applyFont="1" applyBorder="1" applyAlignment="1">
      <alignment horizontal="left" vertical="center" wrapText="1"/>
    </xf>
    <xf numFmtId="0" fontId="70" fillId="0" borderId="165" xfId="0" applyFont="1" applyBorder="1" applyAlignment="1">
      <alignment horizontal="left" vertical="center"/>
    </xf>
    <xf numFmtId="0" fontId="70" fillId="0" borderId="166" xfId="0" applyFont="1" applyBorder="1" applyAlignment="1">
      <alignment horizontal="left" vertical="center"/>
    </xf>
    <xf numFmtId="0" fontId="70" fillId="0" borderId="167" xfId="0" applyFont="1" applyBorder="1" applyAlignment="1">
      <alignment horizontal="left" vertical="center"/>
    </xf>
    <xf numFmtId="3" fontId="0" fillId="37" borderId="59" xfId="0" applyNumberFormat="1" applyFill="1" applyBorder="1" applyAlignment="1">
      <alignment horizontal="center"/>
    </xf>
    <xf numFmtId="3" fontId="0" fillId="37" borderId="58" xfId="0" applyNumberFormat="1" applyFill="1" applyBorder="1" applyAlignment="1">
      <alignment horizontal="center"/>
    </xf>
    <xf numFmtId="0" fontId="70" fillId="0" borderId="165" xfId="0" applyFont="1" applyBorder="1" applyAlignment="1">
      <alignment horizontal="left" vertical="center" wrapText="1"/>
    </xf>
    <xf numFmtId="0" fontId="70" fillId="0" borderId="166" xfId="0" applyFont="1" applyBorder="1" applyAlignment="1">
      <alignment horizontal="left" vertical="center" wrapText="1"/>
    </xf>
    <xf numFmtId="0" fontId="70" fillId="0" borderId="167" xfId="0" applyFont="1" applyBorder="1" applyAlignment="1">
      <alignment horizontal="left" vertical="center" wrapText="1"/>
    </xf>
    <xf numFmtId="3" fontId="0" fillId="4" borderId="142" xfId="0" applyNumberFormat="1" applyFill="1" applyBorder="1" applyAlignment="1">
      <alignment horizontal="right" vertical="center"/>
    </xf>
    <xf numFmtId="3" fontId="0" fillId="4" borderId="37" xfId="0" applyNumberFormat="1" applyFill="1" applyBorder="1" applyAlignment="1">
      <alignment horizontal="right" vertical="center"/>
    </xf>
    <xf numFmtId="0" fontId="0" fillId="0" borderId="1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20" fillId="0" borderId="134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7" fillId="0" borderId="145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67" fillId="0" borderId="122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49" xfId="0" applyFont="1" applyBorder="1" applyAlignment="1">
      <alignment horizontal="center" vertical="center" wrapText="1"/>
    </xf>
    <xf numFmtId="0" fontId="68" fillId="0" borderId="134" xfId="0" applyFont="1" applyBorder="1" applyAlignment="1">
      <alignment horizontal="center" vertical="center" wrapText="1"/>
    </xf>
    <xf numFmtId="0" fontId="68" fillId="0" borderId="106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4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0"/>
  <sheetViews>
    <sheetView zoomScale="120" zoomScaleNormal="120" zoomScalePageLayoutView="0" workbookViewId="0" topLeftCell="A1">
      <selection activeCell="A2" sqref="A2:J2"/>
    </sheetView>
  </sheetViews>
  <sheetFormatPr defaultColWidth="9.00390625" defaultRowHeight="12.75"/>
  <cols>
    <col min="1" max="1" width="5.125" style="185" customWidth="1"/>
    <col min="2" max="3" width="9.125" style="185" customWidth="1"/>
    <col min="4" max="4" width="5.875" style="185" customWidth="1"/>
    <col min="5" max="5" width="49.875" style="185" customWidth="1"/>
    <col min="6" max="6" width="16.125" style="185" bestFit="1" customWidth="1"/>
    <col min="7" max="7" width="13.625" style="185" customWidth="1"/>
    <col min="8" max="9" width="15.125" style="185" customWidth="1"/>
    <col min="10" max="10" width="15.875" style="185" bestFit="1" customWidth="1"/>
    <col min="11" max="11" width="9.125" style="315" customWidth="1"/>
    <col min="12" max="16384" width="9.125" style="185" customWidth="1"/>
  </cols>
  <sheetData>
    <row r="1" spans="1:10" ht="12.75">
      <c r="A1" s="93"/>
      <c r="B1" s="211"/>
      <c r="C1" s="211"/>
      <c r="D1" s="211"/>
      <c r="E1" s="212"/>
      <c r="F1" s="962" t="s">
        <v>1047</v>
      </c>
      <c r="G1" s="963"/>
      <c r="H1" s="963"/>
      <c r="I1" s="963"/>
      <c r="J1" s="963"/>
    </row>
    <row r="2" spans="1:10" ht="15.75">
      <c r="A2" s="967" t="s">
        <v>908</v>
      </c>
      <c r="B2" s="967"/>
      <c r="C2" s="967"/>
      <c r="D2" s="967"/>
      <c r="E2" s="967"/>
      <c r="F2" s="967"/>
      <c r="G2" s="967"/>
      <c r="H2" s="967"/>
      <c r="I2" s="967"/>
      <c r="J2" s="967"/>
    </row>
    <row r="3" spans="1:10" ht="12.75">
      <c r="A3" s="93"/>
      <c r="B3" s="93"/>
      <c r="C3" s="93"/>
      <c r="D3" s="93"/>
      <c r="E3" s="93"/>
      <c r="F3" s="211"/>
      <c r="G3" s="211"/>
      <c r="H3" s="211"/>
      <c r="I3" s="211"/>
      <c r="J3" s="211"/>
    </row>
    <row r="4" spans="1:10" ht="12.75">
      <c r="A4" s="93"/>
      <c r="B4" s="211"/>
      <c r="C4" s="211"/>
      <c r="D4" s="211"/>
      <c r="E4" s="211"/>
      <c r="F4" s="211"/>
      <c r="G4" s="211"/>
      <c r="H4" s="211"/>
      <c r="I4" s="211"/>
      <c r="J4" s="212" t="s">
        <v>636</v>
      </c>
    </row>
    <row r="5" spans="1:10" ht="60">
      <c r="A5" s="974" t="s">
        <v>0</v>
      </c>
      <c r="B5" s="975"/>
      <c r="C5" s="975"/>
      <c r="D5" s="975"/>
      <c r="E5" s="976"/>
      <c r="F5" s="192" t="s">
        <v>86</v>
      </c>
      <c r="G5" s="192" t="s">
        <v>374</v>
      </c>
      <c r="H5" s="192" t="s">
        <v>758</v>
      </c>
      <c r="I5" s="192" t="s">
        <v>815</v>
      </c>
      <c r="J5" s="192" t="s">
        <v>367</v>
      </c>
    </row>
    <row r="6" spans="1:11" s="196" customFormat="1" ht="15">
      <c r="A6" s="213" t="s">
        <v>435</v>
      </c>
      <c r="B6" s="964" t="s">
        <v>436</v>
      </c>
      <c r="C6" s="965"/>
      <c r="D6" s="965"/>
      <c r="E6" s="966"/>
      <c r="F6" s="214" t="s">
        <v>437</v>
      </c>
      <c r="G6" s="214" t="s">
        <v>438</v>
      </c>
      <c r="H6" s="214" t="s">
        <v>439</v>
      </c>
      <c r="I6" s="214" t="s">
        <v>440</v>
      </c>
      <c r="J6" s="214" t="s">
        <v>442</v>
      </c>
      <c r="K6" s="616"/>
    </row>
    <row r="7" spans="1:11" s="217" customFormat="1" ht="12.75">
      <c r="A7" s="215" t="s">
        <v>210</v>
      </c>
      <c r="B7" s="969" t="s">
        <v>211</v>
      </c>
      <c r="C7" s="969"/>
      <c r="D7" s="969"/>
      <c r="E7" s="969"/>
      <c r="F7" s="216">
        <f>SUM(F8+F15+F16+F17+F28+F29)</f>
        <v>613280423</v>
      </c>
      <c r="G7" s="216">
        <f>SUM(G8+G15+G16+G17+G28+G29)</f>
        <v>0</v>
      </c>
      <c r="H7" s="216">
        <f>SUM(H8+H15+H16+H17+H28+H29)</f>
        <v>5354163</v>
      </c>
      <c r="I7" s="216">
        <f>SUM(I8+I15+I16+I17+I28+I29)</f>
        <v>2576000</v>
      </c>
      <c r="J7" s="216">
        <f>SUM(F7:I7)</f>
        <v>621210586</v>
      </c>
      <c r="K7" s="617"/>
    </row>
    <row r="8" spans="1:11" ht="12.75">
      <c r="A8" s="218"/>
      <c r="B8" s="218" t="s">
        <v>212</v>
      </c>
      <c r="C8" s="961" t="s">
        <v>213</v>
      </c>
      <c r="D8" s="961"/>
      <c r="E8" s="961"/>
      <c r="F8" s="219">
        <f>SUM(F9:F14)</f>
        <v>505393134</v>
      </c>
      <c r="G8" s="219">
        <f>SUM(G9:G14)</f>
        <v>0</v>
      </c>
      <c r="H8" s="219">
        <f>SUM(H9:H14)</f>
        <v>0</v>
      </c>
      <c r="I8" s="219">
        <f>SUM(I9:I14)</f>
        <v>0</v>
      </c>
      <c r="J8" s="220">
        <f aca="true" t="shared" si="0" ref="J8:J72">SUM(F8:I8)</f>
        <v>505393134</v>
      </c>
      <c r="K8" s="618"/>
    </row>
    <row r="9" spans="1:11" ht="12.75">
      <c r="A9" s="221"/>
      <c r="B9" s="221"/>
      <c r="C9" s="221" t="s">
        <v>214</v>
      </c>
      <c r="D9" s="221"/>
      <c r="E9" s="221" t="s">
        <v>657</v>
      </c>
      <c r="F9" s="222">
        <f>186857281+22486700</f>
        <v>209343981</v>
      </c>
      <c r="G9" s="222">
        <v>0</v>
      </c>
      <c r="H9" s="222">
        <v>0</v>
      </c>
      <c r="I9" s="222">
        <v>0</v>
      </c>
      <c r="J9" s="223">
        <f t="shared" si="0"/>
        <v>209343981</v>
      </c>
      <c r="K9" s="619"/>
    </row>
    <row r="10" spans="1:11" ht="12.75">
      <c r="A10" s="221"/>
      <c r="B10" s="224"/>
      <c r="C10" s="221" t="s">
        <v>215</v>
      </c>
      <c r="D10" s="221"/>
      <c r="E10" s="221" t="s">
        <v>663</v>
      </c>
      <c r="F10" s="222">
        <v>118098200</v>
      </c>
      <c r="G10" s="222">
        <v>0</v>
      </c>
      <c r="H10" s="222">
        <v>0</v>
      </c>
      <c r="I10" s="222">
        <v>0</v>
      </c>
      <c r="J10" s="223">
        <f t="shared" si="0"/>
        <v>118098200</v>
      </c>
      <c r="K10" s="619"/>
    </row>
    <row r="11" spans="1:11" ht="12.75">
      <c r="A11" s="221"/>
      <c r="B11" s="221"/>
      <c r="C11" s="221" t="s">
        <v>216</v>
      </c>
      <c r="D11" s="221"/>
      <c r="E11" s="221" t="s">
        <v>637</v>
      </c>
      <c r="F11" s="222">
        <f>166711803+418000</f>
        <v>167129803</v>
      </c>
      <c r="G11" s="222">
        <v>0</v>
      </c>
      <c r="H11" s="222">
        <v>0</v>
      </c>
      <c r="I11" s="222">
        <v>0</v>
      </c>
      <c r="J11" s="223">
        <f t="shared" si="0"/>
        <v>167129803</v>
      </c>
      <c r="K11" s="619"/>
    </row>
    <row r="12" spans="1:11" ht="12.75">
      <c r="A12" s="221"/>
      <c r="B12" s="221"/>
      <c r="C12" s="221" t="s">
        <v>217</v>
      </c>
      <c r="D12" s="221"/>
      <c r="E12" s="221" t="s">
        <v>664</v>
      </c>
      <c r="F12" s="222">
        <v>10821150</v>
      </c>
      <c r="G12" s="222">
        <v>0</v>
      </c>
      <c r="H12" s="222">
        <v>0</v>
      </c>
      <c r="I12" s="222">
        <v>0</v>
      </c>
      <c r="J12" s="223">
        <f t="shared" si="0"/>
        <v>10821150</v>
      </c>
      <c r="K12" s="619"/>
    </row>
    <row r="13" spans="1:11" ht="12.75" hidden="1">
      <c r="A13" s="221"/>
      <c r="B13" s="221"/>
      <c r="C13" s="221" t="s">
        <v>218</v>
      </c>
      <c r="D13" s="221"/>
      <c r="E13" s="221" t="s">
        <v>658</v>
      </c>
      <c r="F13" s="222">
        <v>0</v>
      </c>
      <c r="G13" s="222">
        <v>0</v>
      </c>
      <c r="H13" s="222">
        <v>0</v>
      </c>
      <c r="I13" s="222">
        <v>0</v>
      </c>
      <c r="J13" s="223">
        <f t="shared" si="0"/>
        <v>0</v>
      </c>
      <c r="K13" s="619"/>
    </row>
    <row r="14" spans="1:11" ht="12.75" hidden="1">
      <c r="A14" s="225"/>
      <c r="B14" s="225"/>
      <c r="C14" s="221" t="s">
        <v>219</v>
      </c>
      <c r="D14" s="225"/>
      <c r="E14" s="221" t="s">
        <v>549</v>
      </c>
      <c r="F14" s="222">
        <v>0</v>
      </c>
      <c r="G14" s="222">
        <v>0</v>
      </c>
      <c r="H14" s="222">
        <v>0</v>
      </c>
      <c r="I14" s="222">
        <v>0</v>
      </c>
      <c r="J14" s="223">
        <f t="shared" si="0"/>
        <v>0</v>
      </c>
      <c r="K14" s="619"/>
    </row>
    <row r="15" spans="1:11" ht="12.75">
      <c r="A15" s="218"/>
      <c r="B15" s="218" t="s">
        <v>220</v>
      </c>
      <c r="C15" s="961" t="s">
        <v>221</v>
      </c>
      <c r="D15" s="961"/>
      <c r="E15" s="961"/>
      <c r="F15" s="219">
        <v>0</v>
      </c>
      <c r="G15" s="219">
        <v>0</v>
      </c>
      <c r="H15" s="219">
        <v>0</v>
      </c>
      <c r="I15" s="219">
        <v>0</v>
      </c>
      <c r="J15" s="220">
        <f t="shared" si="0"/>
        <v>0</v>
      </c>
      <c r="K15" s="618"/>
    </row>
    <row r="16" spans="1:11" ht="12.75">
      <c r="A16" s="218"/>
      <c r="B16" s="218" t="s">
        <v>222</v>
      </c>
      <c r="C16" s="961" t="s">
        <v>659</v>
      </c>
      <c r="D16" s="961"/>
      <c r="E16" s="961"/>
      <c r="F16" s="219">
        <v>0</v>
      </c>
      <c r="G16" s="219">
        <v>0</v>
      </c>
      <c r="H16" s="219">
        <v>0</v>
      </c>
      <c r="I16" s="219">
        <v>0</v>
      </c>
      <c r="J16" s="220">
        <f t="shared" si="0"/>
        <v>0</v>
      </c>
      <c r="K16" s="618"/>
    </row>
    <row r="17" spans="1:11" ht="12.75">
      <c r="A17" s="218"/>
      <c r="B17" s="218" t="s">
        <v>223</v>
      </c>
      <c r="C17" s="961" t="s">
        <v>660</v>
      </c>
      <c r="D17" s="961"/>
      <c r="E17" s="961"/>
      <c r="F17" s="219">
        <f>SUM(F18:F27)</f>
        <v>0</v>
      </c>
      <c r="G17" s="219">
        <f>SUM(G18:G27)</f>
        <v>0</v>
      </c>
      <c r="H17" s="219">
        <f>SUM(H18:H27)</f>
        <v>0</v>
      </c>
      <c r="I17" s="219">
        <f>SUM(I18:I27)</f>
        <v>0</v>
      </c>
      <c r="J17" s="220">
        <f t="shared" si="0"/>
        <v>0</v>
      </c>
      <c r="K17" s="618"/>
    </row>
    <row r="18" spans="1:11" ht="12.75" hidden="1">
      <c r="A18" s="226"/>
      <c r="B18" s="226"/>
      <c r="C18" s="227" t="s">
        <v>2</v>
      </c>
      <c r="D18" s="227" t="s">
        <v>148</v>
      </c>
      <c r="E18" s="227" t="s">
        <v>149</v>
      </c>
      <c r="F18" s="228">
        <v>0</v>
      </c>
      <c r="G18" s="228">
        <v>0</v>
      </c>
      <c r="H18" s="228">
        <v>0</v>
      </c>
      <c r="I18" s="228">
        <v>0</v>
      </c>
      <c r="J18" s="229">
        <f t="shared" si="0"/>
        <v>0</v>
      </c>
      <c r="K18" s="620"/>
    </row>
    <row r="19" spans="1:11" ht="12.75" hidden="1">
      <c r="A19" s="226"/>
      <c r="B19" s="226"/>
      <c r="C19" s="227"/>
      <c r="D19" s="227" t="s">
        <v>150</v>
      </c>
      <c r="E19" s="227" t="s">
        <v>151</v>
      </c>
      <c r="F19" s="228">
        <v>0</v>
      </c>
      <c r="G19" s="228">
        <v>0</v>
      </c>
      <c r="H19" s="228">
        <v>0</v>
      </c>
      <c r="I19" s="228">
        <v>0</v>
      </c>
      <c r="J19" s="229">
        <f t="shared" si="0"/>
        <v>0</v>
      </c>
      <c r="K19" s="620"/>
    </row>
    <row r="20" spans="1:11" ht="12.75" hidden="1">
      <c r="A20" s="226"/>
      <c r="B20" s="226"/>
      <c r="C20" s="227"/>
      <c r="D20" s="227" t="s">
        <v>152</v>
      </c>
      <c r="E20" s="227" t="s">
        <v>224</v>
      </c>
      <c r="F20" s="228">
        <v>0</v>
      </c>
      <c r="G20" s="228">
        <v>0</v>
      </c>
      <c r="H20" s="228">
        <v>0</v>
      </c>
      <c r="I20" s="228">
        <v>0</v>
      </c>
      <c r="J20" s="229">
        <f t="shared" si="0"/>
        <v>0</v>
      </c>
      <c r="K20" s="620"/>
    </row>
    <row r="21" spans="1:11" ht="12.75" hidden="1">
      <c r="A21" s="226"/>
      <c r="B21" s="226"/>
      <c r="C21" s="227"/>
      <c r="D21" s="227" t="s">
        <v>154</v>
      </c>
      <c r="E21" s="227" t="s">
        <v>155</v>
      </c>
      <c r="F21" s="228">
        <v>0</v>
      </c>
      <c r="G21" s="228">
        <v>0</v>
      </c>
      <c r="H21" s="228">
        <v>0</v>
      </c>
      <c r="I21" s="228">
        <v>0</v>
      </c>
      <c r="J21" s="229">
        <f t="shared" si="0"/>
        <v>0</v>
      </c>
      <c r="K21" s="620"/>
    </row>
    <row r="22" spans="1:11" ht="12.75" hidden="1">
      <c r="A22" s="226"/>
      <c r="B22" s="226"/>
      <c r="C22" s="227"/>
      <c r="D22" s="227" t="s">
        <v>156</v>
      </c>
      <c r="E22" s="227" t="s">
        <v>157</v>
      </c>
      <c r="F22" s="228">
        <v>0</v>
      </c>
      <c r="G22" s="228">
        <v>0</v>
      </c>
      <c r="H22" s="228">
        <v>0</v>
      </c>
      <c r="I22" s="228">
        <v>0</v>
      </c>
      <c r="J22" s="229">
        <f t="shared" si="0"/>
        <v>0</v>
      </c>
      <c r="K22" s="620"/>
    </row>
    <row r="23" spans="1:11" ht="12.75" hidden="1">
      <c r="A23" s="226"/>
      <c r="B23" s="226"/>
      <c r="C23" s="227"/>
      <c r="D23" s="227" t="s">
        <v>158</v>
      </c>
      <c r="E23" s="227" t="s">
        <v>159</v>
      </c>
      <c r="F23" s="228">
        <v>0</v>
      </c>
      <c r="G23" s="228">
        <v>0</v>
      </c>
      <c r="H23" s="228">
        <v>0</v>
      </c>
      <c r="I23" s="228">
        <v>0</v>
      </c>
      <c r="J23" s="229">
        <f t="shared" si="0"/>
        <v>0</v>
      </c>
      <c r="K23" s="620"/>
    </row>
    <row r="24" spans="1:11" ht="12.75" hidden="1">
      <c r="A24" s="226"/>
      <c r="B24" s="226"/>
      <c r="C24" s="227"/>
      <c r="D24" s="227" t="s">
        <v>160</v>
      </c>
      <c r="E24" s="227" t="s">
        <v>161</v>
      </c>
      <c r="F24" s="228">
        <v>0</v>
      </c>
      <c r="G24" s="228">
        <v>0</v>
      </c>
      <c r="H24" s="228">
        <v>0</v>
      </c>
      <c r="I24" s="228">
        <v>0</v>
      </c>
      <c r="J24" s="229">
        <f t="shared" si="0"/>
        <v>0</v>
      </c>
      <c r="K24" s="620"/>
    </row>
    <row r="25" spans="1:11" ht="12.75" hidden="1">
      <c r="A25" s="226"/>
      <c r="B25" s="226"/>
      <c r="C25" s="227"/>
      <c r="D25" s="227" t="s">
        <v>162</v>
      </c>
      <c r="E25" s="227" t="s">
        <v>163</v>
      </c>
      <c r="F25" s="228"/>
      <c r="G25" s="228">
        <v>0</v>
      </c>
      <c r="H25" s="228">
        <v>0</v>
      </c>
      <c r="I25" s="228">
        <v>0</v>
      </c>
      <c r="J25" s="229">
        <f t="shared" si="0"/>
        <v>0</v>
      </c>
      <c r="K25" s="620"/>
    </row>
    <row r="26" spans="1:11" ht="12.75" hidden="1">
      <c r="A26" s="226"/>
      <c r="B26" s="226"/>
      <c r="C26" s="227"/>
      <c r="D26" s="227" t="s">
        <v>164</v>
      </c>
      <c r="E26" s="227" t="s">
        <v>165</v>
      </c>
      <c r="F26" s="228">
        <v>0</v>
      </c>
      <c r="G26" s="228">
        <v>0</v>
      </c>
      <c r="H26" s="228">
        <v>0</v>
      </c>
      <c r="I26" s="228">
        <v>0</v>
      </c>
      <c r="J26" s="229">
        <f t="shared" si="0"/>
        <v>0</v>
      </c>
      <c r="K26" s="620"/>
    </row>
    <row r="27" spans="1:11" ht="12.75" hidden="1">
      <c r="A27" s="226"/>
      <c r="B27" s="226"/>
      <c r="C27" s="227"/>
      <c r="D27" s="227" t="s">
        <v>166</v>
      </c>
      <c r="E27" s="227" t="s">
        <v>167</v>
      </c>
      <c r="F27" s="228">
        <v>0</v>
      </c>
      <c r="G27" s="228">
        <v>0</v>
      </c>
      <c r="H27" s="228">
        <v>0</v>
      </c>
      <c r="I27" s="228">
        <v>0</v>
      </c>
      <c r="J27" s="229">
        <f t="shared" si="0"/>
        <v>0</v>
      </c>
      <c r="K27" s="620"/>
    </row>
    <row r="28" spans="1:11" ht="12.75">
      <c r="A28" s="218"/>
      <c r="B28" s="218" t="s">
        <v>225</v>
      </c>
      <c r="C28" s="961" t="s">
        <v>661</v>
      </c>
      <c r="D28" s="961"/>
      <c r="E28" s="961"/>
      <c r="F28" s="219">
        <v>0</v>
      </c>
      <c r="G28" s="219">
        <v>0</v>
      </c>
      <c r="H28" s="219">
        <v>0</v>
      </c>
      <c r="I28" s="219">
        <v>0</v>
      </c>
      <c r="J28" s="220">
        <f t="shared" si="0"/>
        <v>0</v>
      </c>
      <c r="K28" s="618"/>
    </row>
    <row r="29" spans="1:11" ht="12.75">
      <c r="A29" s="218"/>
      <c r="B29" s="218" t="s">
        <v>226</v>
      </c>
      <c r="C29" s="961" t="s">
        <v>662</v>
      </c>
      <c r="D29" s="961"/>
      <c r="E29" s="961"/>
      <c r="F29" s="219">
        <f>SUM(F30:F39)</f>
        <v>107887289</v>
      </c>
      <c r="G29" s="219">
        <f>SUM(G30:G39)</f>
        <v>0</v>
      </c>
      <c r="H29" s="219">
        <f>SUM(H30:H39)</f>
        <v>5354163</v>
      </c>
      <c r="I29" s="219">
        <f>SUM(I30:I39)</f>
        <v>2576000</v>
      </c>
      <c r="J29" s="220">
        <f t="shared" si="0"/>
        <v>115817452</v>
      </c>
      <c r="K29" s="618"/>
    </row>
    <row r="30" spans="1:11" ht="12.75" hidden="1">
      <c r="A30" s="226"/>
      <c r="B30" s="226"/>
      <c r="C30" s="227" t="s">
        <v>2</v>
      </c>
      <c r="D30" s="227" t="s">
        <v>148</v>
      </c>
      <c r="E30" s="227" t="s">
        <v>149</v>
      </c>
      <c r="F30" s="228">
        <v>0</v>
      </c>
      <c r="G30" s="228">
        <v>0</v>
      </c>
      <c r="H30" s="228">
        <v>0</v>
      </c>
      <c r="I30" s="228">
        <v>0</v>
      </c>
      <c r="J30" s="229">
        <f t="shared" si="0"/>
        <v>0</v>
      </c>
      <c r="K30" s="620"/>
    </row>
    <row r="31" spans="1:11" ht="12.75" hidden="1">
      <c r="A31" s="226"/>
      <c r="B31" s="226"/>
      <c r="C31" s="227"/>
      <c r="D31" s="227" t="s">
        <v>150</v>
      </c>
      <c r="E31" s="227" t="s">
        <v>151</v>
      </c>
      <c r="F31" s="228">
        <v>0</v>
      </c>
      <c r="G31" s="228">
        <v>0</v>
      </c>
      <c r="H31" s="228">
        <v>0</v>
      </c>
      <c r="I31" s="228">
        <v>0</v>
      </c>
      <c r="J31" s="229">
        <f t="shared" si="0"/>
        <v>0</v>
      </c>
      <c r="K31" s="620"/>
    </row>
    <row r="32" spans="1:11" ht="12.75">
      <c r="A32" s="230"/>
      <c r="B32" s="230"/>
      <c r="C32" s="227" t="s">
        <v>2</v>
      </c>
      <c r="D32" s="231"/>
      <c r="E32" s="231" t="s">
        <v>665</v>
      </c>
      <c r="F32" s="228">
        <f>2100000+40118910+5788759+1092680</f>
        <v>49100349</v>
      </c>
      <c r="G32" s="228">
        <v>0</v>
      </c>
      <c r="H32" s="228">
        <v>5354163</v>
      </c>
      <c r="I32" s="228"/>
      <c r="J32" s="229">
        <f t="shared" si="0"/>
        <v>54454512</v>
      </c>
      <c r="K32" s="620"/>
    </row>
    <row r="33" spans="1:11" ht="12.75">
      <c r="A33" s="226"/>
      <c r="B33" s="226"/>
      <c r="C33" s="227"/>
      <c r="D33" s="227"/>
      <c r="E33" s="227" t="s">
        <v>155</v>
      </c>
      <c r="F33" s="228">
        <v>7411115</v>
      </c>
      <c r="G33" s="228">
        <v>0</v>
      </c>
      <c r="H33" s="228">
        <v>0</v>
      </c>
      <c r="I33" s="228">
        <v>0</v>
      </c>
      <c r="J33" s="229">
        <f t="shared" si="0"/>
        <v>7411115</v>
      </c>
      <c r="K33" s="620"/>
    </row>
    <row r="34" spans="1:11" ht="12.75">
      <c r="A34" s="226"/>
      <c r="B34" s="226"/>
      <c r="C34" s="227"/>
      <c r="D34" s="227"/>
      <c r="E34" s="227" t="s">
        <v>157</v>
      </c>
      <c r="F34" s="228">
        <f>21600000+7959000</f>
        <v>29559000</v>
      </c>
      <c r="G34" s="228">
        <v>0</v>
      </c>
      <c r="H34" s="228">
        <v>0</v>
      </c>
      <c r="I34" s="228">
        <v>0</v>
      </c>
      <c r="J34" s="229">
        <f t="shared" si="0"/>
        <v>29559000</v>
      </c>
      <c r="K34" s="620"/>
    </row>
    <row r="35" spans="1:11" ht="12.75">
      <c r="A35" s="226"/>
      <c r="B35" s="226"/>
      <c r="C35" s="227"/>
      <c r="D35" s="227"/>
      <c r="E35" s="227" t="s">
        <v>159</v>
      </c>
      <c r="F35" s="228">
        <f>13227888+4016545</f>
        <v>17244433</v>
      </c>
      <c r="G35" s="228"/>
      <c r="H35" s="228">
        <v>0</v>
      </c>
      <c r="I35" s="228">
        <v>2576000</v>
      </c>
      <c r="J35" s="229">
        <f t="shared" si="0"/>
        <v>19820433</v>
      </c>
      <c r="K35" s="620"/>
    </row>
    <row r="36" spans="1:11" ht="12.75">
      <c r="A36" s="226"/>
      <c r="B36" s="226"/>
      <c r="C36" s="227"/>
      <c r="D36" s="227"/>
      <c r="E36" s="227" t="s">
        <v>161</v>
      </c>
      <c r="F36" s="228">
        <f>3386445+1185947</f>
        <v>4572392</v>
      </c>
      <c r="G36" s="228">
        <v>0</v>
      </c>
      <c r="H36" s="228">
        <v>0</v>
      </c>
      <c r="I36" s="228">
        <v>0</v>
      </c>
      <c r="J36" s="229">
        <f t="shared" si="0"/>
        <v>4572392</v>
      </c>
      <c r="K36" s="620"/>
    </row>
    <row r="37" spans="1:11" ht="12.75" hidden="1">
      <c r="A37" s="226"/>
      <c r="B37" s="226"/>
      <c r="C37" s="227"/>
      <c r="D37" s="227"/>
      <c r="E37" s="227" t="s">
        <v>163</v>
      </c>
      <c r="F37" s="228">
        <v>0</v>
      </c>
      <c r="G37" s="228">
        <v>0</v>
      </c>
      <c r="H37" s="228">
        <v>0</v>
      </c>
      <c r="I37" s="228">
        <v>0</v>
      </c>
      <c r="J37" s="229">
        <f t="shared" si="0"/>
        <v>0</v>
      </c>
      <c r="K37" s="620"/>
    </row>
    <row r="38" spans="1:11" ht="12.75" hidden="1">
      <c r="A38" s="226"/>
      <c r="B38" s="226"/>
      <c r="C38" s="227"/>
      <c r="D38" s="227"/>
      <c r="E38" s="227" t="s">
        <v>666</v>
      </c>
      <c r="F38" s="228">
        <v>0</v>
      </c>
      <c r="G38" s="228">
        <v>0</v>
      </c>
      <c r="H38" s="228">
        <v>0</v>
      </c>
      <c r="I38" s="228">
        <v>0</v>
      </c>
      <c r="J38" s="229">
        <f t="shared" si="0"/>
        <v>0</v>
      </c>
      <c r="K38" s="620"/>
    </row>
    <row r="39" spans="1:11" ht="12.75" hidden="1">
      <c r="A39" s="226"/>
      <c r="B39" s="226"/>
      <c r="C39" s="227"/>
      <c r="D39" s="227"/>
      <c r="E39" s="227" t="s">
        <v>667</v>
      </c>
      <c r="F39" s="228">
        <v>0</v>
      </c>
      <c r="G39" s="228">
        <v>0</v>
      </c>
      <c r="H39" s="228">
        <v>0</v>
      </c>
      <c r="I39" s="228">
        <v>0</v>
      </c>
      <c r="J39" s="229">
        <f t="shared" si="0"/>
        <v>0</v>
      </c>
      <c r="K39" s="620"/>
    </row>
    <row r="40" spans="1:11" s="217" customFormat="1" ht="12.75">
      <c r="A40" s="215" t="s">
        <v>227</v>
      </c>
      <c r="B40" s="969" t="s">
        <v>673</v>
      </c>
      <c r="C40" s="969"/>
      <c r="D40" s="969"/>
      <c r="E40" s="969"/>
      <c r="F40" s="216">
        <f>SUM(F41:F45)</f>
        <v>6000000</v>
      </c>
      <c r="G40" s="216">
        <f>SUM(G41:G45)</f>
        <v>0</v>
      </c>
      <c r="H40" s="216">
        <f>SUM(H41:H45)</f>
        <v>0</v>
      </c>
      <c r="I40" s="216">
        <f>SUM(I41:I45)</f>
        <v>0</v>
      </c>
      <c r="J40" s="216">
        <f t="shared" si="0"/>
        <v>6000000</v>
      </c>
      <c r="K40" s="617"/>
    </row>
    <row r="41" spans="1:11" ht="12.75" hidden="1">
      <c r="A41" s="218"/>
      <c r="B41" s="218" t="s">
        <v>228</v>
      </c>
      <c r="C41" s="961" t="s">
        <v>668</v>
      </c>
      <c r="D41" s="961"/>
      <c r="E41" s="961"/>
      <c r="F41" s="219">
        <v>0</v>
      </c>
      <c r="G41" s="219">
        <v>0</v>
      </c>
      <c r="H41" s="219">
        <v>0</v>
      </c>
      <c r="I41" s="219">
        <v>0</v>
      </c>
      <c r="J41" s="220">
        <f t="shared" si="0"/>
        <v>0</v>
      </c>
      <c r="K41" s="618"/>
    </row>
    <row r="42" spans="1:11" ht="12.75" hidden="1">
      <c r="A42" s="218"/>
      <c r="B42" s="218" t="s">
        <v>229</v>
      </c>
      <c r="C42" s="961" t="s">
        <v>669</v>
      </c>
      <c r="D42" s="961"/>
      <c r="E42" s="961"/>
      <c r="F42" s="219">
        <v>0</v>
      </c>
      <c r="G42" s="219">
        <v>0</v>
      </c>
      <c r="H42" s="219">
        <v>0</v>
      </c>
      <c r="I42" s="219">
        <v>0</v>
      </c>
      <c r="J42" s="220">
        <f t="shared" si="0"/>
        <v>0</v>
      </c>
      <c r="K42" s="618"/>
    </row>
    <row r="43" spans="1:11" ht="12.75" hidden="1">
      <c r="A43" s="218"/>
      <c r="B43" s="218" t="s">
        <v>230</v>
      </c>
      <c r="C43" s="961" t="s">
        <v>670</v>
      </c>
      <c r="D43" s="961"/>
      <c r="E43" s="961"/>
      <c r="F43" s="219">
        <v>0</v>
      </c>
      <c r="G43" s="219">
        <v>0</v>
      </c>
      <c r="H43" s="219">
        <v>0</v>
      </c>
      <c r="I43" s="219">
        <v>0</v>
      </c>
      <c r="J43" s="220">
        <f t="shared" si="0"/>
        <v>0</v>
      </c>
      <c r="K43" s="618"/>
    </row>
    <row r="44" spans="1:11" ht="12.75" hidden="1">
      <c r="A44" s="218"/>
      <c r="B44" s="218" t="s">
        <v>231</v>
      </c>
      <c r="C44" s="961" t="s">
        <v>671</v>
      </c>
      <c r="D44" s="961"/>
      <c r="E44" s="961"/>
      <c r="F44" s="219">
        <v>0</v>
      </c>
      <c r="G44" s="219">
        <v>0</v>
      </c>
      <c r="H44" s="219">
        <v>0</v>
      </c>
      <c r="I44" s="219">
        <v>0</v>
      </c>
      <c r="J44" s="220">
        <f t="shared" si="0"/>
        <v>0</v>
      </c>
      <c r="K44" s="618"/>
    </row>
    <row r="45" spans="1:11" ht="12.75">
      <c r="A45" s="218"/>
      <c r="B45" s="218" t="s">
        <v>232</v>
      </c>
      <c r="C45" s="961" t="s">
        <v>672</v>
      </c>
      <c r="D45" s="961"/>
      <c r="E45" s="961"/>
      <c r="F45" s="219">
        <f>SUM(F46:F56)</f>
        <v>6000000</v>
      </c>
      <c r="G45" s="219">
        <f>SUM(G46:G56)</f>
        <v>0</v>
      </c>
      <c r="H45" s="219">
        <f>SUM(H46:H56)</f>
        <v>0</v>
      </c>
      <c r="I45" s="219">
        <f>SUM(I46:I56)</f>
        <v>0</v>
      </c>
      <c r="J45" s="220">
        <f t="shared" si="0"/>
        <v>6000000</v>
      </c>
      <c r="K45" s="618"/>
    </row>
    <row r="46" spans="1:11" ht="12.75" hidden="1">
      <c r="A46" s="226"/>
      <c r="B46" s="226"/>
      <c r="C46" s="227" t="s">
        <v>2</v>
      </c>
      <c r="D46" s="227" t="s">
        <v>148</v>
      </c>
      <c r="E46" s="227" t="s">
        <v>149</v>
      </c>
      <c r="F46" s="228">
        <v>0</v>
      </c>
      <c r="G46" s="228">
        <v>0</v>
      </c>
      <c r="H46" s="228">
        <v>0</v>
      </c>
      <c r="I46" s="228">
        <v>0</v>
      </c>
      <c r="J46" s="229">
        <f t="shared" si="0"/>
        <v>0</v>
      </c>
      <c r="K46" s="620"/>
    </row>
    <row r="47" spans="1:11" ht="12.75" hidden="1">
      <c r="A47" s="226"/>
      <c r="B47" s="226"/>
      <c r="C47" s="227"/>
      <c r="D47" s="227" t="s">
        <v>150</v>
      </c>
      <c r="E47" s="227" t="s">
        <v>151</v>
      </c>
      <c r="F47" s="228">
        <v>0</v>
      </c>
      <c r="G47" s="228">
        <v>0</v>
      </c>
      <c r="H47" s="228">
        <v>0</v>
      </c>
      <c r="I47" s="228">
        <v>0</v>
      </c>
      <c r="J47" s="229">
        <f t="shared" si="0"/>
        <v>0</v>
      </c>
      <c r="K47" s="620"/>
    </row>
    <row r="48" spans="1:11" ht="12" customHeight="1">
      <c r="A48" s="230"/>
      <c r="B48" s="230"/>
      <c r="C48" s="227" t="s">
        <v>2</v>
      </c>
      <c r="D48" s="231"/>
      <c r="E48" s="231" t="s">
        <v>224</v>
      </c>
      <c r="F48" s="228">
        <v>6000000</v>
      </c>
      <c r="G48" s="228">
        <v>0</v>
      </c>
      <c r="H48" s="228">
        <v>0</v>
      </c>
      <c r="I48" s="228"/>
      <c r="J48" s="229">
        <f t="shared" si="0"/>
        <v>6000000</v>
      </c>
      <c r="K48" s="620"/>
    </row>
    <row r="49" spans="1:11" ht="12.75" hidden="1">
      <c r="A49" s="226"/>
      <c r="B49" s="226"/>
      <c r="C49" s="227"/>
      <c r="D49" s="227" t="s">
        <v>154</v>
      </c>
      <c r="E49" s="227" t="s">
        <v>155</v>
      </c>
      <c r="F49" s="228"/>
      <c r="G49" s="228">
        <v>0</v>
      </c>
      <c r="H49" s="228">
        <v>0</v>
      </c>
      <c r="I49" s="228">
        <v>0</v>
      </c>
      <c r="J49" s="229">
        <f t="shared" si="0"/>
        <v>0</v>
      </c>
      <c r="K49" s="620"/>
    </row>
    <row r="50" spans="1:11" ht="12.75" hidden="1">
      <c r="A50" s="226"/>
      <c r="B50" s="226"/>
      <c r="C50" s="227"/>
      <c r="D50" s="227" t="s">
        <v>156</v>
      </c>
      <c r="E50" s="227" t="s">
        <v>157</v>
      </c>
      <c r="F50" s="228"/>
      <c r="G50" s="228">
        <v>0</v>
      </c>
      <c r="H50" s="228">
        <v>0</v>
      </c>
      <c r="I50" s="228">
        <v>0</v>
      </c>
      <c r="J50" s="229">
        <f t="shared" si="0"/>
        <v>0</v>
      </c>
      <c r="K50" s="620"/>
    </row>
    <row r="51" spans="1:11" ht="12.75" hidden="1">
      <c r="A51" s="226"/>
      <c r="B51" s="226"/>
      <c r="C51" s="227"/>
      <c r="D51" s="227" t="s">
        <v>158</v>
      </c>
      <c r="E51" s="227" t="s">
        <v>159</v>
      </c>
      <c r="F51" s="228"/>
      <c r="G51" s="228">
        <v>0</v>
      </c>
      <c r="H51" s="228">
        <v>0</v>
      </c>
      <c r="I51" s="228">
        <v>0</v>
      </c>
      <c r="J51" s="229">
        <f t="shared" si="0"/>
        <v>0</v>
      </c>
      <c r="K51" s="620"/>
    </row>
    <row r="52" spans="1:11" ht="12.75" hidden="1">
      <c r="A52" s="226"/>
      <c r="B52" s="226"/>
      <c r="C52" s="227"/>
      <c r="D52" s="227" t="s">
        <v>160</v>
      </c>
      <c r="E52" s="227" t="s">
        <v>161</v>
      </c>
      <c r="F52" s="228"/>
      <c r="G52" s="228">
        <v>0</v>
      </c>
      <c r="H52" s="228">
        <v>0</v>
      </c>
      <c r="I52" s="228">
        <v>0</v>
      </c>
      <c r="J52" s="229">
        <f t="shared" si="0"/>
        <v>0</v>
      </c>
      <c r="K52" s="620"/>
    </row>
    <row r="53" spans="1:11" ht="12.75" hidden="1">
      <c r="A53" s="226"/>
      <c r="B53" s="226"/>
      <c r="C53" s="227"/>
      <c r="D53" s="227" t="s">
        <v>162</v>
      </c>
      <c r="E53" s="227" t="s">
        <v>163</v>
      </c>
      <c r="F53" s="228"/>
      <c r="G53" s="228">
        <v>0</v>
      </c>
      <c r="H53" s="228">
        <v>0</v>
      </c>
      <c r="I53" s="228">
        <v>0</v>
      </c>
      <c r="J53" s="229">
        <f t="shared" si="0"/>
        <v>0</v>
      </c>
      <c r="K53" s="620"/>
    </row>
    <row r="54" spans="1:11" ht="12.75" hidden="1">
      <c r="A54" s="226"/>
      <c r="B54" s="226"/>
      <c r="C54" s="227"/>
      <c r="D54" s="227" t="s">
        <v>164</v>
      </c>
      <c r="E54" s="227" t="s">
        <v>165</v>
      </c>
      <c r="F54" s="228"/>
      <c r="G54" s="228">
        <v>0</v>
      </c>
      <c r="H54" s="228">
        <v>0</v>
      </c>
      <c r="I54" s="228">
        <v>0</v>
      </c>
      <c r="J54" s="229">
        <f t="shared" si="0"/>
        <v>0</v>
      </c>
      <c r="K54" s="620"/>
    </row>
    <row r="55" spans="1:11" ht="12.75" hidden="1">
      <c r="A55" s="226"/>
      <c r="B55" s="226"/>
      <c r="C55" s="227"/>
      <c r="D55" s="227" t="s">
        <v>166</v>
      </c>
      <c r="E55" s="227" t="s">
        <v>167</v>
      </c>
      <c r="F55" s="228"/>
      <c r="G55" s="228">
        <v>0</v>
      </c>
      <c r="H55" s="228">
        <v>0</v>
      </c>
      <c r="I55" s="228">
        <v>0</v>
      </c>
      <c r="J55" s="229">
        <f t="shared" si="0"/>
        <v>0</v>
      </c>
      <c r="K55" s="620"/>
    </row>
    <row r="56" spans="1:11" ht="12.75">
      <c r="A56" s="226"/>
      <c r="B56" s="226"/>
      <c r="C56" s="227"/>
      <c r="D56" s="227"/>
      <c r="E56" s="227" t="s">
        <v>159</v>
      </c>
      <c r="F56" s="228">
        <v>0</v>
      </c>
      <c r="G56" s="228">
        <v>0</v>
      </c>
      <c r="H56" s="228">
        <v>0</v>
      </c>
      <c r="I56" s="228">
        <v>0</v>
      </c>
      <c r="J56" s="229">
        <f t="shared" si="0"/>
        <v>0</v>
      </c>
      <c r="K56" s="620"/>
    </row>
    <row r="57" spans="1:11" s="217" customFormat="1" ht="12.75">
      <c r="A57" s="215" t="s">
        <v>233</v>
      </c>
      <c r="B57" s="969" t="s">
        <v>234</v>
      </c>
      <c r="C57" s="969"/>
      <c r="D57" s="969"/>
      <c r="E57" s="969"/>
      <c r="F57" s="216">
        <f>SUM(F58+F59+F60+F61+F64+F75)</f>
        <v>261700000</v>
      </c>
      <c r="G57" s="216">
        <f>SUM(G58+G59+G60+G61+G64+G75)</f>
        <v>0</v>
      </c>
      <c r="H57" s="216">
        <f>SUM(H58+H59+H60+H61+H64+H75)</f>
        <v>0</v>
      </c>
      <c r="I57" s="216">
        <f>SUM(I58+I59+I60+I61+I64+I75)</f>
        <v>0</v>
      </c>
      <c r="J57" s="216">
        <f t="shared" si="0"/>
        <v>261700000</v>
      </c>
      <c r="K57" s="617"/>
    </row>
    <row r="58" spans="1:11" ht="12.75">
      <c r="A58" s="218"/>
      <c r="B58" s="218" t="s">
        <v>235</v>
      </c>
      <c r="C58" s="961" t="s">
        <v>236</v>
      </c>
      <c r="D58" s="961"/>
      <c r="E58" s="961"/>
      <c r="F58" s="219">
        <v>50000</v>
      </c>
      <c r="G58" s="219">
        <v>0</v>
      </c>
      <c r="H58" s="219">
        <v>0</v>
      </c>
      <c r="I58" s="219">
        <v>0</v>
      </c>
      <c r="J58" s="220">
        <f t="shared" si="0"/>
        <v>50000</v>
      </c>
      <c r="K58" s="618"/>
    </row>
    <row r="59" spans="1:11" ht="12.75">
      <c r="A59" s="218"/>
      <c r="B59" s="218" t="s">
        <v>237</v>
      </c>
      <c r="C59" s="961" t="s">
        <v>238</v>
      </c>
      <c r="D59" s="961"/>
      <c r="E59" s="961"/>
      <c r="F59" s="219">
        <v>0</v>
      </c>
      <c r="G59" s="219">
        <v>0</v>
      </c>
      <c r="H59" s="219">
        <v>0</v>
      </c>
      <c r="I59" s="219">
        <v>0</v>
      </c>
      <c r="J59" s="220">
        <f t="shared" si="0"/>
        <v>0</v>
      </c>
      <c r="K59" s="618"/>
    </row>
    <row r="60" spans="1:11" ht="12.75">
      <c r="A60" s="218"/>
      <c r="B60" s="218" t="s">
        <v>239</v>
      </c>
      <c r="C60" s="961" t="s">
        <v>240</v>
      </c>
      <c r="D60" s="961"/>
      <c r="E60" s="961"/>
      <c r="F60" s="219">
        <v>0</v>
      </c>
      <c r="G60" s="219">
        <v>0</v>
      </c>
      <c r="H60" s="219">
        <v>0</v>
      </c>
      <c r="I60" s="219">
        <v>0</v>
      </c>
      <c r="J60" s="220">
        <f t="shared" si="0"/>
        <v>0</v>
      </c>
      <c r="K60" s="618"/>
    </row>
    <row r="61" spans="1:11" ht="12.75">
      <c r="A61" s="218"/>
      <c r="B61" s="218" t="s">
        <v>241</v>
      </c>
      <c r="C61" s="961" t="s">
        <v>242</v>
      </c>
      <c r="D61" s="961"/>
      <c r="E61" s="961"/>
      <c r="F61" s="219">
        <f>SUM(F62:F63)</f>
        <v>38850000</v>
      </c>
      <c r="G61" s="219">
        <f>SUM(G62:G63)</f>
        <v>0</v>
      </c>
      <c r="H61" s="219">
        <v>0</v>
      </c>
      <c r="I61" s="219">
        <v>0</v>
      </c>
      <c r="J61" s="220">
        <f t="shared" si="0"/>
        <v>38850000</v>
      </c>
      <c r="K61" s="618"/>
    </row>
    <row r="62" spans="1:11" ht="12.75">
      <c r="A62" s="226"/>
      <c r="B62" s="226"/>
      <c r="C62" s="227"/>
      <c r="D62" s="227"/>
      <c r="E62" s="227" t="s">
        <v>243</v>
      </c>
      <c r="F62" s="228">
        <v>38000000</v>
      </c>
      <c r="G62" s="228">
        <v>0</v>
      </c>
      <c r="H62" s="228">
        <v>0</v>
      </c>
      <c r="I62" s="228">
        <v>0</v>
      </c>
      <c r="J62" s="229">
        <f t="shared" si="0"/>
        <v>38000000</v>
      </c>
      <c r="K62" s="620"/>
    </row>
    <row r="63" spans="1:11" ht="12.75">
      <c r="A63" s="226"/>
      <c r="B63" s="226"/>
      <c r="C63" s="227"/>
      <c r="D63" s="227"/>
      <c r="E63" s="227" t="s">
        <v>244</v>
      </c>
      <c r="F63" s="228">
        <v>850000</v>
      </c>
      <c r="G63" s="228">
        <v>0</v>
      </c>
      <c r="H63" s="228">
        <v>0</v>
      </c>
      <c r="I63" s="228">
        <v>0</v>
      </c>
      <c r="J63" s="229">
        <f t="shared" si="0"/>
        <v>850000</v>
      </c>
      <c r="K63" s="620"/>
    </row>
    <row r="64" spans="1:11" ht="12.75">
      <c r="A64" s="218"/>
      <c r="B64" s="218" t="s">
        <v>245</v>
      </c>
      <c r="C64" s="961" t="s">
        <v>246</v>
      </c>
      <c r="D64" s="961"/>
      <c r="E64" s="961"/>
      <c r="F64" s="219">
        <f>SUM(F65+F68+F70+F71+F73)</f>
        <v>222150000</v>
      </c>
      <c r="G64" s="219">
        <f>SUM(G65+G68+G70+G71+G73)</f>
        <v>0</v>
      </c>
      <c r="H64" s="219">
        <v>0</v>
      </c>
      <c r="I64" s="219">
        <v>0</v>
      </c>
      <c r="J64" s="220">
        <f t="shared" si="0"/>
        <v>222150000</v>
      </c>
      <c r="K64" s="618"/>
    </row>
    <row r="65" spans="1:11" ht="12.75">
      <c r="A65" s="221"/>
      <c r="B65" s="221"/>
      <c r="C65" s="221" t="s">
        <v>247</v>
      </c>
      <c r="D65" s="221" t="s">
        <v>248</v>
      </c>
      <c r="E65" s="221"/>
      <c r="F65" s="222">
        <f>SUM(F66:F67)</f>
        <v>200150000</v>
      </c>
      <c r="G65" s="222">
        <f>SUM(G66:G67)</f>
        <v>0</v>
      </c>
      <c r="H65" s="222">
        <v>0</v>
      </c>
      <c r="I65" s="222">
        <v>0</v>
      </c>
      <c r="J65" s="223">
        <f t="shared" si="0"/>
        <v>200150000</v>
      </c>
      <c r="K65" s="619"/>
    </row>
    <row r="66" spans="1:11" ht="12.75">
      <c r="A66" s="226"/>
      <c r="B66" s="226"/>
      <c r="C66" s="227"/>
      <c r="D66" s="227"/>
      <c r="E66" s="227" t="s">
        <v>674</v>
      </c>
      <c r="F66" s="228">
        <v>200000000</v>
      </c>
      <c r="G66" s="228">
        <v>0</v>
      </c>
      <c r="H66" s="228">
        <v>0</v>
      </c>
      <c r="I66" s="228">
        <v>0</v>
      </c>
      <c r="J66" s="229">
        <f t="shared" si="0"/>
        <v>200000000</v>
      </c>
      <c r="K66" s="620"/>
    </row>
    <row r="67" spans="1:11" ht="12.75">
      <c r="A67" s="226"/>
      <c r="B67" s="226"/>
      <c r="C67" s="227"/>
      <c r="D67" s="227"/>
      <c r="E67" s="227" t="s">
        <v>675</v>
      </c>
      <c r="F67" s="228">
        <v>150000</v>
      </c>
      <c r="G67" s="228">
        <v>0</v>
      </c>
      <c r="H67" s="228">
        <v>0</v>
      </c>
      <c r="I67" s="228">
        <v>0</v>
      </c>
      <c r="J67" s="229">
        <f t="shared" si="0"/>
        <v>150000</v>
      </c>
      <c r="K67" s="620"/>
    </row>
    <row r="68" spans="1:11" ht="12.75">
      <c r="A68" s="221"/>
      <c r="B68" s="221"/>
      <c r="C68" s="221" t="s">
        <v>249</v>
      </c>
      <c r="D68" s="221" t="s">
        <v>592</v>
      </c>
      <c r="E68" s="221"/>
      <c r="F68" s="222">
        <f>SUM(F69)</f>
        <v>0</v>
      </c>
      <c r="G68" s="222">
        <f>SUM(G69)</f>
        <v>0</v>
      </c>
      <c r="H68" s="222">
        <f>SUM(H69)</f>
        <v>0</v>
      </c>
      <c r="I68" s="222">
        <f>SUM(I69)</f>
        <v>0</v>
      </c>
      <c r="J68" s="223">
        <f t="shared" si="0"/>
        <v>0</v>
      </c>
      <c r="K68" s="619"/>
    </row>
    <row r="69" spans="1:11" ht="12.75" hidden="1">
      <c r="A69" s="221"/>
      <c r="B69" s="221"/>
      <c r="C69" s="221"/>
      <c r="D69" s="221"/>
      <c r="E69" s="227" t="s">
        <v>593</v>
      </c>
      <c r="F69" s="222">
        <v>0</v>
      </c>
      <c r="G69" s="222">
        <v>0</v>
      </c>
      <c r="H69" s="222">
        <v>0</v>
      </c>
      <c r="I69" s="222">
        <v>0</v>
      </c>
      <c r="J69" s="223">
        <f t="shared" si="0"/>
        <v>0</v>
      </c>
      <c r="K69" s="619"/>
    </row>
    <row r="70" spans="1:11" ht="12.75">
      <c r="A70" s="221"/>
      <c r="B70" s="221"/>
      <c r="C70" s="221" t="s">
        <v>250</v>
      </c>
      <c r="D70" s="221" t="s">
        <v>251</v>
      </c>
      <c r="E70" s="221"/>
      <c r="F70" s="222">
        <v>0</v>
      </c>
      <c r="G70" s="222">
        <v>0</v>
      </c>
      <c r="H70" s="222">
        <v>0</v>
      </c>
      <c r="I70" s="222">
        <v>0</v>
      </c>
      <c r="J70" s="223">
        <f t="shared" si="0"/>
        <v>0</v>
      </c>
      <c r="K70" s="619"/>
    </row>
    <row r="71" spans="1:11" ht="12.75">
      <c r="A71" s="221"/>
      <c r="B71" s="221"/>
      <c r="C71" s="221" t="s">
        <v>252</v>
      </c>
      <c r="D71" s="221" t="s">
        <v>253</v>
      </c>
      <c r="E71" s="221"/>
      <c r="F71" s="222">
        <f>SUM(F72)</f>
        <v>22000000</v>
      </c>
      <c r="G71" s="222">
        <f>SUM(G72:G72)</f>
        <v>0</v>
      </c>
      <c r="H71" s="222">
        <v>0</v>
      </c>
      <c r="I71" s="222">
        <v>0</v>
      </c>
      <c r="J71" s="223">
        <f t="shared" si="0"/>
        <v>22000000</v>
      </c>
      <c r="K71" s="619"/>
    </row>
    <row r="72" spans="1:11" ht="12.75">
      <c r="A72" s="226"/>
      <c r="B72" s="226"/>
      <c r="C72" s="226"/>
      <c r="D72" s="227"/>
      <c r="E72" s="227" t="s">
        <v>676</v>
      </c>
      <c r="F72" s="228">
        <v>22000000</v>
      </c>
      <c r="G72" s="228">
        <v>0</v>
      </c>
      <c r="H72" s="228">
        <v>0</v>
      </c>
      <c r="I72" s="228">
        <v>0</v>
      </c>
      <c r="J72" s="229">
        <f t="shared" si="0"/>
        <v>22000000</v>
      </c>
      <c r="K72" s="620"/>
    </row>
    <row r="73" spans="1:11" ht="12.75">
      <c r="A73" s="221"/>
      <c r="B73" s="221"/>
      <c r="C73" s="221" t="s">
        <v>254</v>
      </c>
      <c r="D73" s="221" t="s">
        <v>255</v>
      </c>
      <c r="E73" s="221"/>
      <c r="F73" s="222">
        <f>SUM(F74:F74)</f>
        <v>0</v>
      </c>
      <c r="G73" s="222">
        <v>0</v>
      </c>
      <c r="H73" s="222">
        <v>0</v>
      </c>
      <c r="I73" s="222">
        <v>0</v>
      </c>
      <c r="J73" s="223">
        <f aca="true" t="shared" si="1" ref="J73:J136">SUM(F73:I73)</f>
        <v>0</v>
      </c>
      <c r="K73" s="619"/>
    </row>
    <row r="74" spans="1:11" ht="12.75" hidden="1">
      <c r="A74" s="226"/>
      <c r="B74" s="226"/>
      <c r="C74" s="226"/>
      <c r="D74" s="227"/>
      <c r="E74" s="227" t="s">
        <v>257</v>
      </c>
      <c r="F74" s="228">
        <v>0</v>
      </c>
      <c r="G74" s="228">
        <v>0</v>
      </c>
      <c r="H74" s="228">
        <v>0</v>
      </c>
      <c r="I74" s="228">
        <v>0</v>
      </c>
      <c r="J74" s="229">
        <f t="shared" si="1"/>
        <v>0</v>
      </c>
      <c r="K74" s="620"/>
    </row>
    <row r="75" spans="1:11" ht="12.75">
      <c r="A75" s="218"/>
      <c r="B75" s="218" t="s">
        <v>258</v>
      </c>
      <c r="C75" s="961" t="s">
        <v>259</v>
      </c>
      <c r="D75" s="961"/>
      <c r="E75" s="961"/>
      <c r="F75" s="219">
        <f>SUM(F76:F85)</f>
        <v>650000</v>
      </c>
      <c r="G75" s="219">
        <f>SUM(G76:G85)</f>
        <v>0</v>
      </c>
      <c r="H75" s="219">
        <f>SUM(H76:H85)</f>
        <v>0</v>
      </c>
      <c r="I75" s="219">
        <f>SUM(I76:I85)</f>
        <v>0</v>
      </c>
      <c r="J75" s="220">
        <f t="shared" si="1"/>
        <v>650000</v>
      </c>
      <c r="K75" s="618"/>
    </row>
    <row r="76" spans="1:11" ht="12.75" hidden="1">
      <c r="A76" s="232"/>
      <c r="B76" s="232"/>
      <c r="C76" s="232"/>
      <c r="D76" s="227"/>
      <c r="E76" s="227" t="s">
        <v>260</v>
      </c>
      <c r="F76" s="228">
        <v>0</v>
      </c>
      <c r="G76" s="228">
        <v>0</v>
      </c>
      <c r="H76" s="228">
        <v>0</v>
      </c>
      <c r="I76" s="228">
        <v>0</v>
      </c>
      <c r="J76" s="229">
        <f t="shared" si="1"/>
        <v>0</v>
      </c>
      <c r="K76" s="620"/>
    </row>
    <row r="77" spans="1:11" ht="12.75" hidden="1">
      <c r="A77" s="226"/>
      <c r="B77" s="226"/>
      <c r="C77" s="226"/>
      <c r="D77" s="227"/>
      <c r="E77" s="227" t="s">
        <v>261</v>
      </c>
      <c r="F77" s="228">
        <v>0</v>
      </c>
      <c r="G77" s="228"/>
      <c r="H77" s="228">
        <v>0</v>
      </c>
      <c r="I77" s="228">
        <v>0</v>
      </c>
      <c r="J77" s="229">
        <f t="shared" si="1"/>
        <v>0</v>
      </c>
      <c r="K77" s="620"/>
    </row>
    <row r="78" spans="1:11" ht="12.75" hidden="1">
      <c r="A78" s="232"/>
      <c r="B78" s="232"/>
      <c r="C78" s="232"/>
      <c r="D78" s="227"/>
      <c r="E78" s="227" t="s">
        <v>262</v>
      </c>
      <c r="F78" s="228">
        <v>0</v>
      </c>
      <c r="G78" s="228">
        <v>0</v>
      </c>
      <c r="H78" s="228">
        <v>0</v>
      </c>
      <c r="I78" s="228">
        <v>0</v>
      </c>
      <c r="J78" s="229">
        <f t="shared" si="1"/>
        <v>0</v>
      </c>
      <c r="K78" s="620"/>
    </row>
    <row r="79" spans="1:11" ht="12.75" customHeight="1">
      <c r="A79" s="232"/>
      <c r="B79" s="232"/>
      <c r="C79" s="232"/>
      <c r="D79" s="227"/>
      <c r="E79" s="227" t="s">
        <v>256</v>
      </c>
      <c r="F79" s="228">
        <v>350000</v>
      </c>
      <c r="G79" s="228">
        <v>0</v>
      </c>
      <c r="H79" s="228">
        <v>0</v>
      </c>
      <c r="I79" s="228">
        <v>0</v>
      </c>
      <c r="J79" s="229">
        <f t="shared" si="1"/>
        <v>350000</v>
      </c>
      <c r="K79" s="620"/>
    </row>
    <row r="80" spans="1:11" ht="0.75" customHeight="1" hidden="1">
      <c r="A80" s="232"/>
      <c r="B80" s="232"/>
      <c r="C80" s="232"/>
      <c r="D80" s="227"/>
      <c r="E80" s="227" t="s">
        <v>263</v>
      </c>
      <c r="F80" s="228"/>
      <c r="G80" s="228">
        <v>0</v>
      </c>
      <c r="H80" s="228">
        <v>0</v>
      </c>
      <c r="I80" s="228">
        <v>0</v>
      </c>
      <c r="J80" s="229">
        <f t="shared" si="1"/>
        <v>0</v>
      </c>
      <c r="K80" s="620"/>
    </row>
    <row r="81" spans="1:11" ht="12.75" hidden="1">
      <c r="A81" s="232"/>
      <c r="B81" s="232"/>
      <c r="C81" s="232"/>
      <c r="D81" s="227"/>
      <c r="E81" s="227" t="s">
        <v>264</v>
      </c>
      <c r="F81" s="228"/>
      <c r="G81" s="228">
        <v>0</v>
      </c>
      <c r="H81" s="228">
        <v>0</v>
      </c>
      <c r="I81" s="228">
        <v>0</v>
      </c>
      <c r="J81" s="229">
        <f t="shared" si="1"/>
        <v>0</v>
      </c>
      <c r="K81" s="620"/>
    </row>
    <row r="82" spans="1:11" ht="12.75" hidden="1">
      <c r="A82" s="232"/>
      <c r="B82" s="232"/>
      <c r="C82" s="232"/>
      <c r="D82" s="227"/>
      <c r="E82" s="227" t="s">
        <v>638</v>
      </c>
      <c r="F82" s="228"/>
      <c r="G82" s="228">
        <v>0</v>
      </c>
      <c r="H82" s="228">
        <v>0</v>
      </c>
      <c r="I82" s="228">
        <v>0</v>
      </c>
      <c r="J82" s="229">
        <f t="shared" si="1"/>
        <v>0</v>
      </c>
      <c r="K82" s="620"/>
    </row>
    <row r="83" spans="1:11" ht="30" customHeight="1" hidden="1">
      <c r="A83" s="226"/>
      <c r="B83" s="226"/>
      <c r="C83" s="226"/>
      <c r="D83" s="226"/>
      <c r="E83" s="233" t="s">
        <v>677</v>
      </c>
      <c r="F83" s="228"/>
      <c r="G83" s="228">
        <v>0</v>
      </c>
      <c r="H83" s="228">
        <v>0</v>
      </c>
      <c r="I83" s="228">
        <v>0</v>
      </c>
      <c r="J83" s="229">
        <f t="shared" si="1"/>
        <v>0</v>
      </c>
      <c r="K83" s="620"/>
    </row>
    <row r="84" spans="1:11" ht="12.75" hidden="1">
      <c r="A84" s="232"/>
      <c r="B84" s="232"/>
      <c r="C84" s="232"/>
      <c r="D84" s="232"/>
      <c r="E84" s="227" t="s">
        <v>265</v>
      </c>
      <c r="F84" s="228"/>
      <c r="G84" s="228">
        <v>0</v>
      </c>
      <c r="H84" s="228">
        <v>0</v>
      </c>
      <c r="I84" s="228">
        <v>0</v>
      </c>
      <c r="J84" s="229">
        <f t="shared" si="1"/>
        <v>0</v>
      </c>
      <c r="K84" s="620"/>
    </row>
    <row r="85" spans="1:11" ht="12.75">
      <c r="A85" s="226"/>
      <c r="B85" s="226"/>
      <c r="C85" s="226"/>
      <c r="D85" s="226"/>
      <c r="E85" s="231" t="s">
        <v>266</v>
      </c>
      <c r="F85" s="228">
        <v>300000</v>
      </c>
      <c r="G85" s="228">
        <v>0</v>
      </c>
      <c r="H85" s="228">
        <v>0</v>
      </c>
      <c r="I85" s="228">
        <v>0</v>
      </c>
      <c r="J85" s="229">
        <f t="shared" si="1"/>
        <v>300000</v>
      </c>
      <c r="K85" s="620"/>
    </row>
    <row r="86" spans="1:11" s="217" customFormat="1" ht="12.75">
      <c r="A86" s="215" t="s">
        <v>267</v>
      </c>
      <c r="B86" s="969" t="s">
        <v>268</v>
      </c>
      <c r="C86" s="969"/>
      <c r="D86" s="969"/>
      <c r="E86" s="969"/>
      <c r="F86" s="216">
        <f>SUM(F87+F88+F91+F93+F100+F101+F102+F103+F110+F118+F119)</f>
        <v>50660943</v>
      </c>
      <c r="G86" s="216">
        <f>SUM(G87+G88+G91+G93+G100+G101+G102+G103+G110+G118+G119)</f>
        <v>5787349</v>
      </c>
      <c r="H86" s="216">
        <f>SUM(H87+H88+H91+H93+H100+H101+H102+H103+H110+H118+H119)</f>
        <v>1411725</v>
      </c>
      <c r="I86" s="216">
        <f>SUM(I87+I88+I91+I93+I100+I101+I102+I103+I110+I118+I119)</f>
        <v>6265700</v>
      </c>
      <c r="J86" s="216">
        <f t="shared" si="1"/>
        <v>64125717</v>
      </c>
      <c r="K86" s="617"/>
    </row>
    <row r="87" spans="1:11" ht="12.75">
      <c r="A87" s="221"/>
      <c r="B87" s="221"/>
      <c r="C87" s="221" t="s">
        <v>269</v>
      </c>
      <c r="D87" s="221" t="s">
        <v>550</v>
      </c>
      <c r="E87" s="221"/>
      <c r="F87" s="222">
        <f>9000000+500000</f>
        <v>9500000</v>
      </c>
      <c r="G87" s="222">
        <v>0</v>
      </c>
      <c r="H87" s="222">
        <v>0</v>
      </c>
      <c r="I87" s="222">
        <v>0</v>
      </c>
      <c r="J87" s="223">
        <f t="shared" si="1"/>
        <v>9500000</v>
      </c>
      <c r="K87" s="619"/>
    </row>
    <row r="88" spans="1:11" ht="12.75">
      <c r="A88" s="221"/>
      <c r="B88" s="221"/>
      <c r="C88" s="221" t="s">
        <v>270</v>
      </c>
      <c r="D88" s="221" t="s">
        <v>342</v>
      </c>
      <c r="E88" s="221"/>
      <c r="F88" s="222">
        <f>6000000+10142978</f>
        <v>16142978</v>
      </c>
      <c r="G88" s="222">
        <v>250000</v>
      </c>
      <c r="H88" s="222">
        <v>0</v>
      </c>
      <c r="I88" s="222">
        <f>90000+4520000+536221</f>
        <v>5146221</v>
      </c>
      <c r="J88" s="223">
        <f t="shared" si="1"/>
        <v>21539199</v>
      </c>
      <c r="K88" s="619"/>
    </row>
    <row r="89" spans="1:11" ht="12.75">
      <c r="A89" s="226"/>
      <c r="B89" s="226"/>
      <c r="C89" s="227" t="s">
        <v>2</v>
      </c>
      <c r="D89" s="227"/>
      <c r="E89" s="227" t="s">
        <v>271</v>
      </c>
      <c r="F89" s="234">
        <v>10142978</v>
      </c>
      <c r="G89" s="234">
        <v>0</v>
      </c>
      <c r="H89" s="228">
        <v>0</v>
      </c>
      <c r="I89" s="228">
        <v>320000</v>
      </c>
      <c r="J89" s="229">
        <f t="shared" si="1"/>
        <v>10462978</v>
      </c>
      <c r="K89" s="620"/>
    </row>
    <row r="90" spans="1:11" ht="12.75" hidden="1">
      <c r="A90" s="226"/>
      <c r="B90" s="226"/>
      <c r="C90" s="227"/>
      <c r="D90" s="227"/>
      <c r="E90" s="227" t="s">
        <v>907</v>
      </c>
      <c r="F90" s="228"/>
      <c r="G90" s="228">
        <v>0</v>
      </c>
      <c r="H90" s="228">
        <v>0</v>
      </c>
      <c r="I90" s="228">
        <v>0</v>
      </c>
      <c r="J90" s="229">
        <f t="shared" si="1"/>
        <v>0</v>
      </c>
      <c r="K90" s="620"/>
    </row>
    <row r="91" spans="1:11" ht="12.75">
      <c r="A91" s="221"/>
      <c r="B91" s="221"/>
      <c r="C91" s="221" t="s">
        <v>272</v>
      </c>
      <c r="D91" s="221" t="s">
        <v>273</v>
      </c>
      <c r="E91" s="221"/>
      <c r="F91" s="222">
        <f>472000+2666578</f>
        <v>3138578</v>
      </c>
      <c r="G91" s="222">
        <v>4549259</v>
      </c>
      <c r="H91" s="222">
        <v>0</v>
      </c>
      <c r="I91" s="222">
        <v>0</v>
      </c>
      <c r="J91" s="223">
        <f t="shared" si="1"/>
        <v>7687837</v>
      </c>
      <c r="K91" s="619"/>
    </row>
    <row r="92" spans="1:11" ht="12.75">
      <c r="A92" s="226"/>
      <c r="B92" s="226"/>
      <c r="C92" s="227" t="s">
        <v>2</v>
      </c>
      <c r="D92" s="227"/>
      <c r="E92" s="227" t="s">
        <v>7</v>
      </c>
      <c r="F92" s="228">
        <f>370000+1528712</f>
        <v>1898712</v>
      </c>
      <c r="G92" s="228">
        <v>688235</v>
      </c>
      <c r="H92" s="228">
        <v>0</v>
      </c>
      <c r="I92" s="228">
        <v>0</v>
      </c>
      <c r="J92" s="229">
        <f t="shared" si="1"/>
        <v>2586947</v>
      </c>
      <c r="K92" s="620"/>
    </row>
    <row r="93" spans="1:11" ht="12.75">
      <c r="A93" s="221"/>
      <c r="B93" s="221"/>
      <c r="C93" s="221" t="s">
        <v>274</v>
      </c>
      <c r="D93" s="221" t="s">
        <v>275</v>
      </c>
      <c r="E93" s="221"/>
      <c r="F93" s="222">
        <f>15000+731000</f>
        <v>746000</v>
      </c>
      <c r="G93" s="222">
        <v>0</v>
      </c>
      <c r="H93" s="222">
        <v>0</v>
      </c>
      <c r="I93" s="222">
        <v>0</v>
      </c>
      <c r="J93" s="223">
        <f t="shared" si="1"/>
        <v>746000</v>
      </c>
      <c r="K93" s="619"/>
    </row>
    <row r="94" spans="1:11" ht="12.75" hidden="1">
      <c r="A94" s="226"/>
      <c r="B94" s="226"/>
      <c r="C94" s="227" t="s">
        <v>2</v>
      </c>
      <c r="D94" s="227"/>
      <c r="E94" s="227" t="s">
        <v>276</v>
      </c>
      <c r="F94" s="228"/>
      <c r="G94" s="228">
        <v>0</v>
      </c>
      <c r="H94" s="228">
        <v>0</v>
      </c>
      <c r="I94" s="228">
        <v>0</v>
      </c>
      <c r="J94" s="229">
        <f t="shared" si="1"/>
        <v>0</v>
      </c>
      <c r="K94" s="620"/>
    </row>
    <row r="95" spans="1:11" ht="12.75" hidden="1">
      <c r="A95" s="226"/>
      <c r="B95" s="226"/>
      <c r="C95" s="227"/>
      <c r="D95" s="227"/>
      <c r="E95" s="227" t="s">
        <v>678</v>
      </c>
      <c r="F95" s="228"/>
      <c r="G95" s="228">
        <v>0</v>
      </c>
      <c r="H95" s="228">
        <v>0</v>
      </c>
      <c r="I95" s="228">
        <v>0</v>
      </c>
      <c r="J95" s="229">
        <f t="shared" si="1"/>
        <v>0</v>
      </c>
      <c r="K95" s="620"/>
    </row>
    <row r="96" spans="1:11" ht="12" customHeight="1">
      <c r="A96" s="226"/>
      <c r="B96" s="226"/>
      <c r="C96" s="227" t="s">
        <v>2</v>
      </c>
      <c r="D96" s="227"/>
      <c r="E96" s="227" t="s">
        <v>679</v>
      </c>
      <c r="F96" s="228">
        <f>15000+481000</f>
        <v>496000</v>
      </c>
      <c r="G96" s="228">
        <v>0</v>
      </c>
      <c r="H96" s="228">
        <v>0</v>
      </c>
      <c r="I96" s="228">
        <v>0</v>
      </c>
      <c r="J96" s="229">
        <f t="shared" si="1"/>
        <v>496000</v>
      </c>
      <c r="K96" s="620"/>
    </row>
    <row r="97" spans="1:11" ht="12.75" hidden="1">
      <c r="A97" s="226"/>
      <c r="B97" s="226"/>
      <c r="C97" s="227"/>
      <c r="D97" s="227"/>
      <c r="E97" s="227" t="s">
        <v>680</v>
      </c>
      <c r="F97" s="228"/>
      <c r="G97" s="228">
        <v>0</v>
      </c>
      <c r="H97" s="228">
        <v>0</v>
      </c>
      <c r="I97" s="228">
        <v>0</v>
      </c>
      <c r="J97" s="229">
        <f t="shared" si="1"/>
        <v>0</v>
      </c>
      <c r="K97" s="620"/>
    </row>
    <row r="98" spans="1:11" ht="12.75" hidden="1">
      <c r="A98" s="226"/>
      <c r="B98" s="226"/>
      <c r="C98" s="227"/>
      <c r="D98" s="227"/>
      <c r="E98" s="227" t="s">
        <v>681</v>
      </c>
      <c r="F98" s="228"/>
      <c r="G98" s="228">
        <v>0</v>
      </c>
      <c r="H98" s="228">
        <v>0</v>
      </c>
      <c r="I98" s="228">
        <v>0</v>
      </c>
      <c r="J98" s="229">
        <f t="shared" si="1"/>
        <v>0</v>
      </c>
      <c r="K98" s="620"/>
    </row>
    <row r="99" spans="1:11" ht="12.75" hidden="1">
      <c r="A99" s="226"/>
      <c r="B99" s="226"/>
      <c r="C99" s="227"/>
      <c r="D99" s="227"/>
      <c r="E99" s="227" t="s">
        <v>551</v>
      </c>
      <c r="F99" s="228"/>
      <c r="G99" s="228">
        <v>0</v>
      </c>
      <c r="H99" s="228">
        <v>0</v>
      </c>
      <c r="I99" s="228">
        <v>0</v>
      </c>
      <c r="J99" s="229">
        <f t="shared" si="1"/>
        <v>0</v>
      </c>
      <c r="K99" s="620"/>
    </row>
    <row r="100" spans="1:11" ht="12.75">
      <c r="A100" s="221"/>
      <c r="B100" s="221"/>
      <c r="C100" s="221" t="s">
        <v>277</v>
      </c>
      <c r="D100" s="221" t="s">
        <v>278</v>
      </c>
      <c r="E100" s="221"/>
      <c r="F100" s="222">
        <v>5925110</v>
      </c>
      <c r="G100" s="222">
        <v>0</v>
      </c>
      <c r="H100" s="222">
        <v>1111594</v>
      </c>
      <c r="I100" s="222">
        <v>0</v>
      </c>
      <c r="J100" s="223">
        <f t="shared" si="1"/>
        <v>7036704</v>
      </c>
      <c r="K100" s="619"/>
    </row>
    <row r="101" spans="1:11" ht="12.75">
      <c r="A101" s="221"/>
      <c r="B101" s="221"/>
      <c r="C101" s="221" t="s">
        <v>279</v>
      </c>
      <c r="D101" s="221" t="s">
        <v>280</v>
      </c>
      <c r="E101" s="221"/>
      <c r="F101" s="222">
        <f>1599780+1755000+127440+686046</f>
        <v>4168266</v>
      </c>
      <c r="G101" s="222">
        <v>988090</v>
      </c>
      <c r="H101" s="222">
        <v>300131</v>
      </c>
      <c r="I101" s="222">
        <f>24300+950400+144779</f>
        <v>1119479</v>
      </c>
      <c r="J101" s="223">
        <f t="shared" si="1"/>
        <v>6575966</v>
      </c>
      <c r="K101" s="619"/>
    </row>
    <row r="102" spans="1:11" ht="12.75">
      <c r="A102" s="221"/>
      <c r="B102" s="221"/>
      <c r="C102" s="221" t="s">
        <v>281</v>
      </c>
      <c r="D102" s="221" t="s">
        <v>282</v>
      </c>
      <c r="E102" s="221"/>
      <c r="F102" s="222">
        <v>0</v>
      </c>
      <c r="G102" s="222">
        <v>0</v>
      </c>
      <c r="H102" s="222">
        <v>0</v>
      </c>
      <c r="I102" s="222">
        <v>0</v>
      </c>
      <c r="J102" s="223">
        <f t="shared" si="1"/>
        <v>0</v>
      </c>
      <c r="K102" s="619"/>
    </row>
    <row r="103" spans="1:11" ht="12" customHeight="1">
      <c r="A103" s="221"/>
      <c r="B103" s="221"/>
      <c r="C103" s="221" t="s">
        <v>283</v>
      </c>
      <c r="D103" s="221" t="s">
        <v>594</v>
      </c>
      <c r="E103" s="221"/>
      <c r="F103" s="222">
        <v>500</v>
      </c>
      <c r="G103" s="222">
        <f>SUM(G104+G107)</f>
        <v>0</v>
      </c>
      <c r="H103" s="222">
        <f>SUM(H104+H107)</f>
        <v>0</v>
      </c>
      <c r="I103" s="222">
        <f>SUM(I104+I107)</f>
        <v>0</v>
      </c>
      <c r="J103" s="223">
        <f t="shared" si="1"/>
        <v>500</v>
      </c>
      <c r="K103" s="619"/>
    </row>
    <row r="104" spans="1:11" ht="12.75" hidden="1">
      <c r="A104" s="221"/>
      <c r="B104" s="221"/>
      <c r="C104" s="227"/>
      <c r="D104" s="972" t="s">
        <v>682</v>
      </c>
      <c r="E104" s="973"/>
      <c r="F104" s="228"/>
      <c r="G104" s="228">
        <v>0</v>
      </c>
      <c r="H104" s="228">
        <v>0</v>
      </c>
      <c r="I104" s="228">
        <v>0</v>
      </c>
      <c r="J104" s="229">
        <f t="shared" si="1"/>
        <v>0</v>
      </c>
      <c r="K104" s="620"/>
    </row>
    <row r="105" spans="1:11" ht="12.75" hidden="1">
      <c r="A105" s="221"/>
      <c r="B105" s="221"/>
      <c r="C105" s="221" t="s">
        <v>2</v>
      </c>
      <c r="D105" s="221"/>
      <c r="E105" s="227" t="s">
        <v>7</v>
      </c>
      <c r="F105" s="228"/>
      <c r="G105" s="228">
        <v>0</v>
      </c>
      <c r="H105" s="228">
        <v>0</v>
      </c>
      <c r="I105" s="228">
        <v>0</v>
      </c>
      <c r="J105" s="229">
        <f t="shared" si="1"/>
        <v>0</v>
      </c>
      <c r="K105" s="620"/>
    </row>
    <row r="106" spans="1:11" ht="12.75" hidden="1">
      <c r="A106" s="221"/>
      <c r="B106" s="221"/>
      <c r="C106" s="221"/>
      <c r="D106" s="221"/>
      <c r="E106" s="227" t="s">
        <v>683</v>
      </c>
      <c r="F106" s="228"/>
      <c r="G106" s="228">
        <v>0</v>
      </c>
      <c r="H106" s="228">
        <v>0</v>
      </c>
      <c r="I106" s="228">
        <v>0</v>
      </c>
      <c r="J106" s="229">
        <f t="shared" si="1"/>
        <v>0</v>
      </c>
      <c r="K106" s="620"/>
    </row>
    <row r="107" spans="1:11" ht="12.75">
      <c r="A107" s="221"/>
      <c r="B107" s="221"/>
      <c r="C107" s="221" t="s">
        <v>2</v>
      </c>
      <c r="D107" s="972" t="s">
        <v>596</v>
      </c>
      <c r="E107" s="973"/>
      <c r="F107" s="228">
        <v>0</v>
      </c>
      <c r="G107" s="228">
        <v>0</v>
      </c>
      <c r="H107" s="228">
        <v>0</v>
      </c>
      <c r="I107" s="228">
        <v>0</v>
      </c>
      <c r="J107" s="229">
        <f t="shared" si="1"/>
        <v>0</v>
      </c>
      <c r="K107" s="620"/>
    </row>
    <row r="108" spans="1:11" ht="12.75" hidden="1">
      <c r="A108" s="221"/>
      <c r="B108" s="221"/>
      <c r="C108" s="221"/>
      <c r="D108" s="221"/>
      <c r="E108" s="227" t="s">
        <v>7</v>
      </c>
      <c r="F108" s="228"/>
      <c r="G108" s="228">
        <v>0</v>
      </c>
      <c r="H108" s="228">
        <v>0</v>
      </c>
      <c r="I108" s="228">
        <v>0</v>
      </c>
      <c r="J108" s="229">
        <f t="shared" si="1"/>
        <v>0</v>
      </c>
      <c r="K108" s="620"/>
    </row>
    <row r="109" spans="1:11" ht="12.75" hidden="1">
      <c r="A109" s="221"/>
      <c r="B109" s="221"/>
      <c r="C109" s="221"/>
      <c r="D109" s="221"/>
      <c r="E109" s="227" t="s">
        <v>552</v>
      </c>
      <c r="F109" s="228"/>
      <c r="G109" s="228">
        <v>0</v>
      </c>
      <c r="H109" s="228">
        <v>0</v>
      </c>
      <c r="I109" s="228">
        <v>0</v>
      </c>
      <c r="J109" s="229">
        <f t="shared" si="1"/>
        <v>0</v>
      </c>
      <c r="K109" s="620"/>
    </row>
    <row r="110" spans="1:11" ht="12.75">
      <c r="A110" s="221"/>
      <c r="B110" s="221"/>
      <c r="C110" s="221" t="s">
        <v>284</v>
      </c>
      <c r="D110" s="221" t="s">
        <v>599</v>
      </c>
      <c r="E110" s="221"/>
      <c r="F110" s="222">
        <v>0</v>
      </c>
      <c r="G110" s="222">
        <f>SUM(G111:G112)</f>
        <v>0</v>
      </c>
      <c r="H110" s="222">
        <f>SUM(H111:H112)</f>
        <v>0</v>
      </c>
      <c r="I110" s="222">
        <f>SUM(I111:I112)</f>
        <v>0</v>
      </c>
      <c r="J110" s="223">
        <f t="shared" si="1"/>
        <v>0</v>
      </c>
      <c r="K110" s="619"/>
    </row>
    <row r="111" spans="1:11" ht="12.75" hidden="1">
      <c r="A111" s="221"/>
      <c r="B111" s="221"/>
      <c r="C111" s="221"/>
      <c r="D111" s="972" t="s">
        <v>597</v>
      </c>
      <c r="E111" s="973"/>
      <c r="F111" s="222"/>
      <c r="G111" s="222">
        <v>0</v>
      </c>
      <c r="H111" s="222">
        <v>0</v>
      </c>
      <c r="I111" s="222">
        <v>0</v>
      </c>
      <c r="J111" s="223">
        <f t="shared" si="1"/>
        <v>0</v>
      </c>
      <c r="K111" s="619"/>
    </row>
    <row r="112" spans="1:11" ht="12.75" hidden="1">
      <c r="A112" s="221"/>
      <c r="B112" s="221"/>
      <c r="C112" s="221"/>
      <c r="D112" s="972" t="s">
        <v>598</v>
      </c>
      <c r="E112" s="973"/>
      <c r="F112" s="222"/>
      <c r="G112" s="222">
        <v>0</v>
      </c>
      <c r="H112" s="222">
        <v>0</v>
      </c>
      <c r="I112" s="222">
        <v>0</v>
      </c>
      <c r="J112" s="223">
        <f t="shared" si="1"/>
        <v>0</v>
      </c>
      <c r="K112" s="619"/>
    </row>
    <row r="113" spans="1:11" ht="12.75" hidden="1">
      <c r="A113" s="221"/>
      <c r="B113" s="221"/>
      <c r="C113" s="221" t="s">
        <v>2</v>
      </c>
      <c r="D113" s="221"/>
      <c r="E113" s="227" t="s">
        <v>600</v>
      </c>
      <c r="F113" s="222"/>
      <c r="G113" s="222">
        <v>0</v>
      </c>
      <c r="H113" s="222">
        <v>0</v>
      </c>
      <c r="I113" s="222">
        <v>0</v>
      </c>
      <c r="J113" s="223">
        <f t="shared" si="1"/>
        <v>0</v>
      </c>
      <c r="K113" s="619"/>
    </row>
    <row r="114" spans="1:11" ht="12.75" hidden="1">
      <c r="A114" s="221"/>
      <c r="B114" s="221"/>
      <c r="C114" s="221"/>
      <c r="D114" s="221"/>
      <c r="E114" s="227" t="s">
        <v>595</v>
      </c>
      <c r="F114" s="222"/>
      <c r="G114" s="222">
        <v>0</v>
      </c>
      <c r="H114" s="222">
        <v>0</v>
      </c>
      <c r="I114" s="222">
        <v>0</v>
      </c>
      <c r="J114" s="223">
        <f t="shared" si="1"/>
        <v>0</v>
      </c>
      <c r="K114" s="619"/>
    </row>
    <row r="115" spans="1:11" ht="12.75" hidden="1">
      <c r="A115" s="221"/>
      <c r="B115" s="221"/>
      <c r="C115" s="221"/>
      <c r="D115" s="221"/>
      <c r="E115" s="227" t="s">
        <v>601</v>
      </c>
      <c r="F115" s="222"/>
      <c r="G115" s="222">
        <v>0</v>
      </c>
      <c r="H115" s="222">
        <v>0</v>
      </c>
      <c r="I115" s="222">
        <v>0</v>
      </c>
      <c r="J115" s="223">
        <f t="shared" si="1"/>
        <v>0</v>
      </c>
      <c r="K115" s="619"/>
    </row>
    <row r="116" spans="1:11" ht="12.75" hidden="1">
      <c r="A116" s="221"/>
      <c r="B116" s="221"/>
      <c r="C116" s="221"/>
      <c r="D116" s="221"/>
      <c r="E116" s="227" t="s">
        <v>602</v>
      </c>
      <c r="F116" s="222"/>
      <c r="G116" s="222">
        <v>0</v>
      </c>
      <c r="H116" s="222">
        <v>0</v>
      </c>
      <c r="I116" s="222">
        <v>0</v>
      </c>
      <c r="J116" s="223">
        <f t="shared" si="1"/>
        <v>0</v>
      </c>
      <c r="K116" s="619"/>
    </row>
    <row r="117" spans="1:11" ht="12.75" hidden="1">
      <c r="A117" s="221"/>
      <c r="B117" s="221"/>
      <c r="C117" s="221"/>
      <c r="D117" s="221"/>
      <c r="E117" s="227" t="s">
        <v>603</v>
      </c>
      <c r="F117" s="222"/>
      <c r="G117" s="222">
        <v>0</v>
      </c>
      <c r="H117" s="222">
        <v>0</v>
      </c>
      <c r="I117" s="222">
        <v>0</v>
      </c>
      <c r="J117" s="223">
        <f t="shared" si="1"/>
        <v>0</v>
      </c>
      <c r="K117" s="619"/>
    </row>
    <row r="118" spans="1:11" ht="12.75">
      <c r="A118" s="221"/>
      <c r="B118" s="221"/>
      <c r="C118" s="221" t="s">
        <v>285</v>
      </c>
      <c r="D118" s="221" t="s">
        <v>553</v>
      </c>
      <c r="E118" s="221"/>
      <c r="F118" s="222">
        <v>0</v>
      </c>
      <c r="G118" s="222">
        <v>0</v>
      </c>
      <c r="H118" s="222">
        <v>0</v>
      </c>
      <c r="I118" s="222">
        <v>0</v>
      </c>
      <c r="J118" s="223">
        <f t="shared" si="1"/>
        <v>0</v>
      </c>
      <c r="K118" s="619"/>
    </row>
    <row r="119" spans="1:11" ht="22.5" customHeight="1">
      <c r="A119" s="221"/>
      <c r="B119" s="221"/>
      <c r="C119" s="883" t="s">
        <v>554</v>
      </c>
      <c r="D119" s="971" t="s">
        <v>555</v>
      </c>
      <c r="E119" s="971"/>
      <c r="F119" s="927">
        <f>80000+10959511</f>
        <v>11039511</v>
      </c>
      <c r="G119" s="927">
        <v>0</v>
      </c>
      <c r="H119" s="927">
        <v>0</v>
      </c>
      <c r="I119" s="927">
        <v>0</v>
      </c>
      <c r="J119" s="928">
        <f t="shared" si="1"/>
        <v>11039511</v>
      </c>
      <c r="K119" s="619"/>
    </row>
    <row r="120" spans="1:11" ht="45.75" customHeight="1" hidden="1">
      <c r="A120" s="225"/>
      <c r="B120" s="225"/>
      <c r="C120" s="235" t="s">
        <v>2</v>
      </c>
      <c r="D120" s="233" t="s">
        <v>449</v>
      </c>
      <c r="E120" s="233" t="s">
        <v>577</v>
      </c>
      <c r="F120" s="228">
        <v>0</v>
      </c>
      <c r="G120" s="228">
        <v>0</v>
      </c>
      <c r="H120" s="228">
        <v>0</v>
      </c>
      <c r="I120" s="228">
        <v>0</v>
      </c>
      <c r="J120" s="229">
        <f t="shared" si="1"/>
        <v>0</v>
      </c>
      <c r="K120" s="620"/>
    </row>
    <row r="121" spans="1:11" ht="13.5" customHeight="1" hidden="1">
      <c r="A121" s="226"/>
      <c r="B121" s="226"/>
      <c r="C121" s="226"/>
      <c r="D121" s="227" t="s">
        <v>449</v>
      </c>
      <c r="E121" s="236" t="s">
        <v>604</v>
      </c>
      <c r="F121" s="228"/>
      <c r="G121" s="228">
        <v>0</v>
      </c>
      <c r="H121" s="228">
        <v>0</v>
      </c>
      <c r="I121" s="228">
        <v>0</v>
      </c>
      <c r="J121" s="229">
        <f t="shared" si="1"/>
        <v>0</v>
      </c>
      <c r="K121" s="620"/>
    </row>
    <row r="122" spans="1:11" s="217" customFormat="1" ht="12.75">
      <c r="A122" s="215" t="s">
        <v>286</v>
      </c>
      <c r="B122" s="969" t="s">
        <v>287</v>
      </c>
      <c r="C122" s="969"/>
      <c r="D122" s="969"/>
      <c r="E122" s="969"/>
      <c r="F122" s="216">
        <f>SUM(F123+F125+F127+F128+F129)</f>
        <v>46906964</v>
      </c>
      <c r="G122" s="216">
        <f>SUM(G123+G125+G127+G128+G129)</f>
        <v>0</v>
      </c>
      <c r="H122" s="216">
        <f>SUM(H123+H125+H127+H128+H129)</f>
        <v>0</v>
      </c>
      <c r="I122" s="216">
        <f>SUM(I123+I125+I127+I128+I129)</f>
        <v>0</v>
      </c>
      <c r="J122" s="216">
        <f t="shared" si="1"/>
        <v>46906964</v>
      </c>
      <c r="K122" s="617"/>
    </row>
    <row r="123" spans="1:11" ht="12.75">
      <c r="A123" s="218"/>
      <c r="B123" s="218" t="s">
        <v>288</v>
      </c>
      <c r="C123" s="961" t="s">
        <v>343</v>
      </c>
      <c r="D123" s="961"/>
      <c r="E123" s="961"/>
      <c r="F123" s="219">
        <v>0</v>
      </c>
      <c r="G123" s="219">
        <v>0</v>
      </c>
      <c r="H123" s="219">
        <v>0</v>
      </c>
      <c r="I123" s="219">
        <v>0</v>
      </c>
      <c r="J123" s="220">
        <f t="shared" si="1"/>
        <v>0</v>
      </c>
      <c r="K123" s="618"/>
    </row>
    <row r="124" spans="1:11" ht="12.75" hidden="1">
      <c r="A124" s="226"/>
      <c r="B124" s="226"/>
      <c r="C124" s="227" t="s">
        <v>2</v>
      </c>
      <c r="D124" s="227" t="s">
        <v>449</v>
      </c>
      <c r="E124" s="227" t="s">
        <v>655</v>
      </c>
      <c r="F124" s="228">
        <v>0</v>
      </c>
      <c r="G124" s="228">
        <v>0</v>
      </c>
      <c r="H124" s="228">
        <v>0</v>
      </c>
      <c r="I124" s="228">
        <v>0</v>
      </c>
      <c r="J124" s="229">
        <f t="shared" si="1"/>
        <v>0</v>
      </c>
      <c r="K124" s="620"/>
    </row>
    <row r="125" spans="1:11" ht="12.75">
      <c r="A125" s="218"/>
      <c r="B125" s="218" t="s">
        <v>289</v>
      </c>
      <c r="C125" s="961" t="s">
        <v>290</v>
      </c>
      <c r="D125" s="961"/>
      <c r="E125" s="961"/>
      <c r="F125" s="219">
        <f>44406964+1500000+1000000</f>
        <v>46906964</v>
      </c>
      <c r="G125" s="219">
        <v>0</v>
      </c>
      <c r="H125" s="219">
        <v>0</v>
      </c>
      <c r="I125" s="219">
        <v>0</v>
      </c>
      <c r="J125" s="220">
        <f t="shared" si="1"/>
        <v>46906964</v>
      </c>
      <c r="K125" s="618"/>
    </row>
    <row r="126" spans="1:11" ht="12.75" hidden="1">
      <c r="A126" s="226"/>
      <c r="B126" s="226"/>
      <c r="C126" s="227" t="s">
        <v>2</v>
      </c>
      <c r="D126" s="227" t="s">
        <v>449</v>
      </c>
      <c r="E126" s="227" t="s">
        <v>291</v>
      </c>
      <c r="F126" s="228">
        <v>0</v>
      </c>
      <c r="G126" s="228">
        <v>0</v>
      </c>
      <c r="H126" s="228">
        <v>0</v>
      </c>
      <c r="I126" s="228">
        <v>0</v>
      </c>
      <c r="J126" s="229">
        <f t="shared" si="1"/>
        <v>0</v>
      </c>
      <c r="K126" s="620"/>
    </row>
    <row r="127" spans="1:11" ht="12.75" hidden="1">
      <c r="A127" s="218"/>
      <c r="B127" s="218" t="s">
        <v>292</v>
      </c>
      <c r="C127" s="961" t="s">
        <v>293</v>
      </c>
      <c r="D127" s="961"/>
      <c r="E127" s="961"/>
      <c r="F127" s="219">
        <v>0</v>
      </c>
      <c r="G127" s="219">
        <v>0</v>
      </c>
      <c r="H127" s="219">
        <v>0</v>
      </c>
      <c r="I127" s="219">
        <v>0</v>
      </c>
      <c r="J127" s="220">
        <f t="shared" si="1"/>
        <v>0</v>
      </c>
      <c r="K127" s="618"/>
    </row>
    <row r="128" spans="1:11" ht="12.75" hidden="1">
      <c r="A128" s="218"/>
      <c r="B128" s="218" t="s">
        <v>294</v>
      </c>
      <c r="C128" s="961" t="s">
        <v>295</v>
      </c>
      <c r="D128" s="961"/>
      <c r="E128" s="961"/>
      <c r="F128" s="219">
        <v>0</v>
      </c>
      <c r="G128" s="219">
        <v>0</v>
      </c>
      <c r="H128" s="219">
        <v>0</v>
      </c>
      <c r="I128" s="219">
        <v>0</v>
      </c>
      <c r="J128" s="220">
        <f t="shared" si="1"/>
        <v>0</v>
      </c>
      <c r="K128" s="618"/>
    </row>
    <row r="129" spans="1:11" ht="12.75" hidden="1">
      <c r="A129" s="218"/>
      <c r="B129" s="218" t="s">
        <v>296</v>
      </c>
      <c r="C129" s="961" t="s">
        <v>297</v>
      </c>
      <c r="D129" s="961"/>
      <c r="E129" s="961"/>
      <c r="F129" s="219">
        <v>0</v>
      </c>
      <c r="G129" s="219">
        <v>0</v>
      </c>
      <c r="H129" s="219">
        <v>0</v>
      </c>
      <c r="I129" s="219">
        <v>0</v>
      </c>
      <c r="J129" s="220">
        <f t="shared" si="1"/>
        <v>0</v>
      </c>
      <c r="K129" s="618"/>
    </row>
    <row r="130" spans="1:11" s="217" customFormat="1" ht="12" customHeight="1">
      <c r="A130" s="215" t="s">
        <v>298</v>
      </c>
      <c r="B130" s="969" t="s">
        <v>299</v>
      </c>
      <c r="C130" s="969"/>
      <c r="D130" s="969"/>
      <c r="E130" s="969"/>
      <c r="F130" s="216">
        <f>SUM(F131+F132+F133+F134+F144)</f>
        <v>0</v>
      </c>
      <c r="G130" s="216">
        <f>SUM(G131+G132+G133+G134+G144)</f>
        <v>0</v>
      </c>
      <c r="H130" s="216">
        <f>SUM(H131+H132+H133+H134+H144)</f>
        <v>0</v>
      </c>
      <c r="I130" s="216">
        <f>SUM(I131+I132+I133+I134+I144)</f>
        <v>0</v>
      </c>
      <c r="J130" s="216">
        <f t="shared" si="1"/>
        <v>0</v>
      </c>
      <c r="K130" s="617"/>
    </row>
    <row r="131" spans="1:11" ht="12.75" hidden="1">
      <c r="A131" s="218"/>
      <c r="B131" s="218" t="s">
        <v>300</v>
      </c>
      <c r="C131" s="961" t="s">
        <v>684</v>
      </c>
      <c r="D131" s="961"/>
      <c r="E131" s="961"/>
      <c r="F131" s="219">
        <v>0</v>
      </c>
      <c r="G131" s="219">
        <v>0</v>
      </c>
      <c r="H131" s="219">
        <v>0</v>
      </c>
      <c r="I131" s="219">
        <v>0</v>
      </c>
      <c r="J131" s="220">
        <f t="shared" si="1"/>
        <v>0</v>
      </c>
      <c r="K131" s="618"/>
    </row>
    <row r="132" spans="1:11" ht="12.75" hidden="1">
      <c r="A132" s="218"/>
      <c r="B132" s="218" t="s">
        <v>301</v>
      </c>
      <c r="C132" s="961" t="s">
        <v>685</v>
      </c>
      <c r="D132" s="961"/>
      <c r="E132" s="961"/>
      <c r="F132" s="219">
        <v>0</v>
      </c>
      <c r="G132" s="219">
        <v>0</v>
      </c>
      <c r="H132" s="219">
        <v>0</v>
      </c>
      <c r="I132" s="219">
        <v>0</v>
      </c>
      <c r="J132" s="220">
        <f t="shared" si="1"/>
        <v>0</v>
      </c>
      <c r="K132" s="618"/>
    </row>
    <row r="133" spans="1:11" ht="26.25" customHeight="1" hidden="1">
      <c r="A133" s="218"/>
      <c r="B133" s="218" t="s">
        <v>303</v>
      </c>
      <c r="C133" s="970" t="s">
        <v>686</v>
      </c>
      <c r="D133" s="970"/>
      <c r="E133" s="970"/>
      <c r="F133" s="219">
        <v>0</v>
      </c>
      <c r="G133" s="219">
        <v>0</v>
      </c>
      <c r="H133" s="219">
        <v>0</v>
      </c>
      <c r="I133" s="219">
        <v>0</v>
      </c>
      <c r="J133" s="220">
        <f t="shared" si="1"/>
        <v>0</v>
      </c>
      <c r="K133" s="618"/>
    </row>
    <row r="134" spans="1:11" ht="12.75" hidden="1">
      <c r="A134" s="218"/>
      <c r="B134" s="218" t="s">
        <v>556</v>
      </c>
      <c r="C134" s="961" t="s">
        <v>687</v>
      </c>
      <c r="D134" s="961"/>
      <c r="E134" s="961"/>
      <c r="F134" s="219">
        <f>SUM(F135:F143)</f>
        <v>0</v>
      </c>
      <c r="G134" s="219">
        <v>0</v>
      </c>
      <c r="H134" s="219">
        <v>0</v>
      </c>
      <c r="I134" s="219">
        <v>0</v>
      </c>
      <c r="J134" s="220">
        <f t="shared" si="1"/>
        <v>0</v>
      </c>
      <c r="K134" s="618"/>
    </row>
    <row r="135" spans="1:11" ht="12.75" hidden="1">
      <c r="A135" s="225"/>
      <c r="B135" s="225"/>
      <c r="C135" s="227" t="s">
        <v>2</v>
      </c>
      <c r="D135" s="227" t="s">
        <v>148</v>
      </c>
      <c r="E135" s="227" t="s">
        <v>175</v>
      </c>
      <c r="F135" s="228">
        <v>0</v>
      </c>
      <c r="G135" s="228">
        <v>0</v>
      </c>
      <c r="H135" s="228">
        <v>0</v>
      </c>
      <c r="I135" s="228">
        <v>0</v>
      </c>
      <c r="J135" s="229">
        <f t="shared" si="1"/>
        <v>0</v>
      </c>
      <c r="K135" s="620"/>
    </row>
    <row r="136" spans="1:11" ht="12.75" hidden="1">
      <c r="A136" s="225"/>
      <c r="B136" s="225"/>
      <c r="C136" s="227"/>
      <c r="D136" s="227" t="s">
        <v>150</v>
      </c>
      <c r="E136" s="227" t="s">
        <v>578</v>
      </c>
      <c r="F136" s="228">
        <v>0</v>
      </c>
      <c r="G136" s="228">
        <v>0</v>
      </c>
      <c r="H136" s="228">
        <v>0</v>
      </c>
      <c r="I136" s="228">
        <v>0</v>
      </c>
      <c r="J136" s="229">
        <f t="shared" si="1"/>
        <v>0</v>
      </c>
      <c r="K136" s="620"/>
    </row>
    <row r="137" spans="1:11" ht="12.75" hidden="1">
      <c r="A137" s="225"/>
      <c r="B137" s="225"/>
      <c r="C137" s="227"/>
      <c r="D137" s="227" t="s">
        <v>152</v>
      </c>
      <c r="E137" s="227" t="s">
        <v>176</v>
      </c>
      <c r="F137" s="228">
        <v>0</v>
      </c>
      <c r="G137" s="228">
        <v>0</v>
      </c>
      <c r="H137" s="228">
        <v>0</v>
      </c>
      <c r="I137" s="228">
        <v>0</v>
      </c>
      <c r="J137" s="229">
        <f aca="true" t="shared" si="2" ref="J137:J200">SUM(F137:I137)</f>
        <v>0</v>
      </c>
      <c r="K137" s="620"/>
    </row>
    <row r="138" spans="1:11" ht="12.75" hidden="1">
      <c r="A138" s="225"/>
      <c r="B138" s="225"/>
      <c r="C138" s="227"/>
      <c r="D138" s="227" t="s">
        <v>154</v>
      </c>
      <c r="E138" s="227" t="s">
        <v>177</v>
      </c>
      <c r="F138" s="228">
        <v>0</v>
      </c>
      <c r="G138" s="228">
        <v>0</v>
      </c>
      <c r="H138" s="228">
        <v>0</v>
      </c>
      <c r="I138" s="228">
        <v>0</v>
      </c>
      <c r="J138" s="229">
        <f t="shared" si="2"/>
        <v>0</v>
      </c>
      <c r="K138" s="620"/>
    </row>
    <row r="139" spans="1:11" ht="12.75" hidden="1">
      <c r="A139" s="225"/>
      <c r="B139" s="225"/>
      <c r="C139" s="227"/>
      <c r="D139" s="227" t="s">
        <v>156</v>
      </c>
      <c r="E139" s="227" t="s">
        <v>178</v>
      </c>
      <c r="F139" s="228">
        <v>0</v>
      </c>
      <c r="G139" s="228">
        <v>0</v>
      </c>
      <c r="H139" s="228">
        <v>0</v>
      </c>
      <c r="I139" s="228">
        <v>0</v>
      </c>
      <c r="J139" s="229">
        <f t="shared" si="2"/>
        <v>0</v>
      </c>
      <c r="K139" s="620"/>
    </row>
    <row r="140" spans="1:11" ht="12.75" hidden="1">
      <c r="A140" s="225"/>
      <c r="B140" s="225"/>
      <c r="C140" s="227"/>
      <c r="D140" s="227" t="s">
        <v>158</v>
      </c>
      <c r="E140" s="227" t="s">
        <v>539</v>
      </c>
      <c r="F140" s="228">
        <v>0</v>
      </c>
      <c r="G140" s="228">
        <v>0</v>
      </c>
      <c r="H140" s="228">
        <v>0</v>
      </c>
      <c r="I140" s="228">
        <v>0</v>
      </c>
      <c r="J140" s="229">
        <f t="shared" si="2"/>
        <v>0</v>
      </c>
      <c r="K140" s="620"/>
    </row>
    <row r="141" spans="1:11" ht="12.75" hidden="1">
      <c r="A141" s="225"/>
      <c r="B141" s="225"/>
      <c r="C141" s="227"/>
      <c r="D141" s="227" t="s">
        <v>160</v>
      </c>
      <c r="E141" s="227" t="s">
        <v>538</v>
      </c>
      <c r="F141" s="237">
        <v>0</v>
      </c>
      <c r="G141" s="228">
        <v>0</v>
      </c>
      <c r="H141" s="228">
        <v>0</v>
      </c>
      <c r="I141" s="228">
        <v>0</v>
      </c>
      <c r="J141" s="229">
        <f t="shared" si="2"/>
        <v>0</v>
      </c>
      <c r="K141" s="620"/>
    </row>
    <row r="142" spans="1:11" ht="12.75" hidden="1">
      <c r="A142" s="225"/>
      <c r="B142" s="225"/>
      <c r="C142" s="227"/>
      <c r="D142" s="227" t="s">
        <v>162</v>
      </c>
      <c r="E142" s="227" t="s">
        <v>181</v>
      </c>
      <c r="F142" s="228"/>
      <c r="G142" s="228">
        <v>0</v>
      </c>
      <c r="H142" s="228">
        <v>0</v>
      </c>
      <c r="I142" s="228">
        <v>0</v>
      </c>
      <c r="J142" s="229">
        <f t="shared" si="2"/>
        <v>0</v>
      </c>
      <c r="K142" s="620"/>
    </row>
    <row r="143" spans="1:11" ht="12.75" hidden="1">
      <c r="A143" s="225"/>
      <c r="B143" s="225"/>
      <c r="C143" s="227"/>
      <c r="D143" s="227" t="s">
        <v>164</v>
      </c>
      <c r="E143" s="227" t="s">
        <v>579</v>
      </c>
      <c r="F143" s="228">
        <v>0</v>
      </c>
      <c r="G143" s="228">
        <v>0</v>
      </c>
      <c r="H143" s="228">
        <v>0</v>
      </c>
      <c r="I143" s="228">
        <v>0</v>
      </c>
      <c r="J143" s="229">
        <f t="shared" si="2"/>
        <v>0</v>
      </c>
      <c r="K143" s="620"/>
    </row>
    <row r="144" spans="1:11" ht="12.75" hidden="1">
      <c r="A144" s="218"/>
      <c r="B144" s="218" t="s">
        <v>557</v>
      </c>
      <c r="C144" s="961" t="s">
        <v>656</v>
      </c>
      <c r="D144" s="961"/>
      <c r="E144" s="961"/>
      <c r="F144" s="219">
        <f>SUM(F145)</f>
        <v>0</v>
      </c>
      <c r="G144" s="219">
        <v>0</v>
      </c>
      <c r="H144" s="219">
        <v>0</v>
      </c>
      <c r="I144" s="219">
        <v>0</v>
      </c>
      <c r="J144" s="220">
        <f t="shared" si="2"/>
        <v>0</v>
      </c>
      <c r="K144" s="618"/>
    </row>
    <row r="145" spans="1:11" ht="12.75" hidden="1">
      <c r="A145" s="218"/>
      <c r="B145" s="218"/>
      <c r="C145" s="227" t="s">
        <v>2</v>
      </c>
      <c r="D145" s="611"/>
      <c r="E145" s="227" t="s">
        <v>177</v>
      </c>
      <c r="F145" s="228"/>
      <c r="G145" s="228">
        <v>0</v>
      </c>
      <c r="H145" s="228">
        <v>0</v>
      </c>
      <c r="I145" s="228">
        <v>0</v>
      </c>
      <c r="J145" s="229">
        <f>SUM(F145:I145)</f>
        <v>0</v>
      </c>
      <c r="K145" s="618"/>
    </row>
    <row r="146" spans="1:11" s="217" customFormat="1" ht="12.75">
      <c r="A146" s="215" t="s">
        <v>304</v>
      </c>
      <c r="B146" s="969" t="s">
        <v>305</v>
      </c>
      <c r="C146" s="969"/>
      <c r="D146" s="969"/>
      <c r="E146" s="969"/>
      <c r="F146" s="216">
        <f>SUM(F147+F148+F149+F150+F160)</f>
        <v>267460</v>
      </c>
      <c r="G146" s="216">
        <f>SUM(G147+G148+G149+G150+G160)</f>
        <v>0</v>
      </c>
      <c r="H146" s="216">
        <f>SUM(H147+H148+H149+H150+H160)</f>
        <v>0</v>
      </c>
      <c r="I146" s="216">
        <f>SUM(I147+I148+I149+I150+I160)</f>
        <v>0</v>
      </c>
      <c r="J146" s="216">
        <f t="shared" si="2"/>
        <v>267460</v>
      </c>
      <c r="K146" s="617"/>
    </row>
    <row r="147" spans="1:11" ht="12.75" hidden="1">
      <c r="A147" s="218"/>
      <c r="B147" s="218" t="s">
        <v>306</v>
      </c>
      <c r="C147" s="961" t="s">
        <v>688</v>
      </c>
      <c r="D147" s="961"/>
      <c r="E147" s="961"/>
      <c r="F147" s="219">
        <v>0</v>
      </c>
      <c r="G147" s="219">
        <v>0</v>
      </c>
      <c r="H147" s="219">
        <v>0</v>
      </c>
      <c r="I147" s="219">
        <v>0</v>
      </c>
      <c r="J147" s="220">
        <f t="shared" si="2"/>
        <v>0</v>
      </c>
      <c r="K147" s="618"/>
    </row>
    <row r="148" spans="1:11" ht="12.75" hidden="1">
      <c r="A148" s="218"/>
      <c r="B148" s="218" t="s">
        <v>307</v>
      </c>
      <c r="C148" s="961" t="s">
        <v>689</v>
      </c>
      <c r="D148" s="961"/>
      <c r="E148" s="961"/>
      <c r="F148" s="219">
        <v>0</v>
      </c>
      <c r="G148" s="219">
        <v>0</v>
      </c>
      <c r="H148" s="219">
        <v>0</v>
      </c>
      <c r="I148" s="219">
        <v>0</v>
      </c>
      <c r="J148" s="220">
        <f t="shared" si="2"/>
        <v>0</v>
      </c>
      <c r="K148" s="618"/>
    </row>
    <row r="149" spans="1:11" ht="25.5" customHeight="1" hidden="1">
      <c r="A149" s="218"/>
      <c r="B149" s="218" t="s">
        <v>308</v>
      </c>
      <c r="C149" s="970" t="s">
        <v>690</v>
      </c>
      <c r="D149" s="970"/>
      <c r="E149" s="970"/>
      <c r="F149" s="219">
        <v>0</v>
      </c>
      <c r="G149" s="219">
        <v>0</v>
      </c>
      <c r="H149" s="219">
        <v>0</v>
      </c>
      <c r="I149" s="219">
        <v>0</v>
      </c>
      <c r="J149" s="220">
        <f t="shared" si="2"/>
        <v>0</v>
      </c>
      <c r="K149" s="618"/>
    </row>
    <row r="150" spans="1:11" ht="12.75" hidden="1">
      <c r="A150" s="225"/>
      <c r="B150" s="218" t="s">
        <v>558</v>
      </c>
      <c r="C150" s="961" t="s">
        <v>691</v>
      </c>
      <c r="D150" s="961"/>
      <c r="E150" s="961"/>
      <c r="F150" s="219">
        <f>SUM(F151:F159)</f>
        <v>0</v>
      </c>
      <c r="G150" s="219">
        <f>SUM(G151:G159)</f>
        <v>0</v>
      </c>
      <c r="H150" s="219">
        <f>SUM(H151:H159)</f>
        <v>0</v>
      </c>
      <c r="I150" s="219">
        <f>SUM(I151:I159)</f>
        <v>0</v>
      </c>
      <c r="J150" s="220">
        <f t="shared" si="2"/>
        <v>0</v>
      </c>
      <c r="K150" s="618"/>
    </row>
    <row r="151" spans="1:11" ht="12.75" hidden="1">
      <c r="A151" s="225"/>
      <c r="B151" s="225"/>
      <c r="C151" s="227" t="s">
        <v>2</v>
      </c>
      <c r="D151" s="227" t="s">
        <v>148</v>
      </c>
      <c r="E151" s="227" t="s">
        <v>175</v>
      </c>
      <c r="F151" s="228">
        <v>0</v>
      </c>
      <c r="G151" s="228">
        <v>0</v>
      </c>
      <c r="H151" s="228">
        <v>0</v>
      </c>
      <c r="I151" s="228">
        <v>0</v>
      </c>
      <c r="J151" s="229">
        <f t="shared" si="2"/>
        <v>0</v>
      </c>
      <c r="K151" s="620"/>
    </row>
    <row r="152" spans="1:11" ht="12.75" hidden="1">
      <c r="A152" s="225"/>
      <c r="B152" s="225"/>
      <c r="C152" s="227"/>
      <c r="D152" s="227" t="s">
        <v>150</v>
      </c>
      <c r="E152" s="227" t="s">
        <v>578</v>
      </c>
      <c r="F152" s="228">
        <v>0</v>
      </c>
      <c r="G152" s="228">
        <v>0</v>
      </c>
      <c r="H152" s="228">
        <v>0</v>
      </c>
      <c r="I152" s="228">
        <v>0</v>
      </c>
      <c r="J152" s="229">
        <f t="shared" si="2"/>
        <v>0</v>
      </c>
      <c r="K152" s="620"/>
    </row>
    <row r="153" spans="1:11" ht="12.75" hidden="1">
      <c r="A153" s="225"/>
      <c r="B153" s="225"/>
      <c r="C153" s="227"/>
      <c r="D153" s="227" t="s">
        <v>152</v>
      </c>
      <c r="E153" s="227" t="s">
        <v>176</v>
      </c>
      <c r="F153" s="228">
        <v>0</v>
      </c>
      <c r="G153" s="228">
        <v>0</v>
      </c>
      <c r="H153" s="228">
        <v>0</v>
      </c>
      <c r="I153" s="228">
        <v>0</v>
      </c>
      <c r="J153" s="229">
        <f t="shared" si="2"/>
        <v>0</v>
      </c>
      <c r="K153" s="620"/>
    </row>
    <row r="154" spans="1:11" ht="12.75" hidden="1">
      <c r="A154" s="225"/>
      <c r="B154" s="225"/>
      <c r="C154" s="227"/>
      <c r="D154" s="227" t="s">
        <v>154</v>
      </c>
      <c r="E154" s="227" t="s">
        <v>177</v>
      </c>
      <c r="F154" s="228">
        <v>0</v>
      </c>
      <c r="G154" s="228">
        <v>0</v>
      </c>
      <c r="H154" s="228">
        <v>0</v>
      </c>
      <c r="I154" s="228">
        <v>0</v>
      </c>
      <c r="J154" s="229">
        <f t="shared" si="2"/>
        <v>0</v>
      </c>
      <c r="K154" s="620"/>
    </row>
    <row r="155" spans="1:11" ht="12.75" hidden="1">
      <c r="A155" s="225"/>
      <c r="B155" s="225"/>
      <c r="C155" s="227"/>
      <c r="D155" s="227" t="s">
        <v>156</v>
      </c>
      <c r="E155" s="227" t="s">
        <v>178</v>
      </c>
      <c r="F155" s="228">
        <v>0</v>
      </c>
      <c r="G155" s="228">
        <v>0</v>
      </c>
      <c r="H155" s="228">
        <v>0</v>
      </c>
      <c r="I155" s="228">
        <v>0</v>
      </c>
      <c r="J155" s="229">
        <f t="shared" si="2"/>
        <v>0</v>
      </c>
      <c r="K155" s="620"/>
    </row>
    <row r="156" spans="1:11" ht="12.75" hidden="1">
      <c r="A156" s="225"/>
      <c r="B156" s="225"/>
      <c r="C156" s="227"/>
      <c r="D156" s="227" t="s">
        <v>158</v>
      </c>
      <c r="E156" s="227" t="s">
        <v>539</v>
      </c>
      <c r="F156" s="228">
        <v>0</v>
      </c>
      <c r="G156" s="228">
        <v>0</v>
      </c>
      <c r="H156" s="228">
        <v>0</v>
      </c>
      <c r="I156" s="228">
        <v>0</v>
      </c>
      <c r="J156" s="229">
        <f t="shared" si="2"/>
        <v>0</v>
      </c>
      <c r="K156" s="620"/>
    </row>
    <row r="157" spans="1:11" ht="12.75" hidden="1">
      <c r="A157" s="225"/>
      <c r="B157" s="225"/>
      <c r="C157" s="227"/>
      <c r="D157" s="227" t="s">
        <v>160</v>
      </c>
      <c r="E157" s="227" t="s">
        <v>538</v>
      </c>
      <c r="F157" s="237">
        <v>0</v>
      </c>
      <c r="G157" s="228">
        <v>0</v>
      </c>
      <c r="H157" s="228">
        <v>0</v>
      </c>
      <c r="I157" s="228">
        <v>0</v>
      </c>
      <c r="J157" s="229">
        <f t="shared" si="2"/>
        <v>0</v>
      </c>
      <c r="K157" s="620"/>
    </row>
    <row r="158" spans="1:11" ht="12.75" hidden="1">
      <c r="A158" s="225"/>
      <c r="B158" s="225"/>
      <c r="C158" s="227"/>
      <c r="D158" s="227" t="s">
        <v>162</v>
      </c>
      <c r="E158" s="227" t="s">
        <v>181</v>
      </c>
      <c r="F158" s="228">
        <v>0</v>
      </c>
      <c r="G158" s="228">
        <v>0</v>
      </c>
      <c r="H158" s="228">
        <v>0</v>
      </c>
      <c r="I158" s="228">
        <v>0</v>
      </c>
      <c r="J158" s="229">
        <f t="shared" si="2"/>
        <v>0</v>
      </c>
      <c r="K158" s="620"/>
    </row>
    <row r="159" spans="1:11" ht="12.75" hidden="1">
      <c r="A159" s="225"/>
      <c r="B159" s="225"/>
      <c r="C159" s="227"/>
      <c r="D159" s="227" t="s">
        <v>164</v>
      </c>
      <c r="E159" s="227" t="s">
        <v>579</v>
      </c>
      <c r="F159" s="228">
        <v>0</v>
      </c>
      <c r="G159" s="228">
        <v>0</v>
      </c>
      <c r="H159" s="228">
        <v>0</v>
      </c>
      <c r="I159" s="228">
        <v>0</v>
      </c>
      <c r="J159" s="229">
        <f t="shared" si="2"/>
        <v>0</v>
      </c>
      <c r="K159" s="620"/>
    </row>
    <row r="160" spans="1:11" ht="12" customHeight="1">
      <c r="A160" s="225"/>
      <c r="B160" s="218" t="s">
        <v>559</v>
      </c>
      <c r="C160" s="961" t="s">
        <v>639</v>
      </c>
      <c r="D160" s="961"/>
      <c r="E160" s="961"/>
      <c r="F160" s="219">
        <f>SUM(F161:F171)</f>
        <v>267460</v>
      </c>
      <c r="G160" s="219">
        <f>SUM(G161:G171)</f>
        <v>0</v>
      </c>
      <c r="H160" s="219">
        <f>SUM(H161:H171)</f>
        <v>0</v>
      </c>
      <c r="I160" s="219">
        <f>SUM(I161:I171)</f>
        <v>0</v>
      </c>
      <c r="J160" s="220">
        <f t="shared" si="2"/>
        <v>267460</v>
      </c>
      <c r="K160" s="618"/>
    </row>
    <row r="161" spans="1:11" ht="12.75" hidden="1">
      <c r="A161" s="225"/>
      <c r="B161" s="225"/>
      <c r="C161" s="227" t="s">
        <v>2</v>
      </c>
      <c r="D161" s="227" t="s">
        <v>148</v>
      </c>
      <c r="E161" s="227" t="s">
        <v>175</v>
      </c>
      <c r="F161" s="228"/>
      <c r="G161" s="228">
        <v>0</v>
      </c>
      <c r="H161" s="228">
        <v>0</v>
      </c>
      <c r="I161" s="228">
        <v>0</v>
      </c>
      <c r="J161" s="229">
        <f t="shared" si="2"/>
        <v>0</v>
      </c>
      <c r="K161" s="620"/>
    </row>
    <row r="162" spans="1:11" ht="12.75" hidden="1">
      <c r="A162" s="225"/>
      <c r="B162" s="225"/>
      <c r="C162" s="227"/>
      <c r="D162" s="227" t="s">
        <v>150</v>
      </c>
      <c r="E162" s="227" t="s">
        <v>578</v>
      </c>
      <c r="F162" s="228">
        <v>0</v>
      </c>
      <c r="G162" s="228">
        <v>0</v>
      </c>
      <c r="H162" s="228">
        <v>0</v>
      </c>
      <c r="I162" s="228">
        <v>0</v>
      </c>
      <c r="J162" s="229">
        <f t="shared" si="2"/>
        <v>0</v>
      </c>
      <c r="K162" s="620"/>
    </row>
    <row r="163" spans="1:11" ht="12.75" hidden="1">
      <c r="A163" s="225"/>
      <c r="B163" s="225"/>
      <c r="C163" s="227"/>
      <c r="D163" s="227" t="s">
        <v>152</v>
      </c>
      <c r="E163" s="227" t="s">
        <v>176</v>
      </c>
      <c r="F163" s="228">
        <v>0</v>
      </c>
      <c r="G163" s="228">
        <v>0</v>
      </c>
      <c r="H163" s="228">
        <v>0</v>
      </c>
      <c r="I163" s="228">
        <v>0</v>
      </c>
      <c r="J163" s="229">
        <f t="shared" si="2"/>
        <v>0</v>
      </c>
      <c r="K163" s="620"/>
    </row>
    <row r="164" spans="1:11" ht="13.5" customHeight="1">
      <c r="A164" s="225"/>
      <c r="B164" s="225"/>
      <c r="C164" s="227"/>
      <c r="D164" s="227" t="s">
        <v>154</v>
      </c>
      <c r="E164" s="227" t="s">
        <v>177</v>
      </c>
      <c r="F164" s="228">
        <v>267460</v>
      </c>
      <c r="G164" s="228">
        <v>0</v>
      </c>
      <c r="H164" s="228">
        <v>0</v>
      </c>
      <c r="I164" s="228">
        <v>0</v>
      </c>
      <c r="J164" s="229">
        <f t="shared" si="2"/>
        <v>267460</v>
      </c>
      <c r="K164" s="620"/>
    </row>
    <row r="165" spans="1:11" ht="0.75" customHeight="1" hidden="1">
      <c r="A165" s="225"/>
      <c r="B165" s="225"/>
      <c r="C165" s="227"/>
      <c r="D165" s="227" t="s">
        <v>156</v>
      </c>
      <c r="E165" s="227" t="s">
        <v>178</v>
      </c>
      <c r="F165" s="228">
        <v>0</v>
      </c>
      <c r="G165" s="228">
        <v>0</v>
      </c>
      <c r="H165" s="228">
        <v>0</v>
      </c>
      <c r="I165" s="228">
        <v>0</v>
      </c>
      <c r="J165" s="229">
        <f t="shared" si="2"/>
        <v>0</v>
      </c>
      <c r="K165" s="620"/>
    </row>
    <row r="166" spans="1:11" ht="12.75" hidden="1">
      <c r="A166" s="225"/>
      <c r="B166" s="225"/>
      <c r="C166" s="227"/>
      <c r="D166" s="227" t="s">
        <v>158</v>
      </c>
      <c r="E166" s="227" t="s">
        <v>539</v>
      </c>
      <c r="F166" s="228">
        <v>0</v>
      </c>
      <c r="G166" s="228">
        <v>0</v>
      </c>
      <c r="H166" s="228">
        <v>0</v>
      </c>
      <c r="I166" s="228">
        <v>0</v>
      </c>
      <c r="J166" s="229">
        <f t="shared" si="2"/>
        <v>0</v>
      </c>
      <c r="K166" s="620"/>
    </row>
    <row r="167" spans="1:11" ht="12.75" hidden="1">
      <c r="A167" s="225"/>
      <c r="B167" s="225"/>
      <c r="C167" s="227"/>
      <c r="D167" s="227" t="s">
        <v>160</v>
      </c>
      <c r="E167" s="227" t="s">
        <v>538</v>
      </c>
      <c r="F167" s="237">
        <v>0</v>
      </c>
      <c r="G167" s="228">
        <v>0</v>
      </c>
      <c r="H167" s="228">
        <v>0</v>
      </c>
      <c r="I167" s="228">
        <v>0</v>
      </c>
      <c r="J167" s="229">
        <f t="shared" si="2"/>
        <v>0</v>
      </c>
      <c r="K167" s="620"/>
    </row>
    <row r="168" spans="1:11" ht="12.75" hidden="1">
      <c r="A168" s="225"/>
      <c r="B168" s="225"/>
      <c r="C168" s="227"/>
      <c r="D168" s="227" t="s">
        <v>162</v>
      </c>
      <c r="E168" s="227" t="s">
        <v>181</v>
      </c>
      <c r="F168" s="228">
        <v>0</v>
      </c>
      <c r="G168" s="228">
        <v>0</v>
      </c>
      <c r="H168" s="228">
        <v>0</v>
      </c>
      <c r="I168" s="228">
        <v>0</v>
      </c>
      <c r="J168" s="229">
        <f t="shared" si="2"/>
        <v>0</v>
      </c>
      <c r="K168" s="620"/>
    </row>
    <row r="169" spans="1:11" ht="12.75" hidden="1">
      <c r="A169" s="225"/>
      <c r="B169" s="225"/>
      <c r="C169" s="227"/>
      <c r="D169" s="227" t="s">
        <v>164</v>
      </c>
      <c r="E169" s="227" t="s">
        <v>182</v>
      </c>
      <c r="F169" s="228">
        <v>0</v>
      </c>
      <c r="G169" s="228">
        <v>0</v>
      </c>
      <c r="H169" s="228">
        <v>0</v>
      </c>
      <c r="I169" s="228">
        <v>0</v>
      </c>
      <c r="J169" s="229">
        <f t="shared" si="2"/>
        <v>0</v>
      </c>
      <c r="K169" s="620"/>
    </row>
    <row r="170" spans="1:11" ht="12.75" hidden="1">
      <c r="A170" s="225"/>
      <c r="B170" s="225"/>
      <c r="C170" s="227"/>
      <c r="D170" s="227" t="s">
        <v>166</v>
      </c>
      <c r="E170" s="227" t="s">
        <v>183</v>
      </c>
      <c r="F170" s="228">
        <v>0</v>
      </c>
      <c r="G170" s="228">
        <v>0</v>
      </c>
      <c r="H170" s="228">
        <v>0</v>
      </c>
      <c r="I170" s="228">
        <v>0</v>
      </c>
      <c r="J170" s="229">
        <f t="shared" si="2"/>
        <v>0</v>
      </c>
      <c r="K170" s="620"/>
    </row>
    <row r="171" spans="1:11" ht="12.75" hidden="1">
      <c r="A171" s="225"/>
      <c r="B171" s="225"/>
      <c r="C171" s="227"/>
      <c r="D171" s="227" t="s">
        <v>580</v>
      </c>
      <c r="E171" s="227" t="s">
        <v>184</v>
      </c>
      <c r="F171" s="228">
        <v>0</v>
      </c>
      <c r="G171" s="228">
        <v>0</v>
      </c>
      <c r="H171" s="228">
        <v>0</v>
      </c>
      <c r="I171" s="228">
        <v>0</v>
      </c>
      <c r="J171" s="229">
        <f t="shared" si="2"/>
        <v>0</v>
      </c>
      <c r="K171" s="620"/>
    </row>
    <row r="172" spans="1:11" s="217" customFormat="1" ht="12.75">
      <c r="A172" s="215" t="s">
        <v>309</v>
      </c>
      <c r="B172" s="969" t="s">
        <v>310</v>
      </c>
      <c r="C172" s="969"/>
      <c r="D172" s="969"/>
      <c r="E172" s="969"/>
      <c r="F172" s="216">
        <f>SUM(F173+F196+F197+F198)</f>
        <v>1035955946</v>
      </c>
      <c r="G172" s="216">
        <f>SUM(G173+G196+G197+G198)</f>
        <v>789210</v>
      </c>
      <c r="H172" s="216">
        <f>SUM(H173+H196+H197+H198)</f>
        <v>7760424</v>
      </c>
      <c r="I172" s="216">
        <f>SUM(I173+I196+I197+I198)</f>
        <v>5642681</v>
      </c>
      <c r="J172" s="216">
        <f t="shared" si="2"/>
        <v>1050148261</v>
      </c>
      <c r="K172" s="617"/>
    </row>
    <row r="173" spans="1:11" ht="12.75">
      <c r="A173" s="225"/>
      <c r="B173" s="218" t="s">
        <v>311</v>
      </c>
      <c r="C173" s="961" t="s">
        <v>312</v>
      </c>
      <c r="D173" s="961"/>
      <c r="E173" s="961"/>
      <c r="F173" s="219">
        <f>SUM(F174+F178+F183+F188+F189+F190+F191+F192+F193)</f>
        <v>1035955946</v>
      </c>
      <c r="G173" s="219">
        <f>SUM(G174+G178+G183+G188+G189+G190+G191+G192+G193)</f>
        <v>789210</v>
      </c>
      <c r="H173" s="219">
        <f>SUM(H174+H178+H183+H188+H189+H190+H191+H192+H193)</f>
        <v>7760424</v>
      </c>
      <c r="I173" s="219">
        <f>SUM(I174+I178+I183+I188+I189+I190+I191+I192+I193)</f>
        <v>5642681</v>
      </c>
      <c r="J173" s="220">
        <f t="shared" si="2"/>
        <v>1050148261</v>
      </c>
      <c r="K173" s="618"/>
    </row>
    <row r="174" spans="1:11" ht="12.75">
      <c r="A174" s="221"/>
      <c r="B174" s="221"/>
      <c r="C174" s="221" t="s">
        <v>313</v>
      </c>
      <c r="D174" s="221" t="s">
        <v>605</v>
      </c>
      <c r="E174" s="221"/>
      <c r="F174" s="222">
        <f>SUM(F175:F177)</f>
        <v>0</v>
      </c>
      <c r="G174" s="222">
        <f>SUM(G175:G177)</f>
        <v>0</v>
      </c>
      <c r="H174" s="222">
        <f>SUM(H175:H177)</f>
        <v>0</v>
      </c>
      <c r="I174" s="222">
        <f>SUM(I175:I177)</f>
        <v>0</v>
      </c>
      <c r="J174" s="223">
        <f t="shared" si="2"/>
        <v>0</v>
      </c>
      <c r="K174" s="619"/>
    </row>
    <row r="175" spans="1:11" ht="12.75" hidden="1">
      <c r="A175" s="238"/>
      <c r="B175" s="238"/>
      <c r="C175" s="238"/>
      <c r="D175" s="238" t="s">
        <v>314</v>
      </c>
      <c r="E175" s="238" t="s">
        <v>692</v>
      </c>
      <c r="F175" s="239">
        <v>0</v>
      </c>
      <c r="G175" s="239">
        <v>0</v>
      </c>
      <c r="H175" s="239">
        <v>0</v>
      </c>
      <c r="I175" s="239">
        <v>0</v>
      </c>
      <c r="J175" s="240">
        <f t="shared" si="2"/>
        <v>0</v>
      </c>
      <c r="K175" s="621"/>
    </row>
    <row r="176" spans="1:11" ht="12.75" hidden="1">
      <c r="A176" s="238"/>
      <c r="B176" s="238"/>
      <c r="C176" s="238"/>
      <c r="D176" s="238" t="s">
        <v>315</v>
      </c>
      <c r="E176" s="238" t="s">
        <v>693</v>
      </c>
      <c r="F176" s="239">
        <v>0</v>
      </c>
      <c r="G176" s="239">
        <v>0</v>
      </c>
      <c r="H176" s="239">
        <v>0</v>
      </c>
      <c r="I176" s="239">
        <v>0</v>
      </c>
      <c r="J176" s="240">
        <f t="shared" si="2"/>
        <v>0</v>
      </c>
      <c r="K176" s="621"/>
    </row>
    <row r="177" spans="1:11" ht="12.75" hidden="1">
      <c r="A177" s="238"/>
      <c r="B177" s="238"/>
      <c r="C177" s="238"/>
      <c r="D177" s="238" t="s">
        <v>316</v>
      </c>
      <c r="E177" s="238" t="s">
        <v>694</v>
      </c>
      <c r="F177" s="239">
        <v>0</v>
      </c>
      <c r="G177" s="239">
        <v>0</v>
      </c>
      <c r="H177" s="239">
        <v>0</v>
      </c>
      <c r="I177" s="239">
        <v>0</v>
      </c>
      <c r="J177" s="240">
        <f t="shared" si="2"/>
        <v>0</v>
      </c>
      <c r="K177" s="621"/>
    </row>
    <row r="178" spans="1:11" ht="12.75">
      <c r="A178" s="221"/>
      <c r="B178" s="221"/>
      <c r="C178" s="221" t="s">
        <v>317</v>
      </c>
      <c r="D178" s="221" t="s">
        <v>318</v>
      </c>
      <c r="E178" s="221"/>
      <c r="F178" s="222">
        <f>SUM(F179:F182)</f>
        <v>0</v>
      </c>
      <c r="G178" s="222">
        <f>SUM(G179:G182)</f>
        <v>0</v>
      </c>
      <c r="H178" s="222">
        <f>SUM(H179:H182)</f>
        <v>0</v>
      </c>
      <c r="I178" s="222">
        <f>SUM(I179:I182)</f>
        <v>0</v>
      </c>
      <c r="J178" s="223">
        <f t="shared" si="2"/>
        <v>0</v>
      </c>
      <c r="K178" s="619"/>
    </row>
    <row r="179" spans="1:11" ht="12.75" hidden="1">
      <c r="A179" s="221"/>
      <c r="B179" s="221"/>
      <c r="C179" s="221"/>
      <c r="D179" s="238" t="s">
        <v>560</v>
      </c>
      <c r="E179" s="238" t="s">
        <v>561</v>
      </c>
      <c r="F179" s="222">
        <v>0</v>
      </c>
      <c r="G179" s="222">
        <v>0</v>
      </c>
      <c r="H179" s="222">
        <v>0</v>
      </c>
      <c r="I179" s="222">
        <v>0</v>
      </c>
      <c r="J179" s="223">
        <f t="shared" si="2"/>
        <v>0</v>
      </c>
      <c r="K179" s="619"/>
    </row>
    <row r="180" spans="1:11" ht="12.75" hidden="1">
      <c r="A180" s="221"/>
      <c r="B180" s="221"/>
      <c r="C180" s="221"/>
      <c r="D180" s="238" t="s">
        <v>562</v>
      </c>
      <c r="E180" s="238" t="s">
        <v>563</v>
      </c>
      <c r="F180" s="222">
        <v>0</v>
      </c>
      <c r="G180" s="222">
        <v>0</v>
      </c>
      <c r="H180" s="222">
        <v>0</v>
      </c>
      <c r="I180" s="222">
        <v>0</v>
      </c>
      <c r="J180" s="223">
        <f t="shared" si="2"/>
        <v>0</v>
      </c>
      <c r="K180" s="619"/>
    </row>
    <row r="181" spans="1:11" ht="12.75" hidden="1">
      <c r="A181" s="221"/>
      <c r="B181" s="221"/>
      <c r="C181" s="221"/>
      <c r="D181" s="238" t="s">
        <v>564</v>
      </c>
      <c r="E181" s="238" t="s">
        <v>565</v>
      </c>
      <c r="F181" s="222">
        <v>0</v>
      </c>
      <c r="G181" s="222">
        <v>0</v>
      </c>
      <c r="H181" s="222">
        <v>0</v>
      </c>
      <c r="I181" s="222">
        <v>0</v>
      </c>
      <c r="J181" s="223">
        <f t="shared" si="2"/>
        <v>0</v>
      </c>
      <c r="K181" s="619"/>
    </row>
    <row r="182" spans="1:11" ht="12.75" hidden="1">
      <c r="A182" s="221"/>
      <c r="B182" s="221"/>
      <c r="C182" s="221"/>
      <c r="D182" s="238" t="s">
        <v>566</v>
      </c>
      <c r="E182" s="238" t="s">
        <v>567</v>
      </c>
      <c r="F182" s="222">
        <v>0</v>
      </c>
      <c r="G182" s="222">
        <v>0</v>
      </c>
      <c r="H182" s="222">
        <v>0</v>
      </c>
      <c r="I182" s="222">
        <v>0</v>
      </c>
      <c r="J182" s="223">
        <f t="shared" si="2"/>
        <v>0</v>
      </c>
      <c r="K182" s="619"/>
    </row>
    <row r="183" spans="1:11" ht="12.75">
      <c r="A183" s="221"/>
      <c r="B183" s="221"/>
      <c r="C183" s="221" t="s">
        <v>319</v>
      </c>
      <c r="D183" s="221" t="s">
        <v>320</v>
      </c>
      <c r="E183" s="221"/>
      <c r="F183" s="222">
        <f>SUM(F184,F187)</f>
        <v>1035955946</v>
      </c>
      <c r="G183" s="222">
        <f>SUM(G184,G187)</f>
        <v>789210</v>
      </c>
      <c r="H183" s="222">
        <f>SUM(H184,H187)</f>
        <v>7760424</v>
      </c>
      <c r="I183" s="222">
        <f>SUM(I184,I187)</f>
        <v>5642681</v>
      </c>
      <c r="J183" s="223">
        <f t="shared" si="2"/>
        <v>1050148261</v>
      </c>
      <c r="K183" s="619"/>
    </row>
    <row r="184" spans="1:11" ht="12.75">
      <c r="A184" s="238"/>
      <c r="B184" s="238"/>
      <c r="C184" s="238"/>
      <c r="D184" s="238" t="s">
        <v>321</v>
      </c>
      <c r="E184" s="238" t="s">
        <v>322</v>
      </c>
      <c r="F184" s="239">
        <f>SUM(F185:F186)</f>
        <v>1035955946</v>
      </c>
      <c r="G184" s="239">
        <f>SUM(G185:G186)</f>
        <v>789210</v>
      </c>
      <c r="H184" s="239">
        <f>SUM(H185:H186)</f>
        <v>7760424</v>
      </c>
      <c r="I184" s="239">
        <f>SUM(I185:I186)</f>
        <v>5642681</v>
      </c>
      <c r="J184" s="240">
        <f t="shared" si="2"/>
        <v>1050148261</v>
      </c>
      <c r="K184" s="621"/>
    </row>
    <row r="185" spans="1:11" s="245" customFormat="1" ht="12.75">
      <c r="A185" s="241"/>
      <c r="B185" s="241"/>
      <c r="C185" s="241"/>
      <c r="D185" s="241"/>
      <c r="E185" s="242" t="s">
        <v>36</v>
      </c>
      <c r="F185" s="243">
        <v>139338070</v>
      </c>
      <c r="G185" s="243">
        <v>789210</v>
      </c>
      <c r="H185" s="243">
        <v>7760424</v>
      </c>
      <c r="I185" s="243">
        <v>5642681</v>
      </c>
      <c r="J185" s="244">
        <f t="shared" si="2"/>
        <v>153530385</v>
      </c>
      <c r="K185" s="622"/>
    </row>
    <row r="186" spans="1:11" s="245" customFormat="1" ht="12.75">
      <c r="A186" s="241"/>
      <c r="B186" s="241"/>
      <c r="C186" s="241"/>
      <c r="D186" s="241"/>
      <c r="E186" s="242" t="s">
        <v>37</v>
      </c>
      <c r="F186" s="243">
        <f>896617876</f>
        <v>896617876</v>
      </c>
      <c r="G186" s="243">
        <v>0</v>
      </c>
      <c r="H186" s="243">
        <v>0</v>
      </c>
      <c r="I186" s="243">
        <v>0</v>
      </c>
      <c r="J186" s="244">
        <f t="shared" si="2"/>
        <v>896617876</v>
      </c>
      <c r="K186" s="622"/>
    </row>
    <row r="187" spans="1:11" ht="12.75">
      <c r="A187" s="238"/>
      <c r="B187" s="238"/>
      <c r="C187" s="238"/>
      <c r="D187" s="238" t="s">
        <v>323</v>
      </c>
      <c r="E187" s="238" t="s">
        <v>324</v>
      </c>
      <c r="F187" s="239">
        <v>0</v>
      </c>
      <c r="G187" s="239">
        <v>0</v>
      </c>
      <c r="H187" s="239">
        <v>0</v>
      </c>
      <c r="I187" s="239">
        <v>0</v>
      </c>
      <c r="J187" s="240">
        <f t="shared" si="2"/>
        <v>0</v>
      </c>
      <c r="K187" s="621"/>
    </row>
    <row r="188" spans="1:11" ht="12.75" hidden="1">
      <c r="A188" s="221"/>
      <c r="B188" s="221"/>
      <c r="C188" s="221" t="s">
        <v>325</v>
      </c>
      <c r="D188" s="221" t="s">
        <v>606</v>
      </c>
      <c r="E188" s="221"/>
      <c r="F188" s="222">
        <v>0</v>
      </c>
      <c r="G188" s="222">
        <v>0</v>
      </c>
      <c r="H188" s="222">
        <v>0</v>
      </c>
      <c r="I188" s="222">
        <v>0</v>
      </c>
      <c r="J188" s="223">
        <f t="shared" si="2"/>
        <v>0</v>
      </c>
      <c r="K188" s="619"/>
    </row>
    <row r="189" spans="1:11" ht="12.75" hidden="1">
      <c r="A189" s="221"/>
      <c r="B189" s="221"/>
      <c r="C189" s="221" t="s">
        <v>326</v>
      </c>
      <c r="D189" s="221" t="s">
        <v>607</v>
      </c>
      <c r="E189" s="221"/>
      <c r="F189" s="222">
        <v>0</v>
      </c>
      <c r="G189" s="222">
        <v>0</v>
      </c>
      <c r="H189" s="222">
        <v>0</v>
      </c>
      <c r="I189" s="222">
        <v>0</v>
      </c>
      <c r="J189" s="223">
        <f t="shared" si="2"/>
        <v>0</v>
      </c>
      <c r="K189" s="619"/>
    </row>
    <row r="190" spans="1:11" ht="12.75" hidden="1">
      <c r="A190" s="221"/>
      <c r="B190" s="221"/>
      <c r="C190" s="221" t="s">
        <v>327</v>
      </c>
      <c r="D190" s="221" t="s">
        <v>328</v>
      </c>
      <c r="E190" s="221"/>
      <c r="F190" s="222">
        <v>0</v>
      </c>
      <c r="G190" s="222">
        <v>0</v>
      </c>
      <c r="H190" s="222">
        <v>0</v>
      </c>
      <c r="I190" s="222">
        <v>0</v>
      </c>
      <c r="J190" s="223">
        <f t="shared" si="2"/>
        <v>0</v>
      </c>
      <c r="K190" s="619"/>
    </row>
    <row r="191" spans="1:11" ht="12.75" hidden="1">
      <c r="A191" s="221"/>
      <c r="B191" s="221"/>
      <c r="C191" s="221" t="s">
        <v>329</v>
      </c>
      <c r="D191" s="221" t="s">
        <v>568</v>
      </c>
      <c r="E191" s="221"/>
      <c r="F191" s="222">
        <v>0</v>
      </c>
      <c r="G191" s="222">
        <v>0</v>
      </c>
      <c r="H191" s="222">
        <v>0</v>
      </c>
      <c r="I191" s="222">
        <v>0</v>
      </c>
      <c r="J191" s="223">
        <f t="shared" si="2"/>
        <v>0</v>
      </c>
      <c r="K191" s="619"/>
    </row>
    <row r="192" spans="1:11" ht="12.75" hidden="1">
      <c r="A192" s="221"/>
      <c r="B192" s="221"/>
      <c r="C192" s="221" t="s">
        <v>330</v>
      </c>
      <c r="D192" s="221" t="s">
        <v>331</v>
      </c>
      <c r="E192" s="221"/>
      <c r="F192" s="222">
        <v>0</v>
      </c>
      <c r="G192" s="222">
        <v>0</v>
      </c>
      <c r="H192" s="222">
        <v>0</v>
      </c>
      <c r="I192" s="222">
        <v>0</v>
      </c>
      <c r="J192" s="223">
        <f t="shared" si="2"/>
        <v>0</v>
      </c>
      <c r="K192" s="619"/>
    </row>
    <row r="193" spans="1:11" ht="12.75" hidden="1">
      <c r="A193" s="221"/>
      <c r="B193" s="221"/>
      <c r="C193" s="221" t="s">
        <v>569</v>
      </c>
      <c r="D193" s="221" t="s">
        <v>570</v>
      </c>
      <c r="E193" s="221"/>
      <c r="F193" s="222">
        <v>0</v>
      </c>
      <c r="G193" s="222">
        <v>0</v>
      </c>
      <c r="H193" s="222">
        <v>0</v>
      </c>
      <c r="I193" s="222">
        <v>0</v>
      </c>
      <c r="J193" s="223">
        <f t="shared" si="2"/>
        <v>0</v>
      </c>
      <c r="K193" s="619"/>
    </row>
    <row r="194" spans="1:11" ht="12.75" hidden="1">
      <c r="A194" s="221"/>
      <c r="B194" s="221"/>
      <c r="C194" s="221"/>
      <c r="D194" s="238" t="s">
        <v>571</v>
      </c>
      <c r="E194" s="238" t="s">
        <v>572</v>
      </c>
      <c r="F194" s="243">
        <v>0</v>
      </c>
      <c r="G194" s="243">
        <v>0</v>
      </c>
      <c r="H194" s="243">
        <v>0</v>
      </c>
      <c r="I194" s="243">
        <v>0</v>
      </c>
      <c r="J194" s="223">
        <f t="shared" si="2"/>
        <v>0</v>
      </c>
      <c r="K194" s="619"/>
    </row>
    <row r="195" spans="1:11" ht="12.75" hidden="1">
      <c r="A195" s="221"/>
      <c r="B195" s="221"/>
      <c r="C195" s="221"/>
      <c r="D195" s="238" t="s">
        <v>573</v>
      </c>
      <c r="E195" s="238" t="s">
        <v>574</v>
      </c>
      <c r="F195" s="243">
        <v>0</v>
      </c>
      <c r="G195" s="243">
        <v>0</v>
      </c>
      <c r="H195" s="243">
        <v>0</v>
      </c>
      <c r="I195" s="243">
        <v>0</v>
      </c>
      <c r="J195" s="223">
        <f t="shared" si="2"/>
        <v>0</v>
      </c>
      <c r="K195" s="619"/>
    </row>
    <row r="196" spans="1:11" ht="12.75">
      <c r="A196" s="225"/>
      <c r="B196" s="218" t="s">
        <v>332</v>
      </c>
      <c r="C196" s="961" t="s">
        <v>333</v>
      </c>
      <c r="D196" s="961"/>
      <c r="E196" s="961"/>
      <c r="F196" s="219">
        <v>0</v>
      </c>
      <c r="G196" s="219">
        <v>0</v>
      </c>
      <c r="H196" s="219">
        <v>0</v>
      </c>
      <c r="I196" s="219">
        <v>0</v>
      </c>
      <c r="J196" s="220">
        <f t="shared" si="2"/>
        <v>0</v>
      </c>
      <c r="K196" s="618"/>
    </row>
    <row r="197" spans="1:11" ht="12.75">
      <c r="A197" s="225"/>
      <c r="B197" s="218" t="s">
        <v>334</v>
      </c>
      <c r="C197" s="961" t="s">
        <v>335</v>
      </c>
      <c r="D197" s="961"/>
      <c r="E197" s="961"/>
      <c r="F197" s="219">
        <v>0</v>
      </c>
      <c r="G197" s="219">
        <v>0</v>
      </c>
      <c r="H197" s="219">
        <v>0</v>
      </c>
      <c r="I197" s="219">
        <v>0</v>
      </c>
      <c r="J197" s="220">
        <f t="shared" si="2"/>
        <v>0</v>
      </c>
      <c r="K197" s="618"/>
    </row>
    <row r="198" spans="1:11" ht="12.75">
      <c r="A198" s="225"/>
      <c r="B198" s="218" t="s">
        <v>575</v>
      </c>
      <c r="C198" s="961" t="s">
        <v>576</v>
      </c>
      <c r="D198" s="961"/>
      <c r="E198" s="961"/>
      <c r="F198" s="219">
        <v>0</v>
      </c>
      <c r="G198" s="219">
        <v>0</v>
      </c>
      <c r="H198" s="219">
        <v>0</v>
      </c>
      <c r="I198" s="219">
        <v>0</v>
      </c>
      <c r="J198" s="220">
        <f t="shared" si="2"/>
        <v>0</v>
      </c>
      <c r="K198" s="618"/>
    </row>
    <row r="199" spans="1:11" ht="12.75">
      <c r="A199" s="225"/>
      <c r="B199" s="225"/>
      <c r="C199" s="929"/>
      <c r="D199" s="931"/>
      <c r="E199" s="930"/>
      <c r="F199" s="246"/>
      <c r="G199" s="247"/>
      <c r="H199" s="247"/>
      <c r="I199" s="247"/>
      <c r="J199" s="246">
        <f t="shared" si="2"/>
        <v>0</v>
      </c>
      <c r="K199" s="623"/>
    </row>
    <row r="200" spans="1:11" s="249" customFormat="1" ht="15.75">
      <c r="A200" s="968" t="s">
        <v>448</v>
      </c>
      <c r="B200" s="968"/>
      <c r="C200" s="968"/>
      <c r="D200" s="968"/>
      <c r="E200" s="968"/>
      <c r="F200" s="248">
        <f>SUM(F172+F146+F130+F122+F86+F57+F40+F7)</f>
        <v>2014771736</v>
      </c>
      <c r="G200" s="248">
        <f>SUM(G172+G146+G130+G122+G86+G57+G40+G7)</f>
        <v>6576559</v>
      </c>
      <c r="H200" s="248">
        <f>SUM(H172+H146+H130+H122+H86+H57+H40+H7)</f>
        <v>14526312</v>
      </c>
      <c r="I200" s="248">
        <f>SUM(I172+I146+I130+I122+I86+I57+I40+I7)</f>
        <v>14484381</v>
      </c>
      <c r="J200" s="884">
        <f t="shared" si="2"/>
        <v>2050358988</v>
      </c>
      <c r="K200" s="624"/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30:E130"/>
    <mergeCell ref="C125:E125"/>
    <mergeCell ref="C127:E127"/>
    <mergeCell ref="D111:E111"/>
    <mergeCell ref="C129:E129"/>
    <mergeCell ref="C123:E123"/>
    <mergeCell ref="B57:E57"/>
    <mergeCell ref="D107:E107"/>
    <mergeCell ref="C60:E60"/>
    <mergeCell ref="D104:E104"/>
    <mergeCell ref="C58:E58"/>
    <mergeCell ref="C75:E75"/>
    <mergeCell ref="B86:E86"/>
    <mergeCell ref="C59:E59"/>
    <mergeCell ref="C147:E147"/>
    <mergeCell ref="C196:E196"/>
    <mergeCell ref="C132:E132"/>
    <mergeCell ref="C133:E133"/>
    <mergeCell ref="C43:E43"/>
    <mergeCell ref="C41:E41"/>
    <mergeCell ref="D119:E119"/>
    <mergeCell ref="B122:E122"/>
    <mergeCell ref="C44:E44"/>
    <mergeCell ref="D112:E112"/>
    <mergeCell ref="A200:E200"/>
    <mergeCell ref="C131:E131"/>
    <mergeCell ref="C134:E134"/>
    <mergeCell ref="C144:E144"/>
    <mergeCell ref="B146:E146"/>
    <mergeCell ref="C198:E198"/>
    <mergeCell ref="B172:E172"/>
    <mergeCell ref="C149:E149"/>
    <mergeCell ref="C150:E150"/>
    <mergeCell ref="C148:E148"/>
    <mergeCell ref="C197:E197"/>
    <mergeCell ref="C173:E173"/>
    <mergeCell ref="F1:J1"/>
    <mergeCell ref="B6:E6"/>
    <mergeCell ref="A2:J2"/>
    <mergeCell ref="C128:E128"/>
    <mergeCell ref="C42:E42"/>
    <mergeCell ref="C61:E61"/>
    <mergeCell ref="C64:E64"/>
    <mergeCell ref="C160:E160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28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93" bestFit="1" customWidth="1"/>
    <col min="2" max="2" width="2.375" style="50" customWidth="1"/>
    <col min="3" max="3" width="59.25390625" style="50" customWidth="1"/>
    <col min="4" max="4" width="13.75390625" style="50" customWidth="1"/>
    <col min="5" max="16384" width="8.875" style="50" customWidth="1"/>
  </cols>
  <sheetData>
    <row r="1" spans="3:5" ht="15">
      <c r="C1" s="1005" t="s">
        <v>1056</v>
      </c>
      <c r="D1" s="1241"/>
      <c r="E1" s="87"/>
    </row>
    <row r="2" spans="3:5" ht="15">
      <c r="C2" s="2"/>
      <c r="D2" s="87"/>
      <c r="E2" s="87"/>
    </row>
    <row r="3" spans="2:4" ht="15">
      <c r="B3" s="1249" t="s">
        <v>378</v>
      </c>
      <c r="C3" s="1249"/>
      <c r="D3" s="1249"/>
    </row>
    <row r="4" spans="2:4" ht="15">
      <c r="B4" s="1249" t="s">
        <v>454</v>
      </c>
      <c r="C4" s="1249"/>
      <c r="D4" s="1249"/>
    </row>
    <row r="5" spans="2:4" ht="15">
      <c r="B5" s="52"/>
      <c r="C5" s="52"/>
      <c r="D5" s="52"/>
    </row>
    <row r="6" ht="15">
      <c r="D6" s="51"/>
    </row>
    <row r="7" spans="1:4" s="53" customFormat="1" ht="21" customHeight="1">
      <c r="A7" s="1246" t="s">
        <v>441</v>
      </c>
      <c r="B7" s="1250" t="s">
        <v>363</v>
      </c>
      <c r="C7" s="1250"/>
      <c r="D7" s="95" t="s">
        <v>376</v>
      </c>
    </row>
    <row r="8" spans="1:4" s="92" customFormat="1" ht="12">
      <c r="A8" s="1247"/>
      <c r="B8" s="1251" t="s">
        <v>435</v>
      </c>
      <c r="C8" s="1252"/>
      <c r="D8" s="94" t="s">
        <v>436</v>
      </c>
    </row>
    <row r="9" spans="1:4" s="53" customFormat="1" ht="25.5" customHeight="1">
      <c r="A9" s="94">
        <v>1</v>
      </c>
      <c r="B9" s="55" t="s">
        <v>389</v>
      </c>
      <c r="C9" s="54"/>
      <c r="D9" s="100"/>
    </row>
    <row r="10" spans="1:4" ht="15">
      <c r="A10" s="94">
        <v>2</v>
      </c>
      <c r="B10" s="96"/>
      <c r="C10" s="91" t="s">
        <v>434</v>
      </c>
      <c r="D10" s="177">
        <v>1000000</v>
      </c>
    </row>
    <row r="11" spans="1:4" s="53" customFormat="1" ht="15.75" customHeight="1">
      <c r="A11" s="94">
        <v>3</v>
      </c>
      <c r="B11" s="55" t="s">
        <v>366</v>
      </c>
      <c r="C11" s="55"/>
      <c r="D11" s="178">
        <f>SUM(D10:D10)</f>
        <v>1000000</v>
      </c>
    </row>
    <row r="12" spans="1:4" s="53" customFormat="1" ht="6" customHeight="1">
      <c r="A12" s="99"/>
      <c r="B12" s="98"/>
      <c r="C12" s="98"/>
      <c r="D12" s="100"/>
    </row>
    <row r="13" spans="1:4" s="53" customFormat="1" ht="25.5" customHeight="1">
      <c r="A13" s="94">
        <v>4</v>
      </c>
      <c r="B13" s="1248" t="s">
        <v>388</v>
      </c>
      <c r="C13" s="1248"/>
      <c r="D13" s="1248"/>
    </row>
    <row r="14" spans="1:4" s="53" customFormat="1" ht="30">
      <c r="A14" s="94">
        <v>5</v>
      </c>
      <c r="B14" s="96"/>
      <c r="C14" s="91" t="s">
        <v>944</v>
      </c>
      <c r="D14" s="177">
        <v>350000</v>
      </c>
    </row>
    <row r="15" spans="1:4" s="53" customFormat="1" ht="39.75" customHeight="1">
      <c r="A15" s="94">
        <v>6</v>
      </c>
      <c r="B15" s="96"/>
      <c r="C15" s="91" t="s">
        <v>945</v>
      </c>
      <c r="D15" s="177">
        <v>200000</v>
      </c>
    </row>
    <row r="16" spans="1:4" ht="15.75" customHeight="1">
      <c r="A16" s="94">
        <v>7</v>
      </c>
      <c r="B16" s="55" t="s">
        <v>366</v>
      </c>
      <c r="C16" s="55"/>
      <c r="D16" s="178">
        <f>SUM(D14:D15)</f>
        <v>550000</v>
      </c>
    </row>
    <row r="17" spans="1:4" s="53" customFormat="1" ht="7.5" customHeight="1">
      <c r="A17" s="99"/>
      <c r="B17" s="98"/>
      <c r="C17" s="98"/>
      <c r="D17" s="100"/>
    </row>
    <row r="18" spans="1:4" s="53" customFormat="1" ht="25.5" customHeight="1">
      <c r="A18" s="94">
        <v>8</v>
      </c>
      <c r="B18" s="55" t="s">
        <v>635</v>
      </c>
      <c r="C18" s="54"/>
      <c r="D18" s="100"/>
    </row>
    <row r="19" spans="1:4" ht="15">
      <c r="A19" s="94">
        <v>9</v>
      </c>
      <c r="B19" s="96"/>
      <c r="C19" s="91" t="s">
        <v>634</v>
      </c>
      <c r="D19" s="177">
        <v>1000000</v>
      </c>
    </row>
    <row r="20" spans="1:4" s="53" customFormat="1" ht="15.75" customHeight="1">
      <c r="A20" s="94">
        <v>10</v>
      </c>
      <c r="B20" s="55" t="s">
        <v>366</v>
      </c>
      <c r="C20" s="55"/>
      <c r="D20" s="178">
        <f>SUM(D19:D19)</f>
        <v>1000000</v>
      </c>
    </row>
    <row r="21" spans="1:4" s="53" customFormat="1" ht="7.5" customHeight="1">
      <c r="A21" s="99"/>
      <c r="B21" s="98"/>
      <c r="C21" s="98"/>
      <c r="D21" s="100"/>
    </row>
    <row r="22" spans="1:4" ht="15.75" customHeight="1">
      <c r="A22" s="94">
        <v>11</v>
      </c>
      <c r="B22" s="55" t="s">
        <v>391</v>
      </c>
      <c r="C22" s="55"/>
      <c r="D22" s="178">
        <f>SUM(D11,D16,D20)</f>
        <v>2550000</v>
      </c>
    </row>
    <row r="23" spans="1:4" s="53" customFormat="1" ht="8.25" customHeight="1">
      <c r="A23" s="99"/>
      <c r="B23" s="98"/>
      <c r="C23" s="98"/>
      <c r="D23" s="100"/>
    </row>
    <row r="24" spans="1:4" s="53" customFormat="1" ht="25.5" customHeight="1">
      <c r="A24" s="94">
        <v>12</v>
      </c>
      <c r="B24" s="1248" t="s">
        <v>373</v>
      </c>
      <c r="C24" s="1248"/>
      <c r="D24" s="1248"/>
    </row>
    <row r="25" spans="1:4" s="53" customFormat="1" ht="6.75" customHeight="1">
      <c r="A25" s="94"/>
      <c r="B25" s="96"/>
      <c r="C25" s="91"/>
      <c r="D25" s="97"/>
    </row>
    <row r="26" spans="1:4" ht="15.75" customHeight="1">
      <c r="A26" s="94">
        <v>13</v>
      </c>
      <c r="B26" s="55" t="s">
        <v>392</v>
      </c>
      <c r="C26" s="55"/>
      <c r="D26" s="178">
        <f>SUM(D25:D25)</f>
        <v>0</v>
      </c>
    </row>
    <row r="27" spans="1:4" s="53" customFormat="1" ht="6.75" customHeight="1">
      <c r="A27" s="99"/>
      <c r="B27" s="98"/>
      <c r="C27" s="98"/>
      <c r="D27" s="100"/>
    </row>
    <row r="28" spans="1:4" ht="15.75" customHeight="1">
      <c r="A28" s="94">
        <v>14</v>
      </c>
      <c r="B28" s="55" t="s">
        <v>390</v>
      </c>
      <c r="C28" s="55"/>
      <c r="D28" s="178">
        <f>SUM(D26,D22)</f>
        <v>2550000</v>
      </c>
    </row>
  </sheetData>
  <sheetProtection/>
  <mergeCells count="8">
    <mergeCell ref="A7:A8"/>
    <mergeCell ref="B24:D24"/>
    <mergeCell ref="B13:D13"/>
    <mergeCell ref="C1:D1"/>
    <mergeCell ref="B3:D3"/>
    <mergeCell ref="B7:C7"/>
    <mergeCell ref="B4:D4"/>
    <mergeCell ref="B8:C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8"/>
  <sheetViews>
    <sheetView zoomScalePageLayoutView="0" workbookViewId="0" topLeftCell="D1">
      <selection activeCell="A2" sqref="A2:K2"/>
    </sheetView>
  </sheetViews>
  <sheetFormatPr defaultColWidth="9.00390625" defaultRowHeight="12.75"/>
  <cols>
    <col min="1" max="1" width="5.125" style="35" bestFit="1" customWidth="1"/>
    <col min="2" max="2" width="8.875" style="31" customWidth="1"/>
    <col min="3" max="3" width="69.25390625" style="31" customWidth="1"/>
    <col min="4" max="4" width="9.75390625" style="31" bestFit="1" customWidth="1"/>
    <col min="5" max="5" width="10.375" style="31" bestFit="1" customWidth="1"/>
    <col min="6" max="6" width="16.125" style="31" bestFit="1" customWidth="1"/>
    <col min="7" max="7" width="9.75390625" style="31" bestFit="1" customWidth="1"/>
    <col min="8" max="8" width="11.25390625" style="31" customWidth="1"/>
    <col min="9" max="9" width="9.625" style="31" customWidth="1"/>
    <col min="10" max="10" width="11.25390625" style="31" customWidth="1"/>
    <col min="11" max="12" width="16.125" style="31" bestFit="1" customWidth="1"/>
    <col min="13" max="13" width="9.125" style="31" customWidth="1"/>
    <col min="14" max="14" width="12.375" style="31" bestFit="1" customWidth="1"/>
    <col min="15" max="16384" width="9.125" style="31" customWidth="1"/>
  </cols>
  <sheetData>
    <row r="1" spans="9:13" ht="15" customHeight="1">
      <c r="I1" s="573" t="s">
        <v>1057</v>
      </c>
      <c r="J1" s="176"/>
      <c r="K1" s="176"/>
      <c r="L1" s="572"/>
      <c r="M1" s="176"/>
    </row>
    <row r="2" spans="1:256" ht="15.75">
      <c r="A2" s="1265" t="s">
        <v>931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266" t="s">
        <v>932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267" t="s">
        <v>457</v>
      </c>
      <c r="B5" s="1268"/>
      <c r="C5" s="1269"/>
      <c r="D5" s="1267" t="s">
        <v>450</v>
      </c>
      <c r="E5" s="1268"/>
      <c r="F5" s="1270"/>
      <c r="G5" s="1271" t="s">
        <v>586</v>
      </c>
      <c r="H5" s="1272"/>
      <c r="I5" s="1272"/>
      <c r="J5" s="1273"/>
      <c r="K5" s="1274"/>
      <c r="L5" s="1259" t="s">
        <v>368</v>
      </c>
      <c r="M5" s="29"/>
      <c r="N5" s="29" t="s">
        <v>488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261" t="s">
        <v>458</v>
      </c>
      <c r="B6" s="1262"/>
      <c r="C6" s="24" t="s">
        <v>459</v>
      </c>
      <c r="D6" s="25" t="s">
        <v>460</v>
      </c>
      <c r="E6" s="27" t="s">
        <v>461</v>
      </c>
      <c r="F6" s="28" t="s">
        <v>487</v>
      </c>
      <c r="G6" s="25" t="s">
        <v>462</v>
      </c>
      <c r="H6" s="26" t="s">
        <v>473</v>
      </c>
      <c r="I6" s="26" t="s">
        <v>463</v>
      </c>
      <c r="J6" s="26" t="s">
        <v>473</v>
      </c>
      <c r="K6" s="28" t="s">
        <v>629</v>
      </c>
      <c r="L6" s="126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263" t="s">
        <v>435</v>
      </c>
      <c r="B7" s="1264"/>
      <c r="C7" s="116" t="s">
        <v>436</v>
      </c>
      <c r="D7" s="117" t="s">
        <v>437</v>
      </c>
      <c r="E7" s="118" t="s">
        <v>438</v>
      </c>
      <c r="F7" s="119" t="s">
        <v>439</v>
      </c>
      <c r="G7" s="117" t="s">
        <v>440</v>
      </c>
      <c r="H7" s="120" t="s">
        <v>442</v>
      </c>
      <c r="I7" s="120" t="s">
        <v>443</v>
      </c>
      <c r="J7" s="120" t="s">
        <v>394</v>
      </c>
      <c r="K7" s="119" t="s">
        <v>395</v>
      </c>
      <c r="L7" s="157" t="s">
        <v>396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ht="12.75">
      <c r="A8" s="888" t="s">
        <v>476</v>
      </c>
      <c r="B8" s="137"/>
      <c r="C8" s="138" t="s">
        <v>485</v>
      </c>
      <c r="D8" s="139"/>
      <c r="E8" s="140"/>
      <c r="F8" s="141">
        <f>F9+F10+F15+F16+F17</f>
        <v>209343981</v>
      </c>
      <c r="G8" s="139"/>
      <c r="H8" s="142"/>
      <c r="I8" s="142"/>
      <c r="J8" s="140"/>
      <c r="K8" s="141"/>
      <c r="L8" s="158">
        <f aca="true" t="shared" si="0" ref="L8:L14">F8+K8</f>
        <v>209343981</v>
      </c>
      <c r="M8" s="135"/>
      <c r="N8" s="160">
        <f>SUM(N9:N17)</f>
        <v>209343981</v>
      </c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</row>
    <row r="9" spans="1:256" ht="12.75">
      <c r="A9" s="889"/>
      <c r="B9" s="130" t="s">
        <v>527</v>
      </c>
      <c r="C9" s="131" t="s">
        <v>474</v>
      </c>
      <c r="D9" s="575">
        <v>26.11</v>
      </c>
      <c r="E9" s="576">
        <v>5450000</v>
      </c>
      <c r="F9" s="577">
        <f>D9*E9</f>
        <v>142299500</v>
      </c>
      <c r="G9" s="578"/>
      <c r="H9" s="579"/>
      <c r="I9" s="579"/>
      <c r="J9" s="576"/>
      <c r="K9" s="577"/>
      <c r="L9" s="580">
        <f t="shared" si="0"/>
        <v>142299500</v>
      </c>
      <c r="M9" s="132"/>
      <c r="N9" s="175">
        <f>SUM(L9)</f>
        <v>142299500</v>
      </c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256" ht="12.75">
      <c r="A10" s="889"/>
      <c r="B10" s="130" t="s">
        <v>528</v>
      </c>
      <c r="C10" s="131" t="s">
        <v>822</v>
      </c>
      <c r="D10" s="578"/>
      <c r="E10" s="576"/>
      <c r="F10" s="577">
        <v>65506481</v>
      </c>
      <c r="G10" s="578"/>
      <c r="H10" s="579"/>
      <c r="I10" s="579"/>
      <c r="J10" s="576"/>
      <c r="K10" s="577"/>
      <c r="L10" s="580">
        <f t="shared" si="0"/>
        <v>65506481</v>
      </c>
      <c r="M10" s="132"/>
      <c r="N10" s="175">
        <f>SUM(L11:L14)</f>
        <v>65506481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spans="1:14" ht="12.75">
      <c r="A11" s="890"/>
      <c r="B11" s="128" t="s">
        <v>529</v>
      </c>
      <c r="C11" s="129" t="s">
        <v>823</v>
      </c>
      <c r="D11" s="581"/>
      <c r="E11" s="582">
        <v>25200</v>
      </c>
      <c r="F11" s="583">
        <v>20189141</v>
      </c>
      <c r="G11" s="581"/>
      <c r="H11" s="584"/>
      <c r="I11" s="584"/>
      <c r="J11" s="582"/>
      <c r="K11" s="583"/>
      <c r="L11" s="585">
        <f t="shared" si="0"/>
        <v>20189141</v>
      </c>
      <c r="M11" s="30"/>
      <c r="N11" s="175"/>
    </row>
    <row r="12" spans="1:14" ht="12.75">
      <c r="A12" s="890"/>
      <c r="B12" s="128" t="s">
        <v>530</v>
      </c>
      <c r="C12" s="129" t="s">
        <v>824</v>
      </c>
      <c r="D12" s="581"/>
      <c r="E12" s="582"/>
      <c r="F12" s="583">
        <v>30240000</v>
      </c>
      <c r="G12" s="581"/>
      <c r="H12" s="584"/>
      <c r="I12" s="584"/>
      <c r="J12" s="582"/>
      <c r="K12" s="583"/>
      <c r="L12" s="585">
        <f t="shared" si="0"/>
        <v>30240000</v>
      </c>
      <c r="M12" s="30"/>
      <c r="N12" s="175"/>
    </row>
    <row r="13" spans="1:14" ht="12.75">
      <c r="A13" s="890"/>
      <c r="B13" s="128" t="s">
        <v>531</v>
      </c>
      <c r="C13" s="129" t="s">
        <v>825</v>
      </c>
      <c r="D13" s="581"/>
      <c r="E13" s="582"/>
      <c r="F13" s="583">
        <v>0</v>
      </c>
      <c r="G13" s="581"/>
      <c r="H13" s="584"/>
      <c r="I13" s="584"/>
      <c r="J13" s="582"/>
      <c r="K13" s="583"/>
      <c r="L13" s="585">
        <f t="shared" si="0"/>
        <v>0</v>
      </c>
      <c r="M13" s="30"/>
      <c r="N13" s="175"/>
    </row>
    <row r="14" spans="1:14" ht="12.75">
      <c r="A14" s="890"/>
      <c r="B14" s="128" t="s">
        <v>532</v>
      </c>
      <c r="C14" s="129" t="s">
        <v>826</v>
      </c>
      <c r="D14" s="581"/>
      <c r="E14" s="582"/>
      <c r="F14" s="583">
        <v>15077340</v>
      </c>
      <c r="G14" s="581"/>
      <c r="H14" s="584"/>
      <c r="I14" s="584"/>
      <c r="J14" s="582"/>
      <c r="K14" s="583"/>
      <c r="L14" s="585">
        <f t="shared" si="0"/>
        <v>15077340</v>
      </c>
      <c r="M14" s="30"/>
      <c r="N14" s="175"/>
    </row>
    <row r="15" spans="1:256" ht="12.75">
      <c r="A15" s="889"/>
      <c r="B15" s="130" t="s">
        <v>533</v>
      </c>
      <c r="C15" s="134" t="s">
        <v>829</v>
      </c>
      <c r="D15" s="578">
        <v>8650</v>
      </c>
      <c r="E15" s="576">
        <v>2700</v>
      </c>
      <c r="F15" s="577">
        <v>0</v>
      </c>
      <c r="G15" s="578"/>
      <c r="H15" s="579"/>
      <c r="I15" s="579"/>
      <c r="J15" s="576"/>
      <c r="K15" s="577"/>
      <c r="L15" s="580">
        <f>F15+K15</f>
        <v>0</v>
      </c>
      <c r="M15" s="132"/>
      <c r="N15" s="175">
        <f>SUM(L15)</f>
        <v>0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spans="1:256" ht="12.75">
      <c r="A16" s="889"/>
      <c r="B16" s="130" t="s">
        <v>534</v>
      </c>
      <c r="C16" s="134" t="s">
        <v>90</v>
      </c>
      <c r="D16" s="578">
        <v>264</v>
      </c>
      <c r="E16" s="576">
        <v>2550</v>
      </c>
      <c r="F16" s="577">
        <v>0</v>
      </c>
      <c r="G16" s="578"/>
      <c r="H16" s="579"/>
      <c r="I16" s="579"/>
      <c r="J16" s="576"/>
      <c r="K16" s="577"/>
      <c r="L16" s="580">
        <f>F16+K16</f>
        <v>0</v>
      </c>
      <c r="M16" s="132"/>
      <c r="N16" s="175">
        <f>SUM(L16)</f>
        <v>0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spans="1:256" ht="12.75">
      <c r="A17" s="889"/>
      <c r="B17" s="130" t="s">
        <v>747</v>
      </c>
      <c r="C17" s="134" t="s">
        <v>748</v>
      </c>
      <c r="D17" s="578"/>
      <c r="E17" s="576"/>
      <c r="F17" s="577">
        <v>1538000</v>
      </c>
      <c r="G17" s="578"/>
      <c r="H17" s="579"/>
      <c r="I17" s="579"/>
      <c r="J17" s="576"/>
      <c r="K17" s="577"/>
      <c r="L17" s="580">
        <f>F17+K17</f>
        <v>1538000</v>
      </c>
      <c r="M17" s="132"/>
      <c r="N17" s="175">
        <f>SUM(L17)</f>
        <v>1538000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spans="1:14" ht="25.5">
      <c r="A18" s="888" t="s">
        <v>475</v>
      </c>
      <c r="B18" s="143"/>
      <c r="C18" s="138" t="s">
        <v>111</v>
      </c>
      <c r="D18" s="586"/>
      <c r="E18" s="587"/>
      <c r="F18" s="141"/>
      <c r="G18" s="586"/>
      <c r="H18" s="588"/>
      <c r="I18" s="588"/>
      <c r="J18" s="587"/>
      <c r="K18" s="141">
        <f>K19+K22+K23+K24</f>
        <v>118098200</v>
      </c>
      <c r="L18" s="158">
        <f>F18+K18</f>
        <v>118098200</v>
      </c>
      <c r="M18" s="30"/>
      <c r="N18" s="159">
        <f>SUM(N22:N24,+N19)</f>
        <v>118098200</v>
      </c>
    </row>
    <row r="19" spans="1:256" ht="25.5">
      <c r="A19" s="891"/>
      <c r="B19" s="130" t="s">
        <v>477</v>
      </c>
      <c r="C19" s="131" t="s">
        <v>112</v>
      </c>
      <c r="D19" s="578"/>
      <c r="E19" s="576"/>
      <c r="F19" s="577"/>
      <c r="G19" s="578"/>
      <c r="H19" s="579"/>
      <c r="I19" s="579"/>
      <c r="J19" s="576"/>
      <c r="K19" s="577">
        <f>SUM(K20:K21)</f>
        <v>94595400</v>
      </c>
      <c r="L19" s="580">
        <f>SUM(K19,F19)</f>
        <v>94595400</v>
      </c>
      <c r="M19" s="132"/>
      <c r="N19" s="175">
        <f>SUM(L20:L21)</f>
        <v>94595400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spans="1:14" ht="12.75">
      <c r="A20" s="890"/>
      <c r="B20" s="128" t="s">
        <v>749</v>
      </c>
      <c r="C20" s="129" t="s">
        <v>478</v>
      </c>
      <c r="D20" s="581"/>
      <c r="E20" s="582"/>
      <c r="F20" s="583"/>
      <c r="G20" s="589">
        <v>15.6</v>
      </c>
      <c r="H20" s="584">
        <v>4371500</v>
      </c>
      <c r="I20" s="590">
        <v>15.6</v>
      </c>
      <c r="J20" s="584">
        <v>4371500</v>
      </c>
      <c r="K20" s="583">
        <f>(G20*H20/12*8)+(I20*J20/12*4)</f>
        <v>68195400</v>
      </c>
      <c r="L20" s="585">
        <f aca="true" t="shared" si="1" ref="L20:L44">F20+K20</f>
        <v>68195400</v>
      </c>
      <c r="M20" s="30"/>
      <c r="N20" s="175"/>
    </row>
    <row r="21" spans="1:14" ht="25.5">
      <c r="A21" s="890"/>
      <c r="B21" s="128" t="s">
        <v>750</v>
      </c>
      <c r="C21" s="163" t="s">
        <v>588</v>
      </c>
      <c r="D21" s="581"/>
      <c r="E21" s="582"/>
      <c r="F21" s="583"/>
      <c r="G21" s="581">
        <v>11</v>
      </c>
      <c r="H21" s="584">
        <v>2400000</v>
      </c>
      <c r="I21" s="584">
        <v>11</v>
      </c>
      <c r="J21" s="582">
        <v>2400000</v>
      </c>
      <c r="K21" s="583">
        <f>(G21*H21/12*8)+(I21*J21/12*4)</f>
        <v>26400000</v>
      </c>
      <c r="L21" s="585">
        <f t="shared" si="1"/>
        <v>26400000</v>
      </c>
      <c r="M21" s="30"/>
      <c r="N21" s="175"/>
    </row>
    <row r="22" spans="1:256" ht="12.75">
      <c r="A22" s="889"/>
      <c r="B22" s="130" t="s">
        <v>479</v>
      </c>
      <c r="C22" s="134" t="s">
        <v>480</v>
      </c>
      <c r="D22" s="591"/>
      <c r="E22" s="592"/>
      <c r="F22" s="577"/>
      <c r="G22" s="593">
        <v>179</v>
      </c>
      <c r="H22" s="579">
        <v>97400</v>
      </c>
      <c r="I22" s="594">
        <v>179</v>
      </c>
      <c r="J22" s="576">
        <v>97400</v>
      </c>
      <c r="K22" s="577">
        <f>(G22*H22/12*8)+(I22*J22/12*4)</f>
        <v>17434600</v>
      </c>
      <c r="L22" s="580">
        <f t="shared" si="1"/>
        <v>17434600</v>
      </c>
      <c r="M22" s="132"/>
      <c r="N22" s="175">
        <f>SUM(L22)</f>
        <v>17434600</v>
      </c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spans="1:256" ht="12.75">
      <c r="A23" s="889"/>
      <c r="B23" s="130" t="s">
        <v>630</v>
      </c>
      <c r="C23" s="134" t="s">
        <v>631</v>
      </c>
      <c r="D23" s="595"/>
      <c r="E23" s="596"/>
      <c r="F23" s="577"/>
      <c r="G23" s="593"/>
      <c r="H23" s="579"/>
      <c r="I23" s="594"/>
      <c r="J23" s="576"/>
      <c r="K23" s="577">
        <v>0</v>
      </c>
      <c r="L23" s="580">
        <f>F23+K23</f>
        <v>0</v>
      </c>
      <c r="M23" s="132"/>
      <c r="N23" s="175">
        <f>SUM(L23)</f>
        <v>0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spans="1:256" ht="25.5">
      <c r="A24" s="889"/>
      <c r="B24" s="130" t="s">
        <v>535</v>
      </c>
      <c r="C24" s="131" t="s">
        <v>536</v>
      </c>
      <c r="D24" s="591"/>
      <c r="E24" s="592"/>
      <c r="F24" s="577"/>
      <c r="G24" s="593"/>
      <c r="H24" s="579"/>
      <c r="I24" s="594"/>
      <c r="J24" s="576"/>
      <c r="K24" s="577">
        <f>SUM(K25:K28)</f>
        <v>6068200</v>
      </c>
      <c r="L24" s="580">
        <f>F24+K24</f>
        <v>6068200</v>
      </c>
      <c r="M24" s="132"/>
      <c r="N24" s="175">
        <f>SUM(L25:L28)</f>
        <v>6068200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14" ht="25.5">
      <c r="A25" s="890"/>
      <c r="B25" s="128" t="s">
        <v>632</v>
      </c>
      <c r="C25" s="163" t="s">
        <v>933</v>
      </c>
      <c r="D25" s="581"/>
      <c r="E25" s="582"/>
      <c r="F25" s="583"/>
      <c r="G25" s="581">
        <v>8</v>
      </c>
      <c r="H25" s="584">
        <v>396700</v>
      </c>
      <c r="I25" s="584"/>
      <c r="J25" s="582"/>
      <c r="K25" s="583">
        <f>G25*H25</f>
        <v>3173600</v>
      </c>
      <c r="L25" s="585">
        <f>SUM(K25)</f>
        <v>3173600</v>
      </c>
      <c r="M25" s="30"/>
      <c r="N25" s="175"/>
    </row>
    <row r="26" spans="1:14" ht="38.25">
      <c r="A26" s="890"/>
      <c r="B26" s="128"/>
      <c r="C26" s="163" t="s">
        <v>934</v>
      </c>
      <c r="D26" s="581"/>
      <c r="E26" s="582"/>
      <c r="F26" s="583"/>
      <c r="G26" s="581">
        <v>0</v>
      </c>
      <c r="H26" s="584">
        <v>363642</v>
      </c>
      <c r="I26" s="584"/>
      <c r="J26" s="582"/>
      <c r="K26" s="583">
        <f>G26*H26</f>
        <v>0</v>
      </c>
      <c r="L26" s="585">
        <f>SUM(K26)</f>
        <v>0</v>
      </c>
      <c r="M26" s="30"/>
      <c r="N26" s="175"/>
    </row>
    <row r="27" spans="1:14" ht="25.5">
      <c r="A27" s="890"/>
      <c r="B27" s="128" t="s">
        <v>633</v>
      </c>
      <c r="C27" s="163" t="s">
        <v>935</v>
      </c>
      <c r="D27" s="581"/>
      <c r="E27" s="582"/>
      <c r="F27" s="583"/>
      <c r="G27" s="581">
        <v>2</v>
      </c>
      <c r="H27" s="584">
        <v>1447300</v>
      </c>
      <c r="I27" s="584"/>
      <c r="J27" s="582"/>
      <c r="K27" s="583">
        <f>G27*H27</f>
        <v>2894600</v>
      </c>
      <c r="L27" s="585">
        <f>SUM(K27)</f>
        <v>2894600</v>
      </c>
      <c r="M27" s="30"/>
      <c r="N27" s="175"/>
    </row>
    <row r="28" spans="1:14" ht="38.25">
      <c r="A28" s="890"/>
      <c r="B28" s="128"/>
      <c r="C28" s="163" t="s">
        <v>936</v>
      </c>
      <c r="D28" s="581"/>
      <c r="E28" s="582"/>
      <c r="F28" s="583"/>
      <c r="G28" s="581">
        <v>0</v>
      </c>
      <c r="H28" s="584">
        <v>1326692</v>
      </c>
      <c r="I28" s="584"/>
      <c r="J28" s="582"/>
      <c r="K28" s="583">
        <f>G28*H28</f>
        <v>0</v>
      </c>
      <c r="L28" s="585">
        <f>SUM(K28)</f>
        <v>0</v>
      </c>
      <c r="M28" s="30"/>
      <c r="N28" s="175"/>
    </row>
    <row r="29" spans="1:256" ht="25.5">
      <c r="A29" s="888" t="s">
        <v>481</v>
      </c>
      <c r="B29" s="144"/>
      <c r="C29" s="138" t="s">
        <v>113</v>
      </c>
      <c r="D29" s="139"/>
      <c r="E29" s="140"/>
      <c r="F29" s="141">
        <f>SUM(F30:F31,F39)</f>
        <v>125574661</v>
      </c>
      <c r="G29" s="597"/>
      <c r="H29" s="142"/>
      <c r="I29" s="598"/>
      <c r="J29" s="140"/>
      <c r="K29" s="141">
        <f>SUM(K30:K31,K35,K39)</f>
        <v>41555142</v>
      </c>
      <c r="L29" s="141">
        <f>SUM(L30:L31,L39,L35)</f>
        <v>167129803</v>
      </c>
      <c r="M29" s="132"/>
      <c r="N29" s="159">
        <f>SUM(N30:N42)</f>
        <v>167129803</v>
      </c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ht="12.75">
      <c r="A30" s="889"/>
      <c r="B30" s="130" t="s">
        <v>482</v>
      </c>
      <c r="C30" s="134" t="s">
        <v>900</v>
      </c>
      <c r="D30" s="591"/>
      <c r="E30" s="592"/>
      <c r="F30" s="577">
        <v>48822917</v>
      </c>
      <c r="G30" s="593"/>
      <c r="H30" s="579"/>
      <c r="I30" s="594"/>
      <c r="J30" s="576"/>
      <c r="K30" s="577"/>
      <c r="L30" s="580">
        <f t="shared" si="1"/>
        <v>48822917</v>
      </c>
      <c r="M30" s="132"/>
      <c r="N30" s="175">
        <f>SUM(L30)</f>
        <v>48822917</v>
      </c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spans="1:256" ht="12.75">
      <c r="A31" s="889"/>
      <c r="B31" s="130" t="s">
        <v>483</v>
      </c>
      <c r="C31" s="134" t="s">
        <v>484</v>
      </c>
      <c r="D31" s="591"/>
      <c r="E31" s="592"/>
      <c r="F31" s="577">
        <f>SUM(F32:F33)</f>
        <v>0</v>
      </c>
      <c r="G31" s="593"/>
      <c r="H31" s="579"/>
      <c r="I31" s="594"/>
      <c r="J31" s="576"/>
      <c r="K31" s="577">
        <f>SUM(K32:K34)</f>
        <v>29611142</v>
      </c>
      <c r="L31" s="580">
        <f t="shared" si="1"/>
        <v>29611142</v>
      </c>
      <c r="M31" s="132"/>
      <c r="N31" s="175">
        <f>SUM(L32:L33)</f>
        <v>22308000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spans="1:14" ht="12.75">
      <c r="A32" s="890"/>
      <c r="B32" s="128" t="s">
        <v>937</v>
      </c>
      <c r="C32" s="129" t="s">
        <v>589</v>
      </c>
      <c r="D32" s="589"/>
      <c r="E32" s="582"/>
      <c r="F32" s="583"/>
      <c r="G32" s="599"/>
      <c r="H32" s="584"/>
      <c r="I32" s="600"/>
      <c r="J32" s="582"/>
      <c r="K32" s="583">
        <v>4158000</v>
      </c>
      <c r="L32" s="585">
        <f t="shared" si="1"/>
        <v>4158000</v>
      </c>
      <c r="M32" s="30"/>
      <c r="N32" s="30"/>
    </row>
    <row r="33" spans="1:14" ht="12.75">
      <c r="A33" s="890"/>
      <c r="B33" s="128" t="s">
        <v>938</v>
      </c>
      <c r="C33" s="129" t="s">
        <v>590</v>
      </c>
      <c r="D33" s="589"/>
      <c r="E33" s="582"/>
      <c r="F33" s="583"/>
      <c r="G33" s="599"/>
      <c r="H33" s="584"/>
      <c r="I33" s="600"/>
      <c r="J33" s="582"/>
      <c r="K33" s="583">
        <v>18150000</v>
      </c>
      <c r="L33" s="585">
        <f t="shared" si="1"/>
        <v>18150000</v>
      </c>
      <c r="M33" s="30"/>
      <c r="N33" s="30"/>
    </row>
    <row r="34" spans="1:14" ht="12.75">
      <c r="A34" s="890"/>
      <c r="B34" s="128" t="s">
        <v>939</v>
      </c>
      <c r="C34" s="129" t="s">
        <v>830</v>
      </c>
      <c r="D34" s="581"/>
      <c r="E34" s="582"/>
      <c r="F34" s="583"/>
      <c r="G34" s="599"/>
      <c r="H34" s="584"/>
      <c r="I34" s="600"/>
      <c r="J34" s="582"/>
      <c r="K34" s="583">
        <v>7303142</v>
      </c>
      <c r="L34" s="585">
        <f t="shared" si="1"/>
        <v>7303142</v>
      </c>
      <c r="M34" s="30"/>
      <c r="N34" s="30">
        <f>SUM(L34)</f>
        <v>7303142</v>
      </c>
    </row>
    <row r="35" spans="1:256" ht="12.75">
      <c r="A35" s="889"/>
      <c r="B35" s="130" t="s">
        <v>940</v>
      </c>
      <c r="C35" s="134" t="s">
        <v>751</v>
      </c>
      <c r="D35" s="591"/>
      <c r="E35" s="592"/>
      <c r="F35" s="577"/>
      <c r="G35" s="593"/>
      <c r="H35" s="579"/>
      <c r="I35" s="594"/>
      <c r="J35" s="576"/>
      <c r="K35" s="577">
        <f>SUM(K36:K38)</f>
        <v>11944000</v>
      </c>
      <c r="L35" s="580">
        <f>F35+K35</f>
        <v>11944000</v>
      </c>
      <c r="M35" s="132"/>
      <c r="N35" s="175">
        <f>SUM(L36:L37)</f>
        <v>10405000</v>
      </c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spans="1:14" ht="12.75">
      <c r="A36" s="890"/>
      <c r="B36" s="128" t="s">
        <v>941</v>
      </c>
      <c r="C36" s="163" t="s">
        <v>752</v>
      </c>
      <c r="D36" s="601"/>
      <c r="E36" s="582"/>
      <c r="F36" s="583"/>
      <c r="G36" s="581">
        <v>1</v>
      </c>
      <c r="H36" s="584">
        <v>4419000</v>
      </c>
      <c r="I36" s="584"/>
      <c r="J36" s="582"/>
      <c r="K36" s="583">
        <f>G36*H36</f>
        <v>4419000</v>
      </c>
      <c r="L36" s="603">
        <f>F36+K36</f>
        <v>4419000</v>
      </c>
      <c r="M36" s="30"/>
      <c r="N36" s="30"/>
    </row>
    <row r="37" spans="1:14" ht="25.5">
      <c r="A37" s="890"/>
      <c r="B37" s="128" t="s">
        <v>942</v>
      </c>
      <c r="C37" s="163" t="s">
        <v>753</v>
      </c>
      <c r="D37" s="601"/>
      <c r="E37" s="582"/>
      <c r="F37" s="583"/>
      <c r="G37" s="581">
        <v>2</v>
      </c>
      <c r="H37" s="584">
        <v>2993000</v>
      </c>
      <c r="I37" s="584"/>
      <c r="J37" s="582"/>
      <c r="K37" s="583">
        <f>G37*H37</f>
        <v>5986000</v>
      </c>
      <c r="L37" s="603">
        <f>F37+K37</f>
        <v>5986000</v>
      </c>
      <c r="M37" s="30"/>
      <c r="N37" s="30"/>
    </row>
    <row r="38" spans="1:14" ht="12.75">
      <c r="A38" s="890"/>
      <c r="B38" s="128" t="s">
        <v>591</v>
      </c>
      <c r="C38" s="163" t="s">
        <v>754</v>
      </c>
      <c r="D38" s="601"/>
      <c r="E38" s="582"/>
      <c r="F38" s="583"/>
      <c r="G38" s="581"/>
      <c r="H38" s="584"/>
      <c r="I38" s="584"/>
      <c r="J38" s="582"/>
      <c r="K38" s="797">
        <v>1539000</v>
      </c>
      <c r="L38" s="603">
        <f>F38+K38</f>
        <v>1539000</v>
      </c>
      <c r="M38" s="30"/>
      <c r="N38" s="30">
        <f>SUM(L38)</f>
        <v>1539000</v>
      </c>
    </row>
    <row r="39" spans="1:256" ht="12.75">
      <c r="A39" s="889"/>
      <c r="B39" s="130" t="s">
        <v>114</v>
      </c>
      <c r="C39" s="134" t="s">
        <v>755</v>
      </c>
      <c r="D39" s="591"/>
      <c r="E39" s="592"/>
      <c r="F39" s="577">
        <f>SUM(F40:F42)</f>
        <v>76751744</v>
      </c>
      <c r="G39" s="593"/>
      <c r="H39" s="579"/>
      <c r="I39" s="594"/>
      <c r="J39" s="576"/>
      <c r="K39" s="577">
        <f>SUM(K40:K42)</f>
        <v>0</v>
      </c>
      <c r="L39" s="580">
        <f t="shared" si="1"/>
        <v>76751744</v>
      </c>
      <c r="M39" s="132"/>
      <c r="N39" s="175">
        <f>SUM(L40:L42)</f>
        <v>76751744</v>
      </c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spans="1:14" ht="12.75">
      <c r="A40" s="890"/>
      <c r="B40" s="128" t="s">
        <v>827</v>
      </c>
      <c r="C40" s="163" t="s">
        <v>756</v>
      </c>
      <c r="D40" s="601">
        <v>10.3</v>
      </c>
      <c r="E40" s="602">
        <v>2200000</v>
      </c>
      <c r="F40" s="583">
        <f>E40*D40</f>
        <v>22660000</v>
      </c>
      <c r="G40" s="589"/>
      <c r="H40" s="584"/>
      <c r="I40" s="590"/>
      <c r="J40" s="582"/>
      <c r="K40" s="583"/>
      <c r="L40" s="603">
        <f t="shared" si="1"/>
        <v>22660000</v>
      </c>
      <c r="M40" s="30"/>
      <c r="N40" s="175"/>
    </row>
    <row r="41" spans="1:14" ht="12.75">
      <c r="A41" s="890"/>
      <c r="B41" s="128" t="s">
        <v>828</v>
      </c>
      <c r="C41" s="163" t="s">
        <v>116</v>
      </c>
      <c r="D41" s="601"/>
      <c r="E41" s="582"/>
      <c r="F41" s="797">
        <v>52368184</v>
      </c>
      <c r="G41" s="581"/>
      <c r="H41" s="584"/>
      <c r="I41" s="584"/>
      <c r="J41" s="582"/>
      <c r="K41" s="583"/>
      <c r="L41" s="603">
        <f>F41+K41</f>
        <v>52368184</v>
      </c>
      <c r="M41" s="30"/>
      <c r="N41" s="30"/>
    </row>
    <row r="42" spans="1:256" ht="12.75">
      <c r="A42" s="889"/>
      <c r="B42" s="128" t="s">
        <v>115</v>
      </c>
      <c r="C42" s="163" t="s">
        <v>757</v>
      </c>
      <c r="D42" s="792">
        <v>3180</v>
      </c>
      <c r="E42" s="793">
        <v>542</v>
      </c>
      <c r="F42" s="794">
        <f>D42*E42</f>
        <v>1723560</v>
      </c>
      <c r="G42" s="593"/>
      <c r="H42" s="579"/>
      <c r="I42" s="594"/>
      <c r="J42" s="576"/>
      <c r="K42" s="577"/>
      <c r="L42" s="603">
        <f t="shared" si="1"/>
        <v>1723560</v>
      </c>
      <c r="M42" s="132"/>
      <c r="N42" s="175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spans="1:256" ht="12.75">
      <c r="A43" s="888" t="s">
        <v>486</v>
      </c>
      <c r="B43" s="144"/>
      <c r="C43" s="138" t="s">
        <v>472</v>
      </c>
      <c r="D43" s="139"/>
      <c r="E43" s="140"/>
      <c r="F43" s="141">
        <f>SUM(F44)</f>
        <v>10821150</v>
      </c>
      <c r="G43" s="597"/>
      <c r="H43" s="142"/>
      <c r="I43" s="598"/>
      <c r="J43" s="140"/>
      <c r="K43" s="141"/>
      <c r="L43" s="158">
        <f t="shared" si="1"/>
        <v>10821150</v>
      </c>
      <c r="M43" s="132"/>
      <c r="N43" s="159">
        <f>SUM(L44)</f>
        <v>10821150</v>
      </c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spans="1:14" ht="25.5">
      <c r="A44" s="890"/>
      <c r="B44" s="128" t="s">
        <v>943</v>
      </c>
      <c r="C44" s="163" t="s">
        <v>117</v>
      </c>
      <c r="D44" s="581">
        <v>8650</v>
      </c>
      <c r="E44" s="582">
        <v>1251</v>
      </c>
      <c r="F44" s="583">
        <f>D44*E44</f>
        <v>10821150</v>
      </c>
      <c r="G44" s="604"/>
      <c r="H44" s="605"/>
      <c r="I44" s="600"/>
      <c r="J44" s="602"/>
      <c r="K44" s="583"/>
      <c r="L44" s="585">
        <f t="shared" si="1"/>
        <v>10821150</v>
      </c>
      <c r="M44" s="30"/>
      <c r="N44" s="30"/>
    </row>
    <row r="45" spans="1:256" ht="12.75">
      <c r="A45" s="889"/>
      <c r="B45" s="130"/>
      <c r="C45" s="134"/>
      <c r="D45" s="591"/>
      <c r="E45" s="592"/>
      <c r="F45" s="577"/>
      <c r="G45" s="593"/>
      <c r="H45" s="579"/>
      <c r="I45" s="594"/>
      <c r="J45" s="576"/>
      <c r="K45" s="577"/>
      <c r="L45" s="580"/>
      <c r="M45" s="132"/>
      <c r="N45" s="175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spans="1:256" ht="15">
      <c r="A46" s="1253" t="s">
        <v>489</v>
      </c>
      <c r="B46" s="1254"/>
      <c r="C46" s="1255"/>
      <c r="D46" s="606" t="s">
        <v>464</v>
      </c>
      <c r="E46" s="607" t="s">
        <v>464</v>
      </c>
      <c r="F46" s="608">
        <f>SUM(F43,F29,F18,F8)</f>
        <v>345739792</v>
      </c>
      <c r="G46" s="606" t="s">
        <v>464</v>
      </c>
      <c r="H46" s="609" t="s">
        <v>464</v>
      </c>
      <c r="I46" s="609" t="s">
        <v>464</v>
      </c>
      <c r="J46" s="607" t="s">
        <v>464</v>
      </c>
      <c r="K46" s="608">
        <f>SUM(K43,K29,K18,K8)</f>
        <v>159653342</v>
      </c>
      <c r="L46" s="610">
        <f>SUM(L43,L29,L18,L8)</f>
        <v>505393134</v>
      </c>
      <c r="M46" s="32"/>
      <c r="N46" s="33">
        <f>SUM(N43,N29,N18,N8)</f>
        <v>505393134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12" ht="12.75">
      <c r="A47" s="892"/>
      <c r="B47" s="893"/>
      <c r="C47" s="893"/>
      <c r="D47" s="894"/>
      <c r="E47" s="894"/>
      <c r="F47" s="894"/>
      <c r="G47" s="894"/>
      <c r="H47" s="894"/>
      <c r="I47" s="894"/>
      <c r="J47" s="894"/>
      <c r="K47" s="894"/>
      <c r="L47" s="895"/>
    </row>
    <row r="48" spans="1:256" ht="17.25" thickBot="1">
      <c r="A48" s="1256" t="s">
        <v>118</v>
      </c>
      <c r="B48" s="1257"/>
      <c r="C48" s="1258"/>
      <c r="D48" s="896" t="s">
        <v>464</v>
      </c>
      <c r="E48" s="897" t="s">
        <v>464</v>
      </c>
      <c r="F48" s="898">
        <f>SUM(F46)</f>
        <v>345739792</v>
      </c>
      <c r="G48" s="896" t="s">
        <v>464</v>
      </c>
      <c r="H48" s="899" t="s">
        <v>464</v>
      </c>
      <c r="I48" s="899" t="s">
        <v>464</v>
      </c>
      <c r="J48" s="897" t="s">
        <v>464</v>
      </c>
      <c r="K48" s="898">
        <f>SUM(K46)</f>
        <v>159653342</v>
      </c>
      <c r="L48" s="900">
        <f>SUM(K48+F48)</f>
        <v>505393134</v>
      </c>
      <c r="M48" s="32"/>
      <c r="N48" s="33">
        <f>SUM(N46)</f>
        <v>505393134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</sheetData>
  <sheetProtection/>
  <mergeCells count="10">
    <mergeCell ref="A46:C46"/>
    <mergeCell ref="A48:C48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84" customWidth="1"/>
    <col min="2" max="2" width="36.125" style="185" customWidth="1"/>
    <col min="3" max="3" width="15.00390625" style="185" customWidth="1"/>
    <col min="4" max="4" width="11.125" style="185" bestFit="1" customWidth="1"/>
    <col min="5" max="5" width="11.875" style="185" customWidth="1"/>
    <col min="6" max="6" width="11.75390625" style="185" customWidth="1"/>
    <col min="7" max="8" width="11.25390625" style="185" customWidth="1"/>
    <col min="9" max="9" width="11.75390625" style="185" customWidth="1"/>
    <col min="10" max="11" width="15.375" style="185" customWidth="1"/>
    <col min="12" max="12" width="16.625" style="185" customWidth="1"/>
  </cols>
  <sheetData>
    <row r="1" spans="2:12" ht="15">
      <c r="B1" s="1314" t="s">
        <v>1058</v>
      </c>
      <c r="C1" s="1314"/>
      <c r="D1" s="1314"/>
      <c r="E1" s="1314"/>
      <c r="F1" s="1314"/>
      <c r="G1" s="1314"/>
      <c r="H1" s="1314"/>
      <c r="I1" s="1314"/>
      <c r="J1" s="1314"/>
      <c r="K1" s="1314"/>
      <c r="L1" s="1314"/>
    </row>
    <row r="4" spans="2:12" ht="41.25" customHeight="1">
      <c r="B4" s="1315" t="s">
        <v>968</v>
      </c>
      <c r="C4" s="1315"/>
      <c r="D4" s="1315"/>
      <c r="E4" s="1315"/>
      <c r="F4" s="1315"/>
      <c r="G4" s="1315"/>
      <c r="H4" s="1315"/>
      <c r="I4" s="1315"/>
      <c r="J4" s="1315"/>
      <c r="K4" s="1315"/>
      <c r="L4" s="1315"/>
    </row>
    <row r="7" ht="13.5" thickBot="1"/>
    <row r="8" spans="1:12" ht="12.75" customHeight="1">
      <c r="A8" s="1316" t="s">
        <v>441</v>
      </c>
      <c r="B8" s="1319" t="s">
        <v>363</v>
      </c>
      <c r="C8" s="1322" t="s">
        <v>798</v>
      </c>
      <c r="D8" s="1323"/>
      <c r="E8" s="1323"/>
      <c r="F8" s="1323"/>
      <c r="G8" s="1323"/>
      <c r="H8" s="1324"/>
      <c r="I8" s="1324"/>
      <c r="J8" s="1325" t="s">
        <v>969</v>
      </c>
      <c r="K8" s="1325" t="s">
        <v>970</v>
      </c>
      <c r="L8" s="1325" t="s">
        <v>971</v>
      </c>
    </row>
    <row r="9" spans="1:12" ht="12.75">
      <c r="A9" s="1317"/>
      <c r="B9" s="1320"/>
      <c r="C9" s="1328" t="s">
        <v>430</v>
      </c>
      <c r="D9" s="1329" t="s">
        <v>799</v>
      </c>
      <c r="E9" s="1330"/>
      <c r="F9" s="1330"/>
      <c r="G9" s="1330"/>
      <c r="H9" s="1331"/>
      <c r="I9" s="1331"/>
      <c r="J9" s="1326"/>
      <c r="K9" s="1326"/>
      <c r="L9" s="1326"/>
    </row>
    <row r="10" spans="1:12" ht="42" customHeight="1">
      <c r="A10" s="1318"/>
      <c r="B10" s="1321"/>
      <c r="C10" s="1328"/>
      <c r="D10" s="686" t="s">
        <v>451</v>
      </c>
      <c r="E10" s="686" t="s">
        <v>452</v>
      </c>
      <c r="F10" s="686" t="s">
        <v>453</v>
      </c>
      <c r="G10" s="686" t="s">
        <v>454</v>
      </c>
      <c r="H10" s="687" t="s">
        <v>455</v>
      </c>
      <c r="I10" s="687" t="s">
        <v>456</v>
      </c>
      <c r="J10" s="1327"/>
      <c r="K10" s="1327"/>
      <c r="L10" s="1327"/>
    </row>
    <row r="11" spans="1:12" ht="13.5" thickBot="1">
      <c r="A11" s="685" t="s">
        <v>435</v>
      </c>
      <c r="B11" s="688" t="s">
        <v>436</v>
      </c>
      <c r="C11" s="689" t="s">
        <v>437</v>
      </c>
      <c r="D11" s="690" t="s">
        <v>438</v>
      </c>
      <c r="E11" s="691" t="s">
        <v>439</v>
      </c>
      <c r="F11" s="691" t="s">
        <v>440</v>
      </c>
      <c r="G11" s="691" t="s">
        <v>442</v>
      </c>
      <c r="H11" s="691" t="s">
        <v>443</v>
      </c>
      <c r="I11" s="691" t="s">
        <v>394</v>
      </c>
      <c r="J11" s="692" t="s">
        <v>395</v>
      </c>
      <c r="K11" s="692" t="s">
        <v>395</v>
      </c>
      <c r="L11" s="693" t="s">
        <v>396</v>
      </c>
    </row>
    <row r="12" spans="1:12" ht="19.5" thickBot="1" thickTop="1">
      <c r="A12" s="823">
        <v>1</v>
      </c>
      <c r="B12" s="1288" t="s">
        <v>86</v>
      </c>
      <c r="C12" s="1289"/>
      <c r="D12" s="1289"/>
      <c r="E12" s="1289"/>
      <c r="F12" s="1289"/>
      <c r="G12" s="1289"/>
      <c r="H12" s="1289"/>
      <c r="I12" s="1289"/>
      <c r="J12" s="1289"/>
      <c r="K12" s="1289"/>
      <c r="L12" s="1290"/>
    </row>
    <row r="13" spans="1:12" ht="14.25" thickBot="1" thickTop="1">
      <c r="A13" s="726"/>
      <c r="B13" s="1294"/>
      <c r="C13" s="1295"/>
      <c r="D13" s="1295"/>
      <c r="E13" s="1295"/>
      <c r="F13" s="1295"/>
      <c r="G13" s="1295"/>
      <c r="H13" s="1295"/>
      <c r="I13" s="1295"/>
      <c r="J13" s="1295"/>
      <c r="K13" s="1295"/>
      <c r="L13" s="1296"/>
    </row>
    <row r="14" spans="1:12" ht="30" customHeight="1" thickBot="1" thickTop="1">
      <c r="A14" s="824">
        <v>2</v>
      </c>
      <c r="B14" s="1304" t="s">
        <v>881</v>
      </c>
      <c r="C14" s="1305"/>
      <c r="D14" s="1305"/>
      <c r="E14" s="1305"/>
      <c r="F14" s="1305"/>
      <c r="G14" s="1305"/>
      <c r="H14" s="1305"/>
      <c r="I14" s="1305"/>
      <c r="J14" s="1306"/>
      <c r="K14" s="1306"/>
      <c r="L14" s="826"/>
    </row>
    <row r="15" spans="1:12" ht="12.75">
      <c r="A15" s="694">
        <v>3</v>
      </c>
      <c r="B15" s="697" t="s">
        <v>805</v>
      </c>
      <c r="C15" s="727">
        <v>0</v>
      </c>
      <c r="D15" s="728">
        <v>0</v>
      </c>
      <c r="E15" s="728">
        <v>0</v>
      </c>
      <c r="F15" s="728">
        <v>0</v>
      </c>
      <c r="G15" s="728">
        <v>0</v>
      </c>
      <c r="H15" s="728">
        <v>0</v>
      </c>
      <c r="I15" s="728">
        <v>0</v>
      </c>
      <c r="J15" s="701">
        <v>0</v>
      </c>
      <c r="K15" s="701">
        <v>0</v>
      </c>
      <c r="L15" s="1282"/>
    </row>
    <row r="16" spans="1:12" ht="13.5" thickBot="1">
      <c r="A16" s="729">
        <v>4</v>
      </c>
      <c r="B16" s="702" t="s">
        <v>801</v>
      </c>
      <c r="C16" s="730">
        <f>SUM(D16:I16)</f>
        <v>250634800</v>
      </c>
      <c r="D16" s="731">
        <v>0</v>
      </c>
      <c r="E16" s="705">
        <v>59135000</v>
      </c>
      <c r="F16" s="705">
        <v>52411853</v>
      </c>
      <c r="G16" s="705">
        <v>46362649</v>
      </c>
      <c r="H16" s="705">
        <v>46362649</v>
      </c>
      <c r="I16" s="705">
        <v>46362649</v>
      </c>
      <c r="J16" s="707">
        <v>6685989</v>
      </c>
      <c r="K16" s="707">
        <v>40118910</v>
      </c>
      <c r="L16" s="1283"/>
    </row>
    <row r="17" spans="1:12" ht="13.5" thickBot="1">
      <c r="A17" s="696">
        <v>5</v>
      </c>
      <c r="B17" s="708" t="s">
        <v>802</v>
      </c>
      <c r="C17" s="709">
        <f aca="true" t="shared" si="0" ref="C17:K17">SUM(C15:C16)</f>
        <v>250634800</v>
      </c>
      <c r="D17" s="710">
        <f t="shared" si="0"/>
        <v>0</v>
      </c>
      <c r="E17" s="710">
        <f t="shared" si="0"/>
        <v>59135000</v>
      </c>
      <c r="F17" s="710">
        <f t="shared" si="0"/>
        <v>52411853</v>
      </c>
      <c r="G17" s="710">
        <f t="shared" si="0"/>
        <v>46362649</v>
      </c>
      <c r="H17" s="710">
        <f t="shared" si="0"/>
        <v>46362649</v>
      </c>
      <c r="I17" s="710">
        <f t="shared" si="0"/>
        <v>46362649</v>
      </c>
      <c r="J17" s="714">
        <f>SUM(J15:J16)</f>
        <v>6685989</v>
      </c>
      <c r="K17" s="714">
        <f t="shared" si="0"/>
        <v>40118910</v>
      </c>
      <c r="L17" s="1284"/>
    </row>
    <row r="18" spans="1:12" ht="13.5" thickBot="1">
      <c r="A18" s="696"/>
      <c r="B18" s="1285"/>
      <c r="C18" s="1275"/>
      <c r="D18" s="1275"/>
      <c r="E18" s="1275"/>
      <c r="F18" s="1275"/>
      <c r="G18" s="1275"/>
      <c r="H18" s="1275"/>
      <c r="I18" s="1275"/>
      <c r="J18" s="1275"/>
      <c r="K18" s="1286"/>
      <c r="L18" s="695"/>
    </row>
    <row r="19" spans="1:12" ht="12.75">
      <c r="A19" s="732">
        <v>6</v>
      </c>
      <c r="B19" s="733" t="s">
        <v>806</v>
      </c>
      <c r="C19" s="717">
        <f>SUM(D19:I19)</f>
        <v>146735476</v>
      </c>
      <c r="D19" s="873">
        <v>2681560</v>
      </c>
      <c r="E19" s="873">
        <v>20997974</v>
      </c>
      <c r="F19" s="873">
        <v>41039699</v>
      </c>
      <c r="G19" s="873">
        <v>27338748</v>
      </c>
      <c r="H19" s="873">
        <v>27338748</v>
      </c>
      <c r="I19" s="873">
        <v>27338747</v>
      </c>
      <c r="J19" s="1282"/>
      <c r="K19" s="1282"/>
      <c r="L19" s="701">
        <v>29550455</v>
      </c>
    </row>
    <row r="20" spans="1:12" ht="12.75">
      <c r="A20" s="715">
        <v>7</v>
      </c>
      <c r="B20" s="719" t="s">
        <v>804</v>
      </c>
      <c r="C20" s="720">
        <f>SUM(D20:I20)</f>
        <v>88344324</v>
      </c>
      <c r="D20" s="873">
        <v>0</v>
      </c>
      <c r="E20" s="873">
        <v>14084323</v>
      </c>
      <c r="F20" s="873">
        <v>17188297</v>
      </c>
      <c r="G20" s="873">
        <v>19023901</v>
      </c>
      <c r="H20" s="873">
        <v>19023901</v>
      </c>
      <c r="I20" s="873">
        <v>19023902</v>
      </c>
      <c r="J20" s="1283"/>
      <c r="K20" s="1283"/>
      <c r="L20" s="707">
        <v>17254444</v>
      </c>
    </row>
    <row r="21" spans="1:12" ht="13.5" thickBot="1">
      <c r="A21" s="715">
        <v>8</v>
      </c>
      <c r="B21" s="716" t="s">
        <v>803</v>
      </c>
      <c r="C21" s="745">
        <f>SUM(D21:I21)</f>
        <v>15555000</v>
      </c>
      <c r="D21" s="874">
        <v>0</v>
      </c>
      <c r="E21" s="874">
        <f>2893619+1250000</f>
        <v>4143619</v>
      </c>
      <c r="F21" s="874">
        <v>11411381</v>
      </c>
      <c r="G21" s="874">
        <v>0</v>
      </c>
      <c r="H21" s="874">
        <v>0</v>
      </c>
      <c r="I21" s="874">
        <v>0</v>
      </c>
      <c r="J21" s="1283"/>
      <c r="K21" s="1283"/>
      <c r="L21" s="827">
        <v>0</v>
      </c>
    </row>
    <row r="22" spans="1:12" ht="13.5" thickBot="1">
      <c r="A22" s="734">
        <v>9</v>
      </c>
      <c r="B22" s="735" t="s">
        <v>372</v>
      </c>
      <c r="C22" s="723">
        <f aca="true" t="shared" si="1" ref="C22:I22">SUM(C19:C21)</f>
        <v>250634800</v>
      </c>
      <c r="D22" s="736">
        <f t="shared" si="1"/>
        <v>2681560</v>
      </c>
      <c r="E22" s="736">
        <f t="shared" si="1"/>
        <v>39225916</v>
      </c>
      <c r="F22" s="736">
        <f t="shared" si="1"/>
        <v>69639377</v>
      </c>
      <c r="G22" s="736">
        <f t="shared" si="1"/>
        <v>46362649</v>
      </c>
      <c r="H22" s="736">
        <f t="shared" si="1"/>
        <v>46362649</v>
      </c>
      <c r="I22" s="736">
        <f t="shared" si="1"/>
        <v>46362649</v>
      </c>
      <c r="J22" s="1287"/>
      <c r="K22" s="1287"/>
      <c r="L22" s="725">
        <f>SUM(L19:L21)</f>
        <v>46804899</v>
      </c>
    </row>
    <row r="23" spans="1:12" ht="14.25" thickBot="1" thickTop="1">
      <c r="A23" s="828"/>
      <c r="B23" s="1294"/>
      <c r="C23" s="1295"/>
      <c r="D23" s="1295"/>
      <c r="E23" s="1295"/>
      <c r="F23" s="1295"/>
      <c r="G23" s="1295"/>
      <c r="H23" s="1295"/>
      <c r="I23" s="1295"/>
      <c r="J23" s="1295"/>
      <c r="K23" s="1295"/>
      <c r="L23" s="1296"/>
    </row>
    <row r="24" spans="1:12" ht="16.5" thickBot="1" thickTop="1">
      <c r="A24" s="824">
        <v>10</v>
      </c>
      <c r="B24" s="1299" t="s">
        <v>807</v>
      </c>
      <c r="C24" s="1300"/>
      <c r="D24" s="1300"/>
      <c r="E24" s="1300"/>
      <c r="F24" s="1300"/>
      <c r="G24" s="1300"/>
      <c r="H24" s="1300"/>
      <c r="I24" s="1300"/>
      <c r="J24" s="1301"/>
      <c r="K24" s="1301"/>
      <c r="L24" s="826"/>
    </row>
    <row r="25" spans="1:12" ht="12.75">
      <c r="A25" s="694">
        <v>11</v>
      </c>
      <c r="B25" s="752" t="s">
        <v>805</v>
      </c>
      <c r="C25" s="720">
        <f>SUM(D25:F25)</f>
        <v>22542700</v>
      </c>
      <c r="D25" s="738">
        <v>0</v>
      </c>
      <c r="E25" s="738">
        <v>151044</v>
      </c>
      <c r="F25" s="738">
        <v>22391656</v>
      </c>
      <c r="G25" s="739"/>
      <c r="H25" s="739"/>
      <c r="I25" s="739"/>
      <c r="J25" s="701"/>
      <c r="K25" s="701">
        <v>0</v>
      </c>
      <c r="L25" s="1282"/>
    </row>
    <row r="26" spans="1:12" ht="13.5" thickBot="1">
      <c r="A26" s="696">
        <v>12</v>
      </c>
      <c r="B26" s="702" t="s">
        <v>801</v>
      </c>
      <c r="C26" s="720">
        <f>SUM(D26:F26)</f>
        <v>242560000</v>
      </c>
      <c r="D26" s="731">
        <v>242560000</v>
      </c>
      <c r="E26" s="705">
        <v>0</v>
      </c>
      <c r="F26" s="705">
        <v>0</v>
      </c>
      <c r="G26" s="740"/>
      <c r="H26" s="740"/>
      <c r="I26" s="741"/>
      <c r="J26" s="707">
        <v>45188110</v>
      </c>
      <c r="K26" s="707"/>
      <c r="L26" s="1283"/>
    </row>
    <row r="27" spans="1:12" ht="13.5" thickBot="1">
      <c r="A27" s="696">
        <v>13</v>
      </c>
      <c r="B27" s="708" t="s">
        <v>802</v>
      </c>
      <c r="C27" s="709">
        <f aca="true" t="shared" si="2" ref="C27:K27">SUM(C25:C26)</f>
        <v>265102700</v>
      </c>
      <c r="D27" s="710">
        <f t="shared" si="2"/>
        <v>242560000</v>
      </c>
      <c r="E27" s="710">
        <f t="shared" si="2"/>
        <v>151044</v>
      </c>
      <c r="F27" s="710">
        <f t="shared" si="2"/>
        <v>22391656</v>
      </c>
      <c r="G27" s="700"/>
      <c r="H27" s="700"/>
      <c r="I27" s="700"/>
      <c r="J27" s="714">
        <f>SUM(J25:J26)</f>
        <v>45188110</v>
      </c>
      <c r="K27" s="714">
        <f t="shared" si="2"/>
        <v>0</v>
      </c>
      <c r="L27" s="1284"/>
    </row>
    <row r="28" spans="1:12" ht="13.5" thickBot="1">
      <c r="A28" s="696"/>
      <c r="B28" s="1285"/>
      <c r="C28" s="1275"/>
      <c r="D28" s="1275"/>
      <c r="E28" s="1275"/>
      <c r="F28" s="1275"/>
      <c r="G28" s="1275"/>
      <c r="H28" s="1275"/>
      <c r="I28" s="1275"/>
      <c r="J28" s="1275"/>
      <c r="K28" s="1286"/>
      <c r="L28" s="695"/>
    </row>
    <row r="29" spans="1:12" ht="13.5" thickBot="1">
      <c r="A29" s="715">
        <v>14</v>
      </c>
      <c r="B29" s="733" t="s">
        <v>804</v>
      </c>
      <c r="C29" s="841">
        <f>SUM(D29:F29)</f>
        <v>242560000</v>
      </c>
      <c r="D29" s="699">
        <v>392025</v>
      </c>
      <c r="E29" s="699">
        <v>12124400</v>
      </c>
      <c r="F29" s="699">
        <v>230043575</v>
      </c>
      <c r="G29" s="739"/>
      <c r="H29" s="739"/>
      <c r="I29" s="739"/>
      <c r="J29" s="1282"/>
      <c r="K29" s="1282"/>
      <c r="L29" s="701">
        <v>2533963</v>
      </c>
    </row>
    <row r="30" spans="1:12" ht="13.5" thickBot="1">
      <c r="A30" s="715">
        <v>15</v>
      </c>
      <c r="B30" s="733" t="s">
        <v>803</v>
      </c>
      <c r="C30" s="745">
        <f>SUM(D30:F30)</f>
        <v>22542700</v>
      </c>
      <c r="D30" s="743">
        <v>0</v>
      </c>
      <c r="E30" s="743">
        <v>151044</v>
      </c>
      <c r="F30" s="743">
        <v>22391656</v>
      </c>
      <c r="G30" s="740"/>
      <c r="H30" s="740"/>
      <c r="I30" s="741"/>
      <c r="J30" s="1283"/>
      <c r="K30" s="1283"/>
      <c r="L30" s="707">
        <v>42654147</v>
      </c>
    </row>
    <row r="31" spans="1:12" ht="13.5" thickBot="1">
      <c r="A31" s="734">
        <v>16</v>
      </c>
      <c r="B31" s="735" t="s">
        <v>372</v>
      </c>
      <c r="C31" s="723">
        <f>SUM(C29:C30)</f>
        <v>265102700</v>
      </c>
      <c r="D31" s="736">
        <f>SUM(D29:D30)</f>
        <v>392025</v>
      </c>
      <c r="E31" s="736">
        <f>SUM(E29:E30)</f>
        <v>12275444</v>
      </c>
      <c r="F31" s="736">
        <f>SUM(F29:F30)</f>
        <v>252435231</v>
      </c>
      <c r="G31" s="700"/>
      <c r="H31" s="700"/>
      <c r="I31" s="700"/>
      <c r="J31" s="1287"/>
      <c r="K31" s="1287"/>
      <c r="L31" s="725">
        <f>SUM(L29:L30)</f>
        <v>45188110</v>
      </c>
    </row>
    <row r="32" spans="1:12" ht="14.25" thickBot="1" thickTop="1">
      <c r="A32" s="828"/>
      <c r="B32" s="1294"/>
      <c r="C32" s="1295"/>
      <c r="D32" s="1295"/>
      <c r="E32" s="1295"/>
      <c r="F32" s="1295"/>
      <c r="G32" s="1295"/>
      <c r="H32" s="1295"/>
      <c r="I32" s="1295"/>
      <c r="J32" s="1295"/>
      <c r="K32" s="1295"/>
      <c r="L32" s="1296"/>
    </row>
    <row r="33" spans="1:12" ht="16.5" thickBot="1" thickTop="1">
      <c r="A33" s="824">
        <v>17</v>
      </c>
      <c r="B33" s="1299" t="s">
        <v>973</v>
      </c>
      <c r="C33" s="1300"/>
      <c r="D33" s="1300"/>
      <c r="E33" s="1300"/>
      <c r="F33" s="1300"/>
      <c r="G33" s="1300"/>
      <c r="H33" s="1300"/>
      <c r="I33" s="1300"/>
      <c r="J33" s="1301"/>
      <c r="K33" s="1301"/>
      <c r="L33" s="826"/>
    </row>
    <row r="34" spans="1:12" ht="12.75">
      <c r="A34" s="694">
        <v>18</v>
      </c>
      <c r="B34" s="744" t="s">
        <v>805</v>
      </c>
      <c r="C34" s="717"/>
      <c r="D34" s="738"/>
      <c r="E34" s="738"/>
      <c r="F34" s="738"/>
      <c r="G34" s="739"/>
      <c r="H34" s="739"/>
      <c r="I34" s="739"/>
      <c r="J34" s="707">
        <v>510500</v>
      </c>
      <c r="K34" s="707">
        <f>13000000-1730500</f>
        <v>11269500</v>
      </c>
      <c r="L34" s="1282"/>
    </row>
    <row r="35" spans="1:12" ht="13.5" thickBot="1">
      <c r="A35" s="696">
        <v>19</v>
      </c>
      <c r="B35" s="702" t="s">
        <v>801</v>
      </c>
      <c r="C35" s="745"/>
      <c r="D35" s="731"/>
      <c r="E35" s="731"/>
      <c r="F35" s="731"/>
      <c r="G35" s="740"/>
      <c r="H35" s="740"/>
      <c r="I35" s="741"/>
      <c r="J35" s="707">
        <v>0</v>
      </c>
      <c r="K35" s="707">
        <v>6000000</v>
      </c>
      <c r="L35" s="1283"/>
    </row>
    <row r="36" spans="1:12" ht="13.5" thickBot="1">
      <c r="A36" s="696">
        <v>20</v>
      </c>
      <c r="B36" s="708" t="s">
        <v>802</v>
      </c>
      <c r="C36" s="709">
        <f>SUM(C34:C35)</f>
        <v>0</v>
      </c>
      <c r="D36" s="710">
        <f>SUM(D34:D35)</f>
        <v>0</v>
      </c>
      <c r="E36" s="710">
        <f>SUM(E34:E35)</f>
        <v>0</v>
      </c>
      <c r="F36" s="710">
        <f>SUM(F34:F35)</f>
        <v>0</v>
      </c>
      <c r="G36" s="746"/>
      <c r="H36" s="746"/>
      <c r="I36" s="747"/>
      <c r="J36" s="714">
        <f>SUM(J34+J35)</f>
        <v>510500</v>
      </c>
      <c r="K36" s="714">
        <f>SUM(K34+K35)</f>
        <v>17269500</v>
      </c>
      <c r="L36" s="1284"/>
    </row>
    <row r="37" spans="1:12" ht="13.5" thickBot="1">
      <c r="A37" s="696"/>
      <c r="B37" s="1285"/>
      <c r="C37" s="1275"/>
      <c r="D37" s="1275"/>
      <c r="E37" s="1275"/>
      <c r="F37" s="1275"/>
      <c r="G37" s="1275"/>
      <c r="H37" s="1275"/>
      <c r="I37" s="1275"/>
      <c r="J37" s="1275"/>
      <c r="K37" s="1286"/>
      <c r="L37" s="695"/>
    </row>
    <row r="38" spans="1:12" ht="12.75">
      <c r="A38" s="715">
        <v>21</v>
      </c>
      <c r="B38" s="733" t="s">
        <v>803</v>
      </c>
      <c r="C38" s="717"/>
      <c r="D38" s="738"/>
      <c r="E38" s="738"/>
      <c r="F38" s="738"/>
      <c r="G38" s="739"/>
      <c r="H38" s="739"/>
      <c r="I38" s="739"/>
      <c r="J38" s="1282"/>
      <c r="K38" s="1282"/>
      <c r="L38" s="701">
        <v>6000000</v>
      </c>
    </row>
    <row r="39" spans="1:12" ht="13.5" thickBot="1">
      <c r="A39" s="715">
        <v>22</v>
      </c>
      <c r="B39" s="742" t="s">
        <v>808</v>
      </c>
      <c r="C39" s="720"/>
      <c r="D39" s="731"/>
      <c r="E39" s="731"/>
      <c r="F39" s="731"/>
      <c r="G39" s="740"/>
      <c r="H39" s="740"/>
      <c r="I39" s="741"/>
      <c r="J39" s="1283"/>
      <c r="K39" s="1283"/>
      <c r="L39" s="707">
        <f>510500+13000000-1730500</f>
        <v>11780000</v>
      </c>
    </row>
    <row r="40" spans="1:12" ht="13.5" thickBot="1">
      <c r="A40" s="734">
        <v>23</v>
      </c>
      <c r="B40" s="735" t="s">
        <v>372</v>
      </c>
      <c r="C40" s="723">
        <f>SUM(C38:C39)</f>
        <v>0</v>
      </c>
      <c r="D40" s="736">
        <f>SUM(D38:D39)</f>
        <v>0</v>
      </c>
      <c r="E40" s="736">
        <f>SUM(E38:E39)</f>
        <v>0</v>
      </c>
      <c r="F40" s="736">
        <f>SUM(F38:F39)</f>
        <v>0</v>
      </c>
      <c r="G40" s="748"/>
      <c r="H40" s="748"/>
      <c r="I40" s="749"/>
      <c r="J40" s="1284"/>
      <c r="K40" s="1284"/>
      <c r="L40" s="725">
        <f>SUM(L37:L39)</f>
        <v>17780000</v>
      </c>
    </row>
    <row r="41" spans="1:12" ht="14.25" thickBot="1" thickTop="1">
      <c r="A41" s="726"/>
      <c r="B41" s="1294"/>
      <c r="C41" s="1295"/>
      <c r="D41" s="1295"/>
      <c r="E41" s="1295"/>
      <c r="F41" s="1295"/>
      <c r="G41" s="1295"/>
      <c r="H41" s="1295"/>
      <c r="I41" s="1295"/>
      <c r="J41" s="1295"/>
      <c r="K41" s="1295"/>
      <c r="L41" s="1296"/>
    </row>
    <row r="42" spans="1:12" ht="16.5" thickBot="1" thickTop="1">
      <c r="A42" s="824">
        <v>24</v>
      </c>
      <c r="B42" s="1304" t="s">
        <v>882</v>
      </c>
      <c r="C42" s="1305"/>
      <c r="D42" s="1305"/>
      <c r="E42" s="1305"/>
      <c r="F42" s="1305"/>
      <c r="G42" s="1305"/>
      <c r="H42" s="1305"/>
      <c r="I42" s="1305"/>
      <c r="J42" s="1306"/>
      <c r="K42" s="1306"/>
      <c r="L42" s="826"/>
    </row>
    <row r="43" spans="1:12" ht="12.75">
      <c r="A43" s="694">
        <v>25</v>
      </c>
      <c r="B43" s="697" t="s">
        <v>805</v>
      </c>
      <c r="C43" s="727">
        <v>0</v>
      </c>
      <c r="D43" s="829"/>
      <c r="E43" s="728">
        <v>0</v>
      </c>
      <c r="F43" s="728">
        <v>0</v>
      </c>
      <c r="G43" s="728">
        <v>0</v>
      </c>
      <c r="H43" s="829"/>
      <c r="I43" s="829"/>
      <c r="J43" s="701">
        <v>0</v>
      </c>
      <c r="K43" s="701">
        <v>0</v>
      </c>
      <c r="L43" s="1282"/>
    </row>
    <row r="44" spans="1:12" ht="13.5" thickBot="1">
      <c r="A44" s="729">
        <v>26</v>
      </c>
      <c r="B44" s="702" t="s">
        <v>801</v>
      </c>
      <c r="C44" s="730">
        <v>202321812</v>
      </c>
      <c r="D44" s="830"/>
      <c r="E44" s="705">
        <f>104483115+10976885</f>
        <v>115460000</v>
      </c>
      <c r="F44" s="705">
        <v>75330433</v>
      </c>
      <c r="G44" s="705">
        <v>11531379</v>
      </c>
      <c r="H44" s="830"/>
      <c r="I44" s="830"/>
      <c r="J44" s="707">
        <v>54734977</v>
      </c>
      <c r="K44" s="707"/>
      <c r="L44" s="1283"/>
    </row>
    <row r="45" spans="1:12" ht="13.5" thickBot="1">
      <c r="A45" s="696">
        <v>27</v>
      </c>
      <c r="B45" s="708" t="s">
        <v>802</v>
      </c>
      <c r="C45" s="709">
        <f aca="true" t="shared" si="3" ref="C45:K45">SUM(C43:C44)</f>
        <v>202321812</v>
      </c>
      <c r="D45" s="711"/>
      <c r="E45" s="710">
        <f t="shared" si="3"/>
        <v>115460000</v>
      </c>
      <c r="F45" s="710">
        <f t="shared" si="3"/>
        <v>75330433</v>
      </c>
      <c r="G45" s="710">
        <f t="shared" si="3"/>
        <v>11531379</v>
      </c>
      <c r="H45" s="711"/>
      <c r="I45" s="711"/>
      <c r="J45" s="714">
        <f>SUM(J43:J44)</f>
        <v>54734977</v>
      </c>
      <c r="K45" s="714">
        <f t="shared" si="3"/>
        <v>0</v>
      </c>
      <c r="L45" s="1284"/>
    </row>
    <row r="46" spans="1:12" ht="13.5" thickBot="1">
      <c r="A46" s="696"/>
      <c r="B46" s="1285"/>
      <c r="C46" s="1275"/>
      <c r="D46" s="1275"/>
      <c r="E46" s="1275"/>
      <c r="F46" s="1275"/>
      <c r="G46" s="1275"/>
      <c r="H46" s="1275"/>
      <c r="I46" s="1275"/>
      <c r="J46" s="1275"/>
      <c r="K46" s="1286"/>
      <c r="L46" s="695"/>
    </row>
    <row r="47" spans="1:12" ht="13.5" thickBot="1">
      <c r="A47" s="732">
        <v>28</v>
      </c>
      <c r="B47" s="733" t="s">
        <v>806</v>
      </c>
      <c r="C47" s="1307">
        <v>89908666</v>
      </c>
      <c r="D47" s="831"/>
      <c r="E47" s="699">
        <f>8545743+1</f>
        <v>8545744</v>
      </c>
      <c r="F47" s="738">
        <v>63219192</v>
      </c>
      <c r="G47" s="738">
        <v>9109530</v>
      </c>
      <c r="H47" s="831"/>
      <c r="I47" s="831"/>
      <c r="J47" s="1282"/>
      <c r="K47" s="1282"/>
      <c r="L47" s="701">
        <v>22115840</v>
      </c>
    </row>
    <row r="48" spans="1:12" ht="26.25" thickBot="1">
      <c r="A48" s="868">
        <v>29</v>
      </c>
      <c r="B48" s="871" t="s">
        <v>893</v>
      </c>
      <c r="C48" s="1308"/>
      <c r="D48" s="869"/>
      <c r="E48" s="867">
        <v>860400</v>
      </c>
      <c r="F48" s="870">
        <v>6883200</v>
      </c>
      <c r="G48" s="870">
        <v>1290600</v>
      </c>
      <c r="H48" s="869"/>
      <c r="I48" s="869"/>
      <c r="J48" s="1283"/>
      <c r="K48" s="1283"/>
      <c r="L48" s="866">
        <v>4230000</v>
      </c>
    </row>
    <row r="49" spans="1:12" ht="25.5">
      <c r="A49" s="868">
        <v>30</v>
      </c>
      <c r="B49" s="871" t="s">
        <v>892</v>
      </c>
      <c r="C49" s="916"/>
      <c r="D49" s="869"/>
      <c r="E49" s="867"/>
      <c r="F49" s="870"/>
      <c r="G49" s="870"/>
      <c r="H49" s="869"/>
      <c r="I49" s="869"/>
      <c r="J49" s="1283"/>
      <c r="K49" s="1283"/>
      <c r="L49" s="866">
        <v>2881247</v>
      </c>
    </row>
    <row r="50" spans="1:12" ht="12.75">
      <c r="A50" s="715">
        <v>31</v>
      </c>
      <c r="B50" s="719" t="s">
        <v>804</v>
      </c>
      <c r="C50" s="832">
        <v>88083888</v>
      </c>
      <c r="D50" s="833"/>
      <c r="E50" s="705">
        <v>4803780</v>
      </c>
      <c r="F50" s="731">
        <v>82148859</v>
      </c>
      <c r="G50" s="731">
        <v>1131249</v>
      </c>
      <c r="H50" s="833"/>
      <c r="I50" s="833"/>
      <c r="J50" s="1283"/>
      <c r="K50" s="1283"/>
      <c r="L50" s="707">
        <v>22523810</v>
      </c>
    </row>
    <row r="51" spans="1:12" ht="12.75">
      <c r="A51" s="715">
        <v>32</v>
      </c>
      <c r="B51" s="834" t="s">
        <v>803</v>
      </c>
      <c r="C51" s="835">
        <v>17800696</v>
      </c>
      <c r="D51" s="836"/>
      <c r="E51" s="705">
        <v>13003105</v>
      </c>
      <c r="F51" s="731">
        <v>4797591</v>
      </c>
      <c r="G51" s="731">
        <v>0</v>
      </c>
      <c r="H51" s="836"/>
      <c r="I51" s="836"/>
      <c r="J51" s="1283"/>
      <c r="K51" s="1283"/>
      <c r="L51" s="707">
        <v>2460790</v>
      </c>
    </row>
    <row r="52" spans="1:12" ht="13.5" thickBot="1">
      <c r="A52" s="715">
        <v>33</v>
      </c>
      <c r="B52" s="837" t="s">
        <v>809</v>
      </c>
      <c r="C52" s="832">
        <v>6528562</v>
      </c>
      <c r="D52" s="838"/>
      <c r="E52" s="704"/>
      <c r="F52" s="839">
        <v>6528562</v>
      </c>
      <c r="G52" s="839">
        <v>0</v>
      </c>
      <c r="H52" s="838"/>
      <c r="I52" s="838"/>
      <c r="J52" s="1283"/>
      <c r="K52" s="1283"/>
      <c r="L52" s="840">
        <v>523290</v>
      </c>
    </row>
    <row r="53" spans="1:12" ht="13.5" thickBot="1">
      <c r="A53" s="734">
        <v>34</v>
      </c>
      <c r="B53" s="735" t="s">
        <v>372</v>
      </c>
      <c r="C53" s="723">
        <f>SUM(C47:C52)</f>
        <v>202321812</v>
      </c>
      <c r="D53" s="748"/>
      <c r="E53" s="736">
        <f>SUM(E47:E52)</f>
        <v>27213029</v>
      </c>
      <c r="F53" s="736">
        <f>SUM(F47:F52)</f>
        <v>163577404</v>
      </c>
      <c r="G53" s="736">
        <f>SUM(G47:G52)</f>
        <v>11531379</v>
      </c>
      <c r="H53" s="748"/>
      <c r="I53" s="748"/>
      <c r="J53" s="1287"/>
      <c r="K53" s="1287"/>
      <c r="L53" s="725">
        <f>SUM(L47:L52)</f>
        <v>54734977</v>
      </c>
    </row>
    <row r="54" spans="1:12" ht="14.25" thickBot="1" thickTop="1">
      <c r="A54" s="726"/>
      <c r="B54" s="1294"/>
      <c r="C54" s="1295"/>
      <c r="D54" s="1295"/>
      <c r="E54" s="1295"/>
      <c r="F54" s="1295"/>
      <c r="G54" s="1295"/>
      <c r="H54" s="1295"/>
      <c r="I54" s="1295"/>
      <c r="J54" s="1295"/>
      <c r="K54" s="1295"/>
      <c r="L54" s="1296"/>
    </row>
    <row r="55" spans="1:12" ht="16.5" thickBot="1" thickTop="1">
      <c r="A55" s="824">
        <v>35</v>
      </c>
      <c r="B55" s="1304" t="s">
        <v>883</v>
      </c>
      <c r="C55" s="1305"/>
      <c r="D55" s="1305"/>
      <c r="E55" s="1305"/>
      <c r="F55" s="1305"/>
      <c r="G55" s="1305"/>
      <c r="H55" s="1305"/>
      <c r="I55" s="1305"/>
      <c r="J55" s="1306"/>
      <c r="K55" s="1306"/>
      <c r="L55" s="826"/>
    </row>
    <row r="56" spans="1:12" ht="12.75">
      <c r="A56" s="694">
        <v>36</v>
      </c>
      <c r="B56" s="697" t="s">
        <v>805</v>
      </c>
      <c r="C56" s="727">
        <v>0</v>
      </c>
      <c r="D56" s="829"/>
      <c r="E56" s="728">
        <v>0</v>
      </c>
      <c r="F56" s="728">
        <v>0</v>
      </c>
      <c r="G56" s="728">
        <v>0</v>
      </c>
      <c r="H56" s="728"/>
      <c r="I56" s="829"/>
      <c r="J56" s="701">
        <v>0</v>
      </c>
      <c r="K56" s="701">
        <v>0</v>
      </c>
      <c r="L56" s="1282"/>
    </row>
    <row r="57" spans="1:12" ht="13.5" thickBot="1">
      <c r="A57" s="729">
        <v>37</v>
      </c>
      <c r="B57" s="702" t="s">
        <v>801</v>
      </c>
      <c r="C57" s="730">
        <v>62107135</v>
      </c>
      <c r="D57" s="830"/>
      <c r="E57" s="705">
        <v>32379432</v>
      </c>
      <c r="F57" s="705">
        <v>8244379</v>
      </c>
      <c r="G57" s="705">
        <v>20495112</v>
      </c>
      <c r="H57" s="705">
        <v>988212</v>
      </c>
      <c r="I57" s="830"/>
      <c r="J57" s="707">
        <v>12082950</v>
      </c>
      <c r="K57" s="707">
        <v>5788759</v>
      </c>
      <c r="L57" s="1283"/>
    </row>
    <row r="58" spans="1:12" ht="13.5" thickBot="1">
      <c r="A58" s="696">
        <v>38</v>
      </c>
      <c r="B58" s="708" t="s">
        <v>802</v>
      </c>
      <c r="C58" s="709">
        <f>SUM(C56:C57)</f>
        <v>62107135</v>
      </c>
      <c r="D58" s="711"/>
      <c r="E58" s="710">
        <f>SUM(E56:E57)</f>
        <v>32379432</v>
      </c>
      <c r="F58" s="710">
        <f>SUM(F56:F57)</f>
        <v>8244379</v>
      </c>
      <c r="G58" s="710">
        <f>SUM(G56:G57)</f>
        <v>20495112</v>
      </c>
      <c r="H58" s="710">
        <f>SUM(H56:H57)</f>
        <v>988212</v>
      </c>
      <c r="I58" s="711"/>
      <c r="J58" s="714">
        <f>SUM(J56:J57)</f>
        <v>12082950</v>
      </c>
      <c r="K58" s="714">
        <f>SUM(K56:K57)</f>
        <v>5788759</v>
      </c>
      <c r="L58" s="1284"/>
    </row>
    <row r="59" spans="1:12" ht="13.5" thickBot="1">
      <c r="A59" s="696"/>
      <c r="B59" s="1285"/>
      <c r="C59" s="1275"/>
      <c r="D59" s="1275"/>
      <c r="E59" s="1275"/>
      <c r="F59" s="1275"/>
      <c r="G59" s="1275"/>
      <c r="H59" s="1275"/>
      <c r="I59" s="1275"/>
      <c r="J59" s="1275"/>
      <c r="K59" s="1286"/>
      <c r="L59" s="695"/>
    </row>
    <row r="60" spans="1:12" ht="13.5" thickBot="1">
      <c r="A60" s="732">
        <v>39</v>
      </c>
      <c r="B60" s="733" t="s">
        <v>806</v>
      </c>
      <c r="C60" s="1307">
        <v>30232800</v>
      </c>
      <c r="D60" s="831"/>
      <c r="E60" s="699">
        <v>1493750</v>
      </c>
      <c r="F60" s="738">
        <v>10460450</v>
      </c>
      <c r="G60" s="738">
        <v>6062400</v>
      </c>
      <c r="H60" s="738">
        <v>505200</v>
      </c>
      <c r="I60" s="831"/>
      <c r="J60" s="1282"/>
      <c r="K60" s="1282"/>
      <c r="L60" s="701">
        <v>10059909</v>
      </c>
    </row>
    <row r="61" spans="1:12" ht="25.5">
      <c r="A61" s="868">
        <v>40</v>
      </c>
      <c r="B61" s="871" t="s">
        <v>892</v>
      </c>
      <c r="C61" s="1308"/>
      <c r="D61" s="869"/>
      <c r="E61" s="867">
        <v>3346000</v>
      </c>
      <c r="F61" s="870">
        <v>4015200</v>
      </c>
      <c r="G61" s="870">
        <v>4015200</v>
      </c>
      <c r="H61" s="870">
        <v>334600</v>
      </c>
      <c r="I61" s="869"/>
      <c r="J61" s="1283"/>
      <c r="K61" s="1283"/>
      <c r="L61" s="866">
        <v>5569500</v>
      </c>
    </row>
    <row r="62" spans="1:12" ht="12.75">
      <c r="A62" s="715">
        <v>41</v>
      </c>
      <c r="B62" s="719" t="s">
        <v>804</v>
      </c>
      <c r="C62" s="720">
        <v>28874335</v>
      </c>
      <c r="D62" s="833"/>
      <c r="E62" s="705">
        <v>10552557</v>
      </c>
      <c r="F62" s="731">
        <v>8855854</v>
      </c>
      <c r="G62" s="731">
        <v>9417512</v>
      </c>
      <c r="H62" s="731">
        <v>48412</v>
      </c>
      <c r="I62" s="833"/>
      <c r="J62" s="1283"/>
      <c r="K62" s="1283"/>
      <c r="L62" s="707">
        <v>2242300</v>
      </c>
    </row>
    <row r="63" spans="1:12" ht="13.5" thickBot="1">
      <c r="A63" s="715">
        <v>42</v>
      </c>
      <c r="B63" s="834" t="s">
        <v>884</v>
      </c>
      <c r="C63" s="842">
        <v>3000000</v>
      </c>
      <c r="D63" s="836"/>
      <c r="E63" s="705">
        <v>0</v>
      </c>
      <c r="F63" s="731">
        <v>1900000</v>
      </c>
      <c r="G63" s="731">
        <v>1000000</v>
      </c>
      <c r="H63" s="731">
        <v>100000</v>
      </c>
      <c r="I63" s="836"/>
      <c r="J63" s="1283"/>
      <c r="K63" s="1283"/>
      <c r="L63" s="707"/>
    </row>
    <row r="64" spans="1:12" ht="13.5" thickBot="1">
      <c r="A64" s="734">
        <v>43</v>
      </c>
      <c r="B64" s="735" t="s">
        <v>372</v>
      </c>
      <c r="C64" s="723">
        <f>SUM(C60:C63)</f>
        <v>62107135</v>
      </c>
      <c r="D64" s="748"/>
      <c r="E64" s="736">
        <f>SUM(E60:E63)</f>
        <v>15392307</v>
      </c>
      <c r="F64" s="736">
        <f>SUM(F60:F63)</f>
        <v>25231504</v>
      </c>
      <c r="G64" s="736">
        <f>SUM(G60:G63)</f>
        <v>20495112</v>
      </c>
      <c r="H64" s="736">
        <f>SUM(H60:H63)</f>
        <v>988212</v>
      </c>
      <c r="I64" s="748"/>
      <c r="J64" s="1287"/>
      <c r="K64" s="1287"/>
      <c r="L64" s="725">
        <f>SUM(L60:L63)</f>
        <v>17871709</v>
      </c>
    </row>
    <row r="65" spans="1:12" ht="14.25" thickBot="1" thickTop="1">
      <c r="A65" s="696"/>
      <c r="B65" s="1285"/>
      <c r="C65" s="1275"/>
      <c r="D65" s="1275"/>
      <c r="E65" s="1275"/>
      <c r="F65" s="1275"/>
      <c r="G65" s="1275"/>
      <c r="H65" s="1275"/>
      <c r="I65" s="1275"/>
      <c r="J65" s="1275"/>
      <c r="K65" s="1286"/>
      <c r="L65" s="695"/>
    </row>
    <row r="66" spans="1:12" ht="16.5" thickBot="1" thickTop="1">
      <c r="A66" s="824">
        <v>44</v>
      </c>
      <c r="B66" s="1299" t="s">
        <v>886</v>
      </c>
      <c r="C66" s="1300"/>
      <c r="D66" s="1300"/>
      <c r="E66" s="1300"/>
      <c r="F66" s="1300"/>
      <c r="G66" s="1300"/>
      <c r="H66" s="1300"/>
      <c r="I66" s="1300"/>
      <c r="J66" s="1301"/>
      <c r="K66" s="1301"/>
      <c r="L66" s="826"/>
    </row>
    <row r="67" spans="1:12" ht="12.75">
      <c r="A67" s="694">
        <v>45</v>
      </c>
      <c r="B67" s="752" t="s">
        <v>805</v>
      </c>
      <c r="C67" s="717">
        <v>0</v>
      </c>
      <c r="D67" s="836"/>
      <c r="E67" s="699">
        <v>0</v>
      </c>
      <c r="F67" s="738">
        <v>0</v>
      </c>
      <c r="G67" s="738">
        <v>0</v>
      </c>
      <c r="H67" s="739"/>
      <c r="I67" s="739"/>
      <c r="J67" s="701">
        <v>0</v>
      </c>
      <c r="K67" s="701">
        <v>254000</v>
      </c>
      <c r="L67" s="1282"/>
    </row>
    <row r="68" spans="1:12" ht="13.5" thickBot="1">
      <c r="A68" s="696">
        <v>46</v>
      </c>
      <c r="B68" s="702" t="s">
        <v>801</v>
      </c>
      <c r="C68" s="720">
        <v>196302400</v>
      </c>
      <c r="D68" s="836"/>
      <c r="E68" s="705">
        <v>196302400</v>
      </c>
      <c r="F68" s="705">
        <v>0</v>
      </c>
      <c r="G68" s="705">
        <v>0</v>
      </c>
      <c r="H68" s="740"/>
      <c r="I68" s="741"/>
      <c r="J68" s="707">
        <v>192295450</v>
      </c>
      <c r="K68" s="707"/>
      <c r="L68" s="1283"/>
    </row>
    <row r="69" spans="1:12" ht="13.5" thickBot="1">
      <c r="A69" s="696">
        <v>47</v>
      </c>
      <c r="B69" s="708" t="s">
        <v>802</v>
      </c>
      <c r="C69" s="709">
        <f>SUM(C67:C68)</f>
        <v>196302400</v>
      </c>
      <c r="D69" s="746"/>
      <c r="E69" s="710">
        <f>SUM(E67:E68)</f>
        <v>196302400</v>
      </c>
      <c r="F69" s="710">
        <f>SUM(F67:F68)</f>
        <v>0</v>
      </c>
      <c r="G69" s="710">
        <f>SUM(G67:G68)</f>
        <v>0</v>
      </c>
      <c r="H69" s="746"/>
      <c r="I69" s="747"/>
      <c r="J69" s="714">
        <f>SUM(J67:J68)</f>
        <v>192295450</v>
      </c>
      <c r="K69" s="714">
        <f>SUM(K67:K68)</f>
        <v>254000</v>
      </c>
      <c r="L69" s="1284"/>
    </row>
    <row r="70" spans="1:12" ht="13.5" thickBot="1">
      <c r="A70" s="696"/>
      <c r="B70" s="1285"/>
      <c r="C70" s="1275"/>
      <c r="D70" s="1275"/>
      <c r="E70" s="1275"/>
      <c r="F70" s="1275"/>
      <c r="G70" s="1275"/>
      <c r="H70" s="1275"/>
      <c r="I70" s="1275"/>
      <c r="J70" s="1275"/>
      <c r="K70" s="1286"/>
      <c r="L70" s="695"/>
    </row>
    <row r="71" spans="1:12" ht="12.75">
      <c r="A71" s="715">
        <v>48</v>
      </c>
      <c r="B71" s="733" t="s">
        <v>803</v>
      </c>
      <c r="C71" s="717">
        <f>SUM(E71:G71)</f>
        <v>196302400</v>
      </c>
      <c r="D71" s="700"/>
      <c r="E71" s="699">
        <v>0</v>
      </c>
      <c r="F71" s="699">
        <v>96822314</v>
      </c>
      <c r="G71" s="699">
        <v>99480086</v>
      </c>
      <c r="H71" s="700"/>
      <c r="I71" s="917"/>
      <c r="J71" s="1282"/>
      <c r="K71" s="1282"/>
      <c r="L71" s="701">
        <v>187978206</v>
      </c>
    </row>
    <row r="72" spans="1:12" ht="12.75">
      <c r="A72" s="715">
        <v>49</v>
      </c>
      <c r="B72" s="742" t="s">
        <v>808</v>
      </c>
      <c r="C72" s="720">
        <v>0</v>
      </c>
      <c r="D72" s="918"/>
      <c r="E72" s="743">
        <v>0</v>
      </c>
      <c r="F72" s="743">
        <v>0</v>
      </c>
      <c r="G72" s="743">
        <v>0</v>
      </c>
      <c r="H72" s="706"/>
      <c r="I72" s="919"/>
      <c r="J72" s="1283"/>
      <c r="K72" s="1283"/>
      <c r="L72" s="707">
        <v>0</v>
      </c>
    </row>
    <row r="73" spans="1:12" ht="12.75">
      <c r="A73" s="715">
        <v>50</v>
      </c>
      <c r="B73" s="719" t="s">
        <v>804</v>
      </c>
      <c r="C73" s="720"/>
      <c r="D73" s="918"/>
      <c r="E73" s="743"/>
      <c r="F73" s="743"/>
      <c r="G73" s="743"/>
      <c r="H73" s="706"/>
      <c r="I73" s="919"/>
      <c r="J73" s="1283"/>
      <c r="K73" s="1283"/>
      <c r="L73" s="707">
        <v>4317244</v>
      </c>
    </row>
    <row r="74" spans="1:12" ht="13.5" thickBot="1">
      <c r="A74" s="715">
        <v>51</v>
      </c>
      <c r="B74" s="719" t="s">
        <v>975</v>
      </c>
      <c r="C74" s="745"/>
      <c r="D74" s="920"/>
      <c r="E74" s="921"/>
      <c r="F74" s="921"/>
      <c r="G74" s="921"/>
      <c r="H74" s="740"/>
      <c r="I74" s="741"/>
      <c r="J74" s="1283"/>
      <c r="K74" s="1283"/>
      <c r="L74" s="840">
        <v>254000</v>
      </c>
    </row>
    <row r="75" spans="1:12" ht="13.5" thickBot="1">
      <c r="A75" s="734">
        <v>52</v>
      </c>
      <c r="B75" s="735" t="s">
        <v>372</v>
      </c>
      <c r="C75" s="723">
        <f>SUM(C71:C72)</f>
        <v>196302400</v>
      </c>
      <c r="D75" s="748"/>
      <c r="E75" s="736">
        <f>SUM(E71:E72)</f>
        <v>0</v>
      </c>
      <c r="F75" s="736">
        <f>SUM(F71:F72)</f>
        <v>96822314</v>
      </c>
      <c r="G75" s="736">
        <f>SUM(G71:G72)</f>
        <v>99480086</v>
      </c>
      <c r="H75" s="748"/>
      <c r="I75" s="748"/>
      <c r="J75" s="1287"/>
      <c r="K75" s="1287"/>
      <c r="L75" s="725">
        <f>SUM(L71:L74)</f>
        <v>192549450</v>
      </c>
    </row>
    <row r="76" spans="1:12" ht="14.25" thickBot="1" thickTop="1">
      <c r="A76" s="696"/>
      <c r="B76" s="1285"/>
      <c r="C76" s="1275"/>
      <c r="D76" s="1275"/>
      <c r="E76" s="1275"/>
      <c r="F76" s="1275"/>
      <c r="G76" s="1275"/>
      <c r="H76" s="1275"/>
      <c r="I76" s="1275"/>
      <c r="J76" s="1275"/>
      <c r="K76" s="1286"/>
      <c r="L76" s="695"/>
    </row>
    <row r="77" spans="1:12" ht="16.5" thickBot="1" thickTop="1">
      <c r="A77" s="824">
        <v>53</v>
      </c>
      <c r="B77" s="1299" t="s">
        <v>887</v>
      </c>
      <c r="C77" s="1300"/>
      <c r="D77" s="1300"/>
      <c r="E77" s="1300"/>
      <c r="F77" s="1300"/>
      <c r="G77" s="1300"/>
      <c r="H77" s="1300"/>
      <c r="I77" s="1300"/>
      <c r="J77" s="1301"/>
      <c r="K77" s="1301"/>
      <c r="L77" s="826"/>
    </row>
    <row r="78" spans="1:12" ht="12.75">
      <c r="A78" s="694">
        <v>54</v>
      </c>
      <c r="B78" s="752" t="s">
        <v>805</v>
      </c>
      <c r="C78" s="717">
        <v>0</v>
      </c>
      <c r="D78" s="836"/>
      <c r="E78" s="699">
        <v>0</v>
      </c>
      <c r="F78" s="738">
        <v>0</v>
      </c>
      <c r="G78" s="739"/>
      <c r="H78" s="739"/>
      <c r="I78" s="739"/>
      <c r="J78" s="701">
        <v>0</v>
      </c>
      <c r="K78" s="701">
        <f>254000+500000</f>
        <v>754000</v>
      </c>
      <c r="L78" s="1282"/>
    </row>
    <row r="79" spans="1:12" ht="13.5" thickBot="1">
      <c r="A79" s="696">
        <v>55</v>
      </c>
      <c r="B79" s="702" t="s">
        <v>801</v>
      </c>
      <c r="C79" s="720">
        <v>437625000</v>
      </c>
      <c r="D79" s="836"/>
      <c r="E79" s="705">
        <v>437625000</v>
      </c>
      <c r="F79" s="705">
        <v>0</v>
      </c>
      <c r="G79" s="740"/>
      <c r="H79" s="740"/>
      <c r="I79" s="741"/>
      <c r="J79" s="707">
        <v>414490929</v>
      </c>
      <c r="K79" s="707">
        <v>0</v>
      </c>
      <c r="L79" s="1283"/>
    </row>
    <row r="80" spans="1:12" ht="13.5" thickBot="1">
      <c r="A80" s="696">
        <v>56</v>
      </c>
      <c r="B80" s="708" t="s">
        <v>802</v>
      </c>
      <c r="C80" s="709">
        <f>SUM(C78:C79)</f>
        <v>437625000</v>
      </c>
      <c r="D80" s="746"/>
      <c r="E80" s="710">
        <f>SUM(E78:E79)</f>
        <v>437625000</v>
      </c>
      <c r="F80" s="710">
        <f>SUM(F78:F79)</f>
        <v>0</v>
      </c>
      <c r="G80" s="746"/>
      <c r="H80" s="746"/>
      <c r="I80" s="747"/>
      <c r="J80" s="714">
        <f>SUM(J78:J79)</f>
        <v>414490929</v>
      </c>
      <c r="K80" s="714">
        <f>SUM(K78:K79)</f>
        <v>754000</v>
      </c>
      <c r="L80" s="1284"/>
    </row>
    <row r="81" spans="1:12" ht="13.5" thickBot="1">
      <c r="A81" s="696"/>
      <c r="B81" s="1285"/>
      <c r="C81" s="1275"/>
      <c r="D81" s="1275"/>
      <c r="E81" s="1275"/>
      <c r="F81" s="1275"/>
      <c r="G81" s="1275"/>
      <c r="H81" s="1275"/>
      <c r="I81" s="1275"/>
      <c r="J81" s="1275"/>
      <c r="K81" s="1286"/>
      <c r="L81" s="695"/>
    </row>
    <row r="82" spans="1:12" ht="12.75">
      <c r="A82" s="715">
        <v>57</v>
      </c>
      <c r="B82" s="733" t="s">
        <v>803</v>
      </c>
      <c r="C82" s="717">
        <v>429750000</v>
      </c>
      <c r="D82" s="700"/>
      <c r="E82" s="699">
        <v>0</v>
      </c>
      <c r="F82" s="699">
        <v>429750000</v>
      </c>
      <c r="G82" s="739"/>
      <c r="H82" s="739"/>
      <c r="I82" s="739"/>
      <c r="J82" s="1282"/>
      <c r="K82" s="1282"/>
      <c r="L82" s="701">
        <v>404687022</v>
      </c>
    </row>
    <row r="83" spans="1:12" ht="12.75">
      <c r="A83" s="715">
        <v>58</v>
      </c>
      <c r="B83" s="719" t="s">
        <v>804</v>
      </c>
      <c r="C83" s="720">
        <v>7875000</v>
      </c>
      <c r="D83" s="918"/>
      <c r="E83" s="743"/>
      <c r="F83" s="743">
        <v>7875000</v>
      </c>
      <c r="G83" s="743"/>
      <c r="H83" s="706"/>
      <c r="I83" s="919"/>
      <c r="J83" s="1283"/>
      <c r="K83" s="1283"/>
      <c r="L83" s="707">
        <v>9803907</v>
      </c>
    </row>
    <row r="84" spans="1:12" ht="13.5" thickBot="1">
      <c r="A84" s="715">
        <v>59</v>
      </c>
      <c r="B84" s="719" t="s">
        <v>975</v>
      </c>
      <c r="C84" s="745"/>
      <c r="D84" s="920"/>
      <c r="E84" s="921"/>
      <c r="F84" s="921"/>
      <c r="G84" s="921"/>
      <c r="H84" s="740"/>
      <c r="I84" s="741"/>
      <c r="J84" s="1283"/>
      <c r="K84" s="1283"/>
      <c r="L84" s="840">
        <f>254000+500000</f>
        <v>754000</v>
      </c>
    </row>
    <row r="85" spans="1:12" ht="13.5" thickBot="1">
      <c r="A85" s="734">
        <v>60</v>
      </c>
      <c r="B85" s="735" t="s">
        <v>372</v>
      </c>
      <c r="C85" s="723">
        <f>SUM(C82:C84)</f>
        <v>437625000</v>
      </c>
      <c r="D85" s="748"/>
      <c r="E85" s="736">
        <f>SUM(E82:E84)</f>
        <v>0</v>
      </c>
      <c r="F85" s="736">
        <f>SUM(F82:F84)</f>
        <v>437625000</v>
      </c>
      <c r="G85" s="748"/>
      <c r="H85" s="748"/>
      <c r="I85" s="748"/>
      <c r="J85" s="1287"/>
      <c r="K85" s="1287"/>
      <c r="L85" s="725">
        <f>SUM(L82:L84)</f>
        <v>415244929</v>
      </c>
    </row>
    <row r="86" spans="1:12" ht="14.25" thickBot="1" thickTop="1">
      <c r="A86" s="696"/>
      <c r="B86" s="1285"/>
      <c r="C86" s="1275"/>
      <c r="D86" s="1275"/>
      <c r="E86" s="1275"/>
      <c r="F86" s="1275"/>
      <c r="G86" s="1275"/>
      <c r="H86" s="1275"/>
      <c r="I86" s="1275"/>
      <c r="J86" s="1275"/>
      <c r="K86" s="1286"/>
      <c r="L86" s="695"/>
    </row>
    <row r="87" spans="1:12" ht="16.5" thickBot="1" thickTop="1">
      <c r="A87" s="824">
        <v>61</v>
      </c>
      <c r="B87" s="1299" t="s">
        <v>888</v>
      </c>
      <c r="C87" s="1300"/>
      <c r="D87" s="1300"/>
      <c r="E87" s="1300"/>
      <c r="F87" s="1300"/>
      <c r="G87" s="1300"/>
      <c r="H87" s="1300"/>
      <c r="I87" s="1300"/>
      <c r="J87" s="1301"/>
      <c r="K87" s="1301"/>
      <c r="L87" s="826"/>
    </row>
    <row r="88" spans="1:12" ht="12.75">
      <c r="A88" s="694">
        <v>62</v>
      </c>
      <c r="B88" s="752" t="s">
        <v>805</v>
      </c>
      <c r="C88" s="717">
        <v>0</v>
      </c>
      <c r="D88" s="836"/>
      <c r="E88" s="699">
        <v>0</v>
      </c>
      <c r="F88" s="738">
        <v>0</v>
      </c>
      <c r="G88" s="738">
        <v>0</v>
      </c>
      <c r="H88" s="739"/>
      <c r="I88" s="739"/>
      <c r="J88" s="701">
        <v>0</v>
      </c>
      <c r="K88" s="701">
        <f>254000+863600</f>
        <v>1117600</v>
      </c>
      <c r="L88" s="1282"/>
    </row>
    <row r="89" spans="1:12" ht="13.5" thickBot="1">
      <c r="A89" s="696">
        <v>63</v>
      </c>
      <c r="B89" s="702" t="s">
        <v>801</v>
      </c>
      <c r="C89" s="720">
        <v>100000000</v>
      </c>
      <c r="D89" s="836"/>
      <c r="E89" s="705">
        <v>100000000</v>
      </c>
      <c r="F89" s="705">
        <v>0</v>
      </c>
      <c r="G89" s="705">
        <v>0</v>
      </c>
      <c r="H89" s="740"/>
      <c r="I89" s="741"/>
      <c r="J89" s="707">
        <v>96609100</v>
      </c>
      <c r="K89" s="707"/>
      <c r="L89" s="1283"/>
    </row>
    <row r="90" spans="1:12" ht="13.5" thickBot="1">
      <c r="A90" s="696">
        <v>64</v>
      </c>
      <c r="B90" s="708" t="s">
        <v>802</v>
      </c>
      <c r="C90" s="709">
        <f>SUM(C88:C89)</f>
        <v>100000000</v>
      </c>
      <c r="D90" s="746"/>
      <c r="E90" s="710">
        <f>SUM(E88:E89)</f>
        <v>100000000</v>
      </c>
      <c r="F90" s="710">
        <f>SUM(F88:F89)</f>
        <v>0</v>
      </c>
      <c r="G90" s="710">
        <f>SUM(G88:G89)</f>
        <v>0</v>
      </c>
      <c r="H90" s="746"/>
      <c r="I90" s="747"/>
      <c r="J90" s="714">
        <f>SUM(J88:J89)</f>
        <v>96609100</v>
      </c>
      <c r="K90" s="714">
        <f>SUM(K88:K89)</f>
        <v>1117600</v>
      </c>
      <c r="L90" s="1284"/>
    </row>
    <row r="91" spans="1:12" ht="13.5" thickBot="1">
      <c r="A91" s="696"/>
      <c r="B91" s="1285"/>
      <c r="C91" s="1275"/>
      <c r="D91" s="1275"/>
      <c r="E91" s="1275"/>
      <c r="F91" s="1275"/>
      <c r="G91" s="1275"/>
      <c r="H91" s="1275"/>
      <c r="I91" s="1275"/>
      <c r="J91" s="1275"/>
      <c r="K91" s="1286"/>
      <c r="L91" s="695"/>
    </row>
    <row r="92" spans="1:12" ht="12.75">
      <c r="A92" s="715">
        <v>65</v>
      </c>
      <c r="B92" s="733" t="s">
        <v>809</v>
      </c>
      <c r="C92" s="717">
        <f>SUM(E92:G92)</f>
        <v>100000000</v>
      </c>
      <c r="D92" s="833"/>
      <c r="E92" s="699">
        <v>2393950</v>
      </c>
      <c r="F92" s="699">
        <v>85795050</v>
      </c>
      <c r="G92" s="699">
        <v>11811000</v>
      </c>
      <c r="H92" s="739"/>
      <c r="I92" s="739"/>
      <c r="J92" s="1282"/>
      <c r="K92" s="1282"/>
      <c r="L92" s="701">
        <v>91442680</v>
      </c>
    </row>
    <row r="93" spans="1:12" ht="13.5" thickBot="1">
      <c r="A93" s="715">
        <v>66</v>
      </c>
      <c r="B93" s="742" t="s">
        <v>810</v>
      </c>
      <c r="C93" s="720">
        <v>0</v>
      </c>
      <c r="D93" s="836"/>
      <c r="E93" s="743">
        <v>0</v>
      </c>
      <c r="F93" s="743">
        <v>0</v>
      </c>
      <c r="G93" s="743">
        <v>0</v>
      </c>
      <c r="H93" s="922"/>
      <c r="I93" s="923"/>
      <c r="J93" s="1283"/>
      <c r="K93" s="1283"/>
      <c r="L93" s="707">
        <v>863600</v>
      </c>
    </row>
    <row r="94" spans="1:12" ht="12.75">
      <c r="A94" s="715">
        <v>67</v>
      </c>
      <c r="B94" s="733" t="s">
        <v>806</v>
      </c>
      <c r="C94" s="720"/>
      <c r="D94" s="836"/>
      <c r="E94" s="743"/>
      <c r="F94" s="743"/>
      <c r="G94" s="743"/>
      <c r="H94" s="706"/>
      <c r="I94" s="919"/>
      <c r="J94" s="1283"/>
      <c r="K94" s="1283"/>
      <c r="L94" s="707">
        <v>752612</v>
      </c>
    </row>
    <row r="95" spans="1:12" ht="12.75">
      <c r="A95" s="715">
        <v>68</v>
      </c>
      <c r="B95" s="719" t="s">
        <v>804</v>
      </c>
      <c r="C95" s="720">
        <v>0</v>
      </c>
      <c r="D95" s="918"/>
      <c r="E95" s="743"/>
      <c r="F95" s="743">
        <v>0</v>
      </c>
      <c r="G95" s="743"/>
      <c r="H95" s="706"/>
      <c r="I95" s="919"/>
      <c r="J95" s="1283"/>
      <c r="K95" s="1283"/>
      <c r="L95" s="707">
        <v>4413808</v>
      </c>
    </row>
    <row r="96" spans="1:12" ht="13.5" thickBot="1">
      <c r="A96" s="715">
        <v>69</v>
      </c>
      <c r="B96" s="719" t="s">
        <v>975</v>
      </c>
      <c r="C96" s="720">
        <v>0</v>
      </c>
      <c r="D96" s="836"/>
      <c r="E96" s="743">
        <v>0</v>
      </c>
      <c r="F96" s="743">
        <v>0</v>
      </c>
      <c r="G96" s="743">
        <v>0</v>
      </c>
      <c r="H96" s="740"/>
      <c r="I96" s="741"/>
      <c r="J96" s="1283"/>
      <c r="K96" s="1283"/>
      <c r="L96" s="707">
        <v>254000</v>
      </c>
    </row>
    <row r="97" spans="1:12" ht="13.5" thickBot="1">
      <c r="A97" s="734">
        <v>70</v>
      </c>
      <c r="B97" s="735" t="s">
        <v>372</v>
      </c>
      <c r="C97" s="723">
        <f>SUM(C92:C96)</f>
        <v>100000000</v>
      </c>
      <c r="D97" s="748"/>
      <c r="E97" s="736">
        <f>SUM(E92:E96)</f>
        <v>2393950</v>
      </c>
      <c r="F97" s="736">
        <f>SUM(F92:F96)</f>
        <v>85795050</v>
      </c>
      <c r="G97" s="736">
        <f>SUM(G92:G96)</f>
        <v>11811000</v>
      </c>
      <c r="H97" s="748"/>
      <c r="I97" s="748"/>
      <c r="J97" s="1287"/>
      <c r="K97" s="1287"/>
      <c r="L97" s="725">
        <f>SUM(L92:L96)</f>
        <v>97726700</v>
      </c>
    </row>
    <row r="98" spans="1:12" ht="14.25" thickBot="1" thickTop="1">
      <c r="A98" s="696"/>
      <c r="B98" s="1285"/>
      <c r="C98" s="1275"/>
      <c r="D98" s="1275"/>
      <c r="E98" s="1275"/>
      <c r="F98" s="1275"/>
      <c r="G98" s="1275"/>
      <c r="H98" s="1275"/>
      <c r="I98" s="1275"/>
      <c r="J98" s="1275"/>
      <c r="K98" s="1286"/>
      <c r="L98" s="695"/>
    </row>
    <row r="99" spans="1:12" ht="16.5" thickBot="1" thickTop="1">
      <c r="A99" s="824">
        <v>71</v>
      </c>
      <c r="B99" s="1299" t="s">
        <v>889</v>
      </c>
      <c r="C99" s="1300"/>
      <c r="D99" s="1300"/>
      <c r="E99" s="1300"/>
      <c r="F99" s="1300"/>
      <c r="G99" s="1300"/>
      <c r="H99" s="1300"/>
      <c r="I99" s="1300"/>
      <c r="J99" s="1301"/>
      <c r="K99" s="1301"/>
      <c r="L99" s="826"/>
    </row>
    <row r="100" spans="1:12" ht="12.75">
      <c r="A100" s="694">
        <v>72</v>
      </c>
      <c r="B100" s="752" t="s">
        <v>805</v>
      </c>
      <c r="C100" s="717">
        <v>0</v>
      </c>
      <c r="D100" s="836"/>
      <c r="E100" s="699">
        <v>0</v>
      </c>
      <c r="F100" s="738">
        <v>0</v>
      </c>
      <c r="G100" s="739"/>
      <c r="H100" s="739"/>
      <c r="I100" s="739"/>
      <c r="J100" s="701">
        <v>0</v>
      </c>
      <c r="K100" s="701"/>
      <c r="L100" s="1282"/>
    </row>
    <row r="101" spans="1:12" ht="13.5" thickBot="1">
      <c r="A101" s="696">
        <v>73</v>
      </c>
      <c r="B101" s="702" t="s">
        <v>801</v>
      </c>
      <c r="C101" s="720">
        <v>118000000</v>
      </c>
      <c r="D101" s="836"/>
      <c r="E101" s="705">
        <v>112219000</v>
      </c>
      <c r="F101" s="705">
        <v>5781000</v>
      </c>
      <c r="G101" s="740"/>
      <c r="H101" s="740"/>
      <c r="I101" s="741"/>
      <c r="J101" s="707">
        <v>105181800</v>
      </c>
      <c r="K101" s="707"/>
      <c r="L101" s="1283"/>
    </row>
    <row r="102" spans="1:12" ht="13.5" thickBot="1">
      <c r="A102" s="696">
        <v>74</v>
      </c>
      <c r="B102" s="708" t="s">
        <v>802</v>
      </c>
      <c r="C102" s="709">
        <f>SUM(C100:C101)</f>
        <v>118000000</v>
      </c>
      <c r="D102" s="746"/>
      <c r="E102" s="710">
        <f>SUM(E100:E101)</f>
        <v>112219000</v>
      </c>
      <c r="F102" s="710">
        <f>SUM(F100:F101)</f>
        <v>5781000</v>
      </c>
      <c r="G102" s="746"/>
      <c r="H102" s="746"/>
      <c r="I102" s="747"/>
      <c r="J102" s="714">
        <f>SUM(J100:J101)</f>
        <v>105181800</v>
      </c>
      <c r="K102" s="714">
        <f>SUM(K100:K101)</f>
        <v>0</v>
      </c>
      <c r="L102" s="1284"/>
    </row>
    <row r="103" spans="1:12" ht="13.5" thickBot="1">
      <c r="A103" s="696"/>
      <c r="B103" s="1285"/>
      <c r="C103" s="1275"/>
      <c r="D103" s="1275"/>
      <c r="E103" s="1275"/>
      <c r="F103" s="1275"/>
      <c r="G103" s="1275"/>
      <c r="H103" s="1275"/>
      <c r="I103" s="1275"/>
      <c r="J103" s="1275"/>
      <c r="K103" s="1286"/>
      <c r="L103" s="695"/>
    </row>
    <row r="104" spans="1:12" ht="13.5" thickBot="1">
      <c r="A104" s="715">
        <v>75</v>
      </c>
      <c r="B104" s="733" t="s">
        <v>803</v>
      </c>
      <c r="C104" s="717">
        <f>SUM(E104:G104)</f>
        <v>118000000</v>
      </c>
      <c r="D104" s="836"/>
      <c r="E104" s="699">
        <v>5857200</v>
      </c>
      <c r="F104" s="699">
        <v>112142800</v>
      </c>
      <c r="G104" s="739"/>
      <c r="H104" s="739"/>
      <c r="I104" s="739"/>
      <c r="J104" s="1282"/>
      <c r="K104" s="1282"/>
      <c r="L104" s="701">
        <v>100932090</v>
      </c>
    </row>
    <row r="105" spans="1:12" ht="13.5" thickBot="1">
      <c r="A105" s="715">
        <v>76</v>
      </c>
      <c r="B105" s="719" t="s">
        <v>804</v>
      </c>
      <c r="C105" s="717">
        <v>0</v>
      </c>
      <c r="D105" s="836"/>
      <c r="E105" s="743">
        <v>0</v>
      </c>
      <c r="F105" s="875">
        <v>0</v>
      </c>
      <c r="G105" s="740"/>
      <c r="H105" s="740"/>
      <c r="I105" s="741"/>
      <c r="J105" s="1283"/>
      <c r="K105" s="1283"/>
      <c r="L105" s="707">
        <v>4249710</v>
      </c>
    </row>
    <row r="106" spans="1:12" ht="13.5" thickBot="1">
      <c r="A106" s="734">
        <v>77</v>
      </c>
      <c r="B106" s="735" t="s">
        <v>372</v>
      </c>
      <c r="C106" s="723">
        <f>SUM(C104:C105)</f>
        <v>118000000</v>
      </c>
      <c r="D106" s="748"/>
      <c r="E106" s="736">
        <f>SUM(E104:E105)</f>
        <v>5857200</v>
      </c>
      <c r="F106" s="736">
        <f>SUM(F104:F105)</f>
        <v>112142800</v>
      </c>
      <c r="G106" s="748"/>
      <c r="H106" s="748"/>
      <c r="I106" s="748"/>
      <c r="J106" s="1287"/>
      <c r="K106" s="1287"/>
      <c r="L106" s="725">
        <f>SUM(L104:L105)</f>
        <v>105181800</v>
      </c>
    </row>
    <row r="107" spans="1:12" ht="14.25" thickBot="1" thickTop="1">
      <c r="A107" s="737"/>
      <c r="B107" s="843"/>
      <c r="C107" s="844"/>
      <c r="D107" s="845"/>
      <c r="E107" s="846"/>
      <c r="F107" s="846"/>
      <c r="G107" s="845"/>
      <c r="H107" s="845"/>
      <c r="I107" s="845"/>
      <c r="J107" s="847"/>
      <c r="K107" s="847"/>
      <c r="L107" s="848"/>
    </row>
    <row r="108" spans="1:12" ht="16.5" thickBot="1" thickTop="1">
      <c r="A108" s="824">
        <v>78</v>
      </c>
      <c r="B108" s="1299" t="s">
        <v>890</v>
      </c>
      <c r="C108" s="1300"/>
      <c r="D108" s="1300"/>
      <c r="E108" s="1300"/>
      <c r="F108" s="1300"/>
      <c r="G108" s="1300"/>
      <c r="H108" s="1300"/>
      <c r="I108" s="1300"/>
      <c r="J108" s="1301"/>
      <c r="K108" s="1301"/>
      <c r="L108" s="826"/>
    </row>
    <row r="109" spans="1:12" ht="12.75">
      <c r="A109" s="694">
        <v>79</v>
      </c>
      <c r="B109" s="752" t="s">
        <v>805</v>
      </c>
      <c r="C109" s="717">
        <v>0</v>
      </c>
      <c r="D109" s="836"/>
      <c r="E109" s="699">
        <v>0</v>
      </c>
      <c r="F109" s="738">
        <v>0</v>
      </c>
      <c r="G109" s="739"/>
      <c r="H109" s="739"/>
      <c r="I109" s="739"/>
      <c r="J109" s="701">
        <v>0</v>
      </c>
      <c r="K109" s="701">
        <v>0</v>
      </c>
      <c r="L109" s="1282"/>
    </row>
    <row r="110" spans="1:12" ht="13.5" thickBot="1">
      <c r="A110" s="696">
        <v>80</v>
      </c>
      <c r="B110" s="702" t="s">
        <v>801</v>
      </c>
      <c r="C110" s="720">
        <v>50000000</v>
      </c>
      <c r="D110" s="836"/>
      <c r="E110" s="705">
        <v>50000000</v>
      </c>
      <c r="F110" s="705">
        <v>0</v>
      </c>
      <c r="G110" s="740"/>
      <c r="H110" s="740"/>
      <c r="I110" s="741"/>
      <c r="J110" s="707">
        <v>23207061</v>
      </c>
      <c r="K110" s="707"/>
      <c r="L110" s="1283"/>
    </row>
    <row r="111" spans="1:12" ht="13.5" thickBot="1">
      <c r="A111" s="696">
        <v>81</v>
      </c>
      <c r="B111" s="708" t="s">
        <v>802</v>
      </c>
      <c r="C111" s="709">
        <f>SUM(C109:C110)</f>
        <v>50000000</v>
      </c>
      <c r="D111" s="746"/>
      <c r="E111" s="710">
        <f>SUM(E109:E110)</f>
        <v>50000000</v>
      </c>
      <c r="F111" s="710">
        <f>SUM(F109:F110)</f>
        <v>0</v>
      </c>
      <c r="G111" s="746"/>
      <c r="H111" s="746"/>
      <c r="I111" s="747"/>
      <c r="J111" s="714">
        <f>SUM(J109:J110)</f>
        <v>23207061</v>
      </c>
      <c r="K111" s="714">
        <f>SUM(K109:K110)</f>
        <v>0</v>
      </c>
      <c r="L111" s="1284"/>
    </row>
    <row r="112" spans="1:12" ht="13.5" thickBot="1">
      <c r="A112" s="696"/>
      <c r="B112" s="1285"/>
      <c r="C112" s="1275"/>
      <c r="D112" s="1275"/>
      <c r="E112" s="1275"/>
      <c r="F112" s="1275"/>
      <c r="G112" s="1275"/>
      <c r="H112" s="1275"/>
      <c r="I112" s="1275"/>
      <c r="J112" s="1275"/>
      <c r="K112" s="1286"/>
      <c r="L112" s="695"/>
    </row>
    <row r="113" spans="1:12" ht="12.75">
      <c r="A113" s="715">
        <v>82</v>
      </c>
      <c r="B113" s="733" t="s">
        <v>809</v>
      </c>
      <c r="C113" s="717">
        <v>50000000</v>
      </c>
      <c r="D113" s="833"/>
      <c r="E113" s="849">
        <v>2450000</v>
      </c>
      <c r="F113" s="849">
        <v>47550000</v>
      </c>
      <c r="G113" s="739"/>
      <c r="H113" s="739"/>
      <c r="I113" s="739"/>
      <c r="J113" s="1282"/>
      <c r="K113" s="1282"/>
      <c r="L113" s="701">
        <v>21830061</v>
      </c>
    </row>
    <row r="114" spans="1:12" ht="13.5" thickBot="1">
      <c r="A114" s="715">
        <v>83</v>
      </c>
      <c r="B114" s="719" t="s">
        <v>804</v>
      </c>
      <c r="C114" s="720">
        <v>0</v>
      </c>
      <c r="D114" s="836"/>
      <c r="E114" s="743">
        <v>0</v>
      </c>
      <c r="F114" s="743">
        <v>0</v>
      </c>
      <c r="G114" s="740"/>
      <c r="H114" s="740"/>
      <c r="I114" s="741"/>
      <c r="J114" s="1283"/>
      <c r="K114" s="1283"/>
      <c r="L114" s="707">
        <v>1377000</v>
      </c>
    </row>
    <row r="115" spans="1:12" ht="13.5" thickBot="1">
      <c r="A115" s="734">
        <v>84</v>
      </c>
      <c r="B115" s="735" t="s">
        <v>372</v>
      </c>
      <c r="C115" s="723">
        <f>SUM(C113:C114)</f>
        <v>50000000</v>
      </c>
      <c r="D115" s="748"/>
      <c r="E115" s="736">
        <f>SUM(E113:E114)</f>
        <v>2450000</v>
      </c>
      <c r="F115" s="736">
        <f>SUM(F113:F114)</f>
        <v>47550000</v>
      </c>
      <c r="G115" s="748"/>
      <c r="H115" s="748"/>
      <c r="I115" s="748"/>
      <c r="J115" s="1287"/>
      <c r="K115" s="1287"/>
      <c r="L115" s="725">
        <f>SUM(L113:L114)</f>
        <v>23207061</v>
      </c>
    </row>
    <row r="116" spans="1:12" ht="14.25" thickBot="1" thickTop="1">
      <c r="A116" s="715"/>
      <c r="B116" s="850"/>
      <c r="C116" s="851"/>
      <c r="D116" s="852"/>
      <c r="E116" s="851"/>
      <c r="F116" s="851"/>
      <c r="G116" s="852"/>
      <c r="H116" s="852"/>
      <c r="I116" s="852"/>
      <c r="J116" s="853"/>
      <c r="K116" s="853"/>
      <c r="L116" s="854"/>
    </row>
    <row r="117" spans="1:12" ht="16.5" thickBot="1" thickTop="1">
      <c r="A117" s="824">
        <v>85</v>
      </c>
      <c r="B117" s="1299" t="s">
        <v>891</v>
      </c>
      <c r="C117" s="1300"/>
      <c r="D117" s="1300"/>
      <c r="E117" s="1300"/>
      <c r="F117" s="1300"/>
      <c r="G117" s="1300"/>
      <c r="H117" s="1300"/>
      <c r="I117" s="1300"/>
      <c r="J117" s="1301"/>
      <c r="K117" s="1301"/>
      <c r="L117" s="826"/>
    </row>
    <row r="118" spans="1:12" ht="12.75">
      <c r="A118" s="694">
        <v>86</v>
      </c>
      <c r="B118" s="752" t="s">
        <v>805</v>
      </c>
      <c r="C118" s="717">
        <v>0</v>
      </c>
      <c r="D118" s="836"/>
      <c r="E118" s="699">
        <v>0</v>
      </c>
      <c r="F118" s="738">
        <v>0</v>
      </c>
      <c r="G118" s="855">
        <v>0</v>
      </c>
      <c r="H118" s="855">
        <v>0</v>
      </c>
      <c r="I118" s="855">
        <v>0</v>
      </c>
      <c r="J118" s="701">
        <v>0</v>
      </c>
      <c r="K118" s="701">
        <v>0</v>
      </c>
      <c r="L118" s="1282"/>
    </row>
    <row r="119" spans="1:12" ht="13.5" thickBot="1">
      <c r="A119" s="696">
        <v>88</v>
      </c>
      <c r="B119" s="702" t="s">
        <v>801</v>
      </c>
      <c r="C119" s="720">
        <v>21635062</v>
      </c>
      <c r="D119" s="836"/>
      <c r="E119" s="705">
        <v>21635062</v>
      </c>
      <c r="F119" s="705">
        <v>0</v>
      </c>
      <c r="G119" s="856">
        <v>0</v>
      </c>
      <c r="H119" s="856">
        <v>0</v>
      </c>
      <c r="I119" s="857">
        <v>0</v>
      </c>
      <c r="J119" s="707">
        <v>12229669</v>
      </c>
      <c r="K119" s="707"/>
      <c r="L119" s="1283"/>
    </row>
    <row r="120" spans="1:12" ht="13.5" thickBot="1">
      <c r="A120" s="696">
        <v>89</v>
      </c>
      <c r="B120" s="708" t="s">
        <v>802</v>
      </c>
      <c r="C120" s="709">
        <f>SUM(C118:C119)</f>
        <v>21635062</v>
      </c>
      <c r="D120" s="746"/>
      <c r="E120" s="710">
        <f aca="true" t="shared" si="4" ref="E120:K120">SUM(E118:E119)</f>
        <v>21635062</v>
      </c>
      <c r="F120" s="710">
        <f t="shared" si="4"/>
        <v>0</v>
      </c>
      <c r="G120" s="710">
        <f t="shared" si="4"/>
        <v>0</v>
      </c>
      <c r="H120" s="710">
        <f t="shared" si="4"/>
        <v>0</v>
      </c>
      <c r="I120" s="710">
        <f t="shared" si="4"/>
        <v>0</v>
      </c>
      <c r="J120" s="714">
        <f t="shared" si="4"/>
        <v>12229669</v>
      </c>
      <c r="K120" s="714">
        <f t="shared" si="4"/>
        <v>0</v>
      </c>
      <c r="L120" s="1284"/>
    </row>
    <row r="121" spans="1:12" ht="13.5" thickBot="1">
      <c r="A121" s="696"/>
      <c r="B121" s="1285"/>
      <c r="C121" s="1275"/>
      <c r="D121" s="1275"/>
      <c r="E121" s="1275"/>
      <c r="F121" s="1275"/>
      <c r="G121" s="1275"/>
      <c r="H121" s="1275"/>
      <c r="I121" s="1275"/>
      <c r="J121" s="1275"/>
      <c r="K121" s="1286"/>
      <c r="L121" s="695"/>
    </row>
    <row r="122" spans="1:12" ht="12.75">
      <c r="A122" s="715">
        <v>90</v>
      </c>
      <c r="B122" s="733" t="s">
        <v>806</v>
      </c>
      <c r="C122" s="717">
        <v>10295000</v>
      </c>
      <c r="D122" s="833"/>
      <c r="E122" s="849">
        <v>717000</v>
      </c>
      <c r="F122" s="849">
        <v>3123000</v>
      </c>
      <c r="G122" s="849">
        <v>2880000</v>
      </c>
      <c r="H122" s="849">
        <v>2880000</v>
      </c>
      <c r="I122" s="849">
        <v>695000</v>
      </c>
      <c r="J122" s="1302"/>
      <c r="K122" s="1302"/>
      <c r="L122" s="717">
        <v>6327500</v>
      </c>
    </row>
    <row r="123" spans="1:12" ht="12.75">
      <c r="A123" s="715">
        <v>91</v>
      </c>
      <c r="B123" s="719" t="s">
        <v>804</v>
      </c>
      <c r="C123" s="842">
        <v>10510062</v>
      </c>
      <c r="D123" s="833"/>
      <c r="E123" s="858">
        <v>315347</v>
      </c>
      <c r="F123" s="858">
        <f>3984278+55</f>
        <v>3984333</v>
      </c>
      <c r="G123" s="859">
        <v>2149813</v>
      </c>
      <c r="H123" s="859">
        <v>2149812</v>
      </c>
      <c r="I123" s="859">
        <v>1910757</v>
      </c>
      <c r="J123" s="1303"/>
      <c r="K123" s="1303"/>
      <c r="L123" s="842">
        <v>5902169</v>
      </c>
    </row>
    <row r="124" spans="1:12" ht="13.5" thickBot="1">
      <c r="A124" s="715">
        <v>92</v>
      </c>
      <c r="B124" s="834" t="s">
        <v>803</v>
      </c>
      <c r="C124" s="720">
        <v>830000</v>
      </c>
      <c r="D124" s="836"/>
      <c r="E124" s="875">
        <v>829945</v>
      </c>
      <c r="F124" s="743">
        <f>55-55</f>
        <v>0</v>
      </c>
      <c r="G124" s="856">
        <v>0</v>
      </c>
      <c r="H124" s="856">
        <v>0</v>
      </c>
      <c r="I124" s="857">
        <v>0</v>
      </c>
      <c r="J124" s="1283"/>
      <c r="K124" s="1283"/>
      <c r="L124" s="720">
        <f>55-55</f>
        <v>0</v>
      </c>
    </row>
    <row r="125" spans="1:12" ht="13.5" thickBot="1">
      <c r="A125" s="734">
        <v>93</v>
      </c>
      <c r="B125" s="735" t="s">
        <v>372</v>
      </c>
      <c r="C125" s="723">
        <f>SUM(C122:C124)</f>
        <v>21635062</v>
      </c>
      <c r="D125" s="748"/>
      <c r="E125" s="736">
        <f>SUM(E122:E124)</f>
        <v>1862292</v>
      </c>
      <c r="F125" s="736">
        <f>SUM(F122:F124)</f>
        <v>7107333</v>
      </c>
      <c r="G125" s="736">
        <f>SUM(G122:G124)</f>
        <v>5029813</v>
      </c>
      <c r="H125" s="736">
        <f>SUM(H122:H124)</f>
        <v>5029812</v>
      </c>
      <c r="I125" s="736">
        <f>SUM(I122:I124)</f>
        <v>2605757</v>
      </c>
      <c r="J125" s="1287"/>
      <c r="K125" s="1287"/>
      <c r="L125" s="725">
        <f>SUM(L122:L124)</f>
        <v>12229669</v>
      </c>
    </row>
    <row r="126" spans="1:12" ht="14.25" thickBot="1" thickTop="1">
      <c r="A126" s="715"/>
      <c r="B126" s="850"/>
      <c r="C126" s="912"/>
      <c r="D126" s="913"/>
      <c r="E126" s="851"/>
      <c r="F126" s="851"/>
      <c r="G126" s="851"/>
      <c r="H126" s="851"/>
      <c r="I126" s="851"/>
      <c r="J126" s="914"/>
      <c r="K126" s="914"/>
      <c r="L126" s="915"/>
    </row>
    <row r="127" spans="1:12" ht="16.5" thickBot="1" thickTop="1">
      <c r="A127" s="824">
        <v>94</v>
      </c>
      <c r="B127" s="1299" t="s">
        <v>972</v>
      </c>
      <c r="C127" s="1300"/>
      <c r="D127" s="1300"/>
      <c r="E127" s="1300"/>
      <c r="F127" s="1300"/>
      <c r="G127" s="1300"/>
      <c r="H127" s="1300"/>
      <c r="I127" s="1300"/>
      <c r="J127" s="1301"/>
      <c r="K127" s="1301"/>
      <c r="L127" s="825"/>
    </row>
    <row r="128" spans="1:12" ht="12.75">
      <c r="A128" s="694">
        <v>95</v>
      </c>
      <c r="B128" s="697" t="s">
        <v>800</v>
      </c>
      <c r="C128" s="698">
        <f>SUM(I128+G128+F128+E128+D128)</f>
        <v>0</v>
      </c>
      <c r="D128" s="700"/>
      <c r="E128" s="700"/>
      <c r="F128" s="699">
        <v>0</v>
      </c>
      <c r="G128" s="700"/>
      <c r="H128" s="700"/>
      <c r="I128" s="700"/>
      <c r="J128" s="701">
        <v>0</v>
      </c>
      <c r="K128" s="701">
        <v>0</v>
      </c>
      <c r="L128" s="1282"/>
    </row>
    <row r="129" spans="1:12" ht="13.5" thickBot="1">
      <c r="A129" s="696">
        <v>96</v>
      </c>
      <c r="B129" s="702" t="s">
        <v>801</v>
      </c>
      <c r="C129" s="703">
        <v>6119772</v>
      </c>
      <c r="D129" s="706"/>
      <c r="E129" s="706"/>
      <c r="F129" s="705">
        <v>0</v>
      </c>
      <c r="G129" s="706"/>
      <c r="H129" s="706"/>
      <c r="I129" s="706"/>
      <c r="J129" s="707">
        <v>1475404</v>
      </c>
      <c r="K129" s="707">
        <v>1092680</v>
      </c>
      <c r="L129" s="1283"/>
    </row>
    <row r="130" spans="1:12" ht="13.5" thickBot="1">
      <c r="A130" s="696">
        <v>97</v>
      </c>
      <c r="B130" s="708" t="s">
        <v>802</v>
      </c>
      <c r="C130" s="709">
        <f>SUM(I130+G130+F130+E130+D130)</f>
        <v>0</v>
      </c>
      <c r="D130" s="711"/>
      <c r="E130" s="711"/>
      <c r="F130" s="710">
        <f>SUM(F128+F129)</f>
        <v>0</v>
      </c>
      <c r="G130" s="711"/>
      <c r="H130" s="712"/>
      <c r="I130" s="713"/>
      <c r="J130" s="714">
        <f>SUM(J128+J129)</f>
        <v>1475404</v>
      </c>
      <c r="K130" s="714">
        <f>SUM(K128+K129)</f>
        <v>1092680</v>
      </c>
      <c r="L130" s="1284"/>
    </row>
    <row r="131" spans="1:12" ht="13.5" thickBot="1">
      <c r="A131" s="696"/>
      <c r="B131" s="1309"/>
      <c r="C131" s="1310"/>
      <c r="D131" s="1311"/>
      <c r="E131" s="1311"/>
      <c r="F131" s="1311"/>
      <c r="G131" s="1311"/>
      <c r="H131" s="1311"/>
      <c r="I131" s="1311"/>
      <c r="J131" s="1312"/>
      <c r="K131" s="1313"/>
      <c r="L131" s="695"/>
    </row>
    <row r="132" spans="1:12" ht="12.75">
      <c r="A132" s="715">
        <v>98</v>
      </c>
      <c r="B132" s="716" t="s">
        <v>803</v>
      </c>
      <c r="C132" s="717">
        <v>3150000</v>
      </c>
      <c r="D132" s="699">
        <v>3150000</v>
      </c>
      <c r="E132" s="718">
        <v>0</v>
      </c>
      <c r="F132" s="718">
        <v>0</v>
      </c>
      <c r="G132" s="700"/>
      <c r="H132" s="700"/>
      <c r="I132" s="700"/>
      <c r="J132" s="1282"/>
      <c r="K132" s="1282"/>
      <c r="L132" s="701">
        <v>973100</v>
      </c>
    </row>
    <row r="133" spans="1:12" ht="13.5" thickBot="1">
      <c r="A133" s="715">
        <v>99</v>
      </c>
      <c r="B133" s="719" t="s">
        <v>804</v>
      </c>
      <c r="C133" s="720">
        <v>3850000</v>
      </c>
      <c r="D133" s="704">
        <f>3850000-257950</f>
        <v>3592050</v>
      </c>
      <c r="E133" s="704">
        <v>0</v>
      </c>
      <c r="F133" s="704">
        <v>257950</v>
      </c>
      <c r="G133" s="706"/>
      <c r="H133" s="706"/>
      <c r="I133" s="706"/>
      <c r="J133" s="1283"/>
      <c r="K133" s="1283"/>
      <c r="L133" s="707">
        <v>1848984</v>
      </c>
    </row>
    <row r="134" spans="1:12" ht="13.5" thickBot="1">
      <c r="A134" s="721">
        <v>100</v>
      </c>
      <c r="B134" s="722" t="s">
        <v>372</v>
      </c>
      <c r="C134" s="723">
        <f>SUM(C132:C133)</f>
        <v>7000000</v>
      </c>
      <c r="D134" s="724">
        <f>SUM(D132:D133)</f>
        <v>6742050</v>
      </c>
      <c r="E134" s="724">
        <f>SUM(E132:E133)</f>
        <v>0</v>
      </c>
      <c r="F134" s="724">
        <f>SUM(F132:F133)</f>
        <v>257950</v>
      </c>
      <c r="G134" s="711"/>
      <c r="H134" s="712"/>
      <c r="I134" s="713"/>
      <c r="J134" s="1284"/>
      <c r="K134" s="1284"/>
      <c r="L134" s="725">
        <f>SUM(L132:L133)</f>
        <v>2822084</v>
      </c>
    </row>
    <row r="135" spans="1:12" ht="14.25" thickBot="1" thickTop="1">
      <c r="A135" s="715"/>
      <c r="B135" s="860"/>
      <c r="C135" s="851"/>
      <c r="D135" s="852"/>
      <c r="E135" s="851"/>
      <c r="F135" s="851"/>
      <c r="G135" s="852"/>
      <c r="H135" s="852"/>
      <c r="I135" s="852"/>
      <c r="J135" s="853"/>
      <c r="K135" s="853"/>
      <c r="L135" s="854"/>
    </row>
    <row r="136" spans="1:12" ht="14.25" thickBot="1" thickTop="1">
      <c r="A136" s="696"/>
      <c r="B136" s="1291"/>
      <c r="C136" s="1292"/>
      <c r="D136" s="1292"/>
      <c r="E136" s="1292"/>
      <c r="F136" s="1292"/>
      <c r="G136" s="1292"/>
      <c r="H136" s="1292"/>
      <c r="I136" s="1292"/>
      <c r="J136" s="1292"/>
      <c r="K136" s="1292"/>
      <c r="L136" s="1293"/>
    </row>
    <row r="137" spans="1:12" ht="19.5" thickBot="1" thickTop="1">
      <c r="A137" s="861"/>
      <c r="B137" s="1288" t="s">
        <v>758</v>
      </c>
      <c r="C137" s="1289"/>
      <c r="D137" s="1289"/>
      <c r="E137" s="1289"/>
      <c r="F137" s="1289"/>
      <c r="G137" s="1289"/>
      <c r="H137" s="1289"/>
      <c r="I137" s="1289"/>
      <c r="J137" s="1289"/>
      <c r="K137" s="1289"/>
      <c r="L137" s="1290"/>
    </row>
    <row r="138" spans="1:12" ht="14.25" thickBot="1" thickTop="1">
      <c r="A138" s="726"/>
      <c r="B138" s="1294"/>
      <c r="C138" s="1295"/>
      <c r="D138" s="1295"/>
      <c r="E138" s="1295"/>
      <c r="F138" s="1295"/>
      <c r="G138" s="1295"/>
      <c r="H138" s="1295"/>
      <c r="I138" s="1295"/>
      <c r="J138" s="1295"/>
      <c r="K138" s="1295"/>
      <c r="L138" s="1296"/>
    </row>
    <row r="139" spans="1:12" ht="16.5" thickBot="1" thickTop="1">
      <c r="A139" s="824">
        <v>101</v>
      </c>
      <c r="B139" s="1297" t="s">
        <v>883</v>
      </c>
      <c r="C139" s="1298"/>
      <c r="D139" s="1298"/>
      <c r="E139" s="1298"/>
      <c r="F139" s="1298"/>
      <c r="G139" s="1298"/>
      <c r="H139" s="1298"/>
      <c r="I139" s="1298"/>
      <c r="J139" s="1298"/>
      <c r="K139" s="1298"/>
      <c r="L139" s="862"/>
    </row>
    <row r="140" spans="1:12" ht="12.75">
      <c r="A140" s="694">
        <v>102</v>
      </c>
      <c r="B140" s="744" t="s">
        <v>805</v>
      </c>
      <c r="C140" s="863">
        <v>0</v>
      </c>
      <c r="D140" s="864"/>
      <c r="E140" s="865">
        <v>0</v>
      </c>
      <c r="F140" s="865">
        <v>0</v>
      </c>
      <c r="G140" s="865">
        <v>0</v>
      </c>
      <c r="H140" s="865"/>
      <c r="I140" s="864"/>
      <c r="J140" s="866">
        <v>0</v>
      </c>
      <c r="K140" s="866">
        <v>0</v>
      </c>
      <c r="L140" s="1283"/>
    </row>
    <row r="141" spans="1:12" ht="13.5" thickBot="1">
      <c r="A141" s="729">
        <v>103</v>
      </c>
      <c r="B141" s="702" t="s">
        <v>801</v>
      </c>
      <c r="C141" s="730">
        <v>88217316</v>
      </c>
      <c r="D141" s="830"/>
      <c r="E141" s="705">
        <v>45094449</v>
      </c>
      <c r="F141" s="705">
        <v>0</v>
      </c>
      <c r="G141" s="705">
        <v>0</v>
      </c>
      <c r="H141" s="705">
        <v>43122867</v>
      </c>
      <c r="I141" s="830"/>
      <c r="J141" s="707">
        <v>7760424</v>
      </c>
      <c r="K141" s="707">
        <v>5354163</v>
      </c>
      <c r="L141" s="1283"/>
    </row>
    <row r="142" spans="1:12" ht="13.5" thickBot="1">
      <c r="A142" s="696">
        <v>104</v>
      </c>
      <c r="B142" s="708" t="s">
        <v>802</v>
      </c>
      <c r="C142" s="709">
        <f>SUM(C140:C141)</f>
        <v>88217316</v>
      </c>
      <c r="D142" s="711"/>
      <c r="E142" s="710">
        <f>SUM(E140:E141)</f>
        <v>45094449</v>
      </c>
      <c r="F142" s="710">
        <f>SUM(F140:F141)</f>
        <v>0</v>
      </c>
      <c r="G142" s="710">
        <f>SUM(G140:G141)</f>
        <v>0</v>
      </c>
      <c r="H142" s="710">
        <f>SUM(H140:H141)</f>
        <v>43122867</v>
      </c>
      <c r="I142" s="711"/>
      <c r="J142" s="714">
        <f>SUM(J140:J141)</f>
        <v>7760424</v>
      </c>
      <c r="K142" s="714">
        <f>SUM(K140:K141)</f>
        <v>5354163</v>
      </c>
      <c r="L142" s="1284"/>
    </row>
    <row r="143" spans="1:12" ht="13.5" thickBot="1">
      <c r="A143" s="696"/>
      <c r="B143" s="1285"/>
      <c r="C143" s="1275"/>
      <c r="D143" s="1275"/>
      <c r="E143" s="1275"/>
      <c r="F143" s="1275"/>
      <c r="G143" s="1275"/>
      <c r="H143" s="1275"/>
      <c r="I143" s="1275"/>
      <c r="J143" s="1275"/>
      <c r="K143" s="1286"/>
      <c r="L143" s="695"/>
    </row>
    <row r="144" spans="1:12" ht="12.75">
      <c r="A144" s="732">
        <v>105</v>
      </c>
      <c r="B144" s="733" t="s">
        <v>806</v>
      </c>
      <c r="C144" s="841">
        <f>SUM(E144:H144)</f>
        <v>53041950</v>
      </c>
      <c r="D144" s="831"/>
      <c r="E144" s="699">
        <v>4082460</v>
      </c>
      <c r="F144" s="738">
        <v>23773325</v>
      </c>
      <c r="G144" s="738">
        <v>23773325</v>
      </c>
      <c r="H144" s="738">
        <v>1412840</v>
      </c>
      <c r="I144" s="831"/>
      <c r="J144" s="1282"/>
      <c r="K144" s="1282"/>
      <c r="L144" s="701">
        <f>7710424+2756937+482464</f>
        <v>10949825</v>
      </c>
    </row>
    <row r="145" spans="1:12" ht="12.75">
      <c r="A145" s="715">
        <v>106</v>
      </c>
      <c r="B145" s="719" t="s">
        <v>804</v>
      </c>
      <c r="C145" s="720">
        <f>SUM(E145:H145)</f>
        <v>33488176</v>
      </c>
      <c r="D145" s="833"/>
      <c r="E145" s="705">
        <v>12718558</v>
      </c>
      <c r="F145" s="731">
        <v>10002127</v>
      </c>
      <c r="G145" s="731">
        <v>10002126</v>
      </c>
      <c r="H145" s="731">
        <v>765365</v>
      </c>
      <c r="I145" s="833"/>
      <c r="J145" s="1283"/>
      <c r="K145" s="1283"/>
      <c r="L145" s="707">
        <f>50000+2114762</f>
        <v>2164762</v>
      </c>
    </row>
    <row r="146" spans="1:12" ht="13.5" thickBot="1">
      <c r="A146" s="715">
        <v>107</v>
      </c>
      <c r="B146" s="834" t="s">
        <v>803</v>
      </c>
      <c r="C146" s="842">
        <f>SUM(E146:H146)</f>
        <v>1687190</v>
      </c>
      <c r="D146" s="836"/>
      <c r="E146" s="705">
        <v>862449</v>
      </c>
      <c r="F146" s="731">
        <v>412371</v>
      </c>
      <c r="G146" s="731">
        <v>412370</v>
      </c>
      <c r="H146" s="731">
        <v>0</v>
      </c>
      <c r="I146" s="836"/>
      <c r="J146" s="1283"/>
      <c r="K146" s="1283"/>
      <c r="L146" s="707">
        <v>0</v>
      </c>
    </row>
    <row r="147" spans="1:12" ht="13.5" thickBot="1">
      <c r="A147" s="734">
        <v>108</v>
      </c>
      <c r="B147" s="735" t="s">
        <v>372</v>
      </c>
      <c r="C147" s="723">
        <f>SUM(C144:C146)</f>
        <v>88217316</v>
      </c>
      <c r="D147" s="748"/>
      <c r="E147" s="736">
        <f>SUM(E144:E146)</f>
        <v>17663467</v>
      </c>
      <c r="F147" s="736">
        <f>SUM(F144:F146)</f>
        <v>34187823</v>
      </c>
      <c r="G147" s="736">
        <f>SUM(G144:G146)</f>
        <v>34187821</v>
      </c>
      <c r="H147" s="736">
        <f>SUM(H144:H146)</f>
        <v>2178205</v>
      </c>
      <c r="I147" s="748"/>
      <c r="J147" s="1287"/>
      <c r="K147" s="1287"/>
      <c r="L147" s="725">
        <f>SUM(L144:L146)</f>
        <v>13114587</v>
      </c>
    </row>
    <row r="148" ht="14.25" thickBot="1" thickTop="1"/>
    <row r="149" spans="1:12" ht="19.5" thickBot="1" thickTop="1">
      <c r="A149" s="861"/>
      <c r="B149" s="1288" t="s">
        <v>815</v>
      </c>
      <c r="C149" s="1289"/>
      <c r="D149" s="1289"/>
      <c r="E149" s="1289"/>
      <c r="F149" s="1289"/>
      <c r="G149" s="1289"/>
      <c r="H149" s="1289"/>
      <c r="I149" s="1289"/>
      <c r="J149" s="1289"/>
      <c r="K149" s="1289"/>
      <c r="L149" s="1290"/>
    </row>
    <row r="150" spans="1:12" ht="14.25" thickBot="1" thickTop="1">
      <c r="A150" s="1276"/>
      <c r="B150" s="1277"/>
      <c r="C150" s="1277"/>
      <c r="D150" s="1277"/>
      <c r="E150" s="1277"/>
      <c r="F150" s="1277"/>
      <c r="G150" s="1277"/>
      <c r="H150" s="1277"/>
      <c r="I150" s="1277"/>
      <c r="J150" s="1277"/>
      <c r="K150" s="1277"/>
      <c r="L150" s="1278"/>
    </row>
    <row r="151" spans="1:12" ht="16.5" thickBot="1" thickTop="1">
      <c r="A151" s="824">
        <v>109</v>
      </c>
      <c r="B151" s="1279" t="s">
        <v>885</v>
      </c>
      <c r="C151" s="1280"/>
      <c r="D151" s="1280"/>
      <c r="E151" s="1280"/>
      <c r="F151" s="1280"/>
      <c r="G151" s="1280"/>
      <c r="H151" s="1280"/>
      <c r="I151" s="1280"/>
      <c r="J151" s="1280"/>
      <c r="K151" s="1280"/>
      <c r="L151" s="1281"/>
    </row>
    <row r="152" spans="1:12" ht="12.75">
      <c r="A152" s="694">
        <v>110</v>
      </c>
      <c r="B152" s="697" t="s">
        <v>805</v>
      </c>
      <c r="C152" s="727">
        <v>0</v>
      </c>
      <c r="D152" s="829"/>
      <c r="E152" s="829"/>
      <c r="F152" s="728">
        <v>0</v>
      </c>
      <c r="G152" s="829"/>
      <c r="H152" s="829"/>
      <c r="I152" s="829"/>
      <c r="J152" s="701">
        <v>0</v>
      </c>
      <c r="K152" s="701">
        <v>0</v>
      </c>
      <c r="L152" s="1282"/>
    </row>
    <row r="153" spans="1:12" ht="13.5" thickBot="1">
      <c r="A153" s="729">
        <v>111</v>
      </c>
      <c r="B153" s="702" t="s">
        <v>801</v>
      </c>
      <c r="C153" s="730">
        <v>25000000</v>
      </c>
      <c r="D153" s="830"/>
      <c r="E153" s="830"/>
      <c r="F153" s="705">
        <v>25000000</v>
      </c>
      <c r="G153" s="830"/>
      <c r="H153" s="830"/>
      <c r="I153" s="830"/>
      <c r="J153" s="707">
        <v>5642681</v>
      </c>
      <c r="K153" s="707">
        <v>0</v>
      </c>
      <c r="L153" s="1283"/>
    </row>
    <row r="154" spans="1:12" ht="13.5" thickBot="1">
      <c r="A154" s="696">
        <v>112</v>
      </c>
      <c r="B154" s="708" t="s">
        <v>802</v>
      </c>
      <c r="C154" s="709">
        <f>SUM(C152:C153)</f>
        <v>25000000</v>
      </c>
      <c r="D154" s="711"/>
      <c r="E154" s="711"/>
      <c r="F154" s="710">
        <f>SUM(F152:F153)</f>
        <v>25000000</v>
      </c>
      <c r="G154" s="711"/>
      <c r="H154" s="711"/>
      <c r="I154" s="711"/>
      <c r="J154" s="714">
        <f>SUM(J152:J153)</f>
        <v>5642681</v>
      </c>
      <c r="K154" s="714">
        <f>SUM(K152:K153)</f>
        <v>0</v>
      </c>
      <c r="L154" s="1284"/>
    </row>
    <row r="155" spans="1:12" ht="13.5" thickBot="1">
      <c r="A155" s="696"/>
      <c r="B155" s="1285"/>
      <c r="C155" s="1275"/>
      <c r="D155" s="1275"/>
      <c r="E155" s="1275"/>
      <c r="F155" s="1275"/>
      <c r="G155" s="1275"/>
      <c r="H155" s="1275"/>
      <c r="I155" s="1275"/>
      <c r="J155" s="1275"/>
      <c r="K155" s="1286"/>
      <c r="L155" s="695"/>
    </row>
    <row r="156" spans="1:12" ht="12.75">
      <c r="A156" s="732">
        <v>113</v>
      </c>
      <c r="B156" s="733" t="s">
        <v>806</v>
      </c>
      <c r="C156" s="841">
        <f>SUM(E156:H156)</f>
        <v>8407749</v>
      </c>
      <c r="D156" s="831"/>
      <c r="E156" s="831"/>
      <c r="F156" s="699">
        <v>8407749</v>
      </c>
      <c r="G156" s="831"/>
      <c r="H156" s="831"/>
      <c r="I156" s="831"/>
      <c r="J156" s="1282"/>
      <c r="K156" s="1282"/>
      <c r="L156" s="701">
        <v>2115000</v>
      </c>
    </row>
    <row r="157" spans="1:12" ht="12.75">
      <c r="A157" s="715">
        <v>114</v>
      </c>
      <c r="B157" s="719" t="s">
        <v>804</v>
      </c>
      <c r="C157" s="720">
        <f>SUM(E157:H157)</f>
        <v>14095151</v>
      </c>
      <c r="D157" s="833"/>
      <c r="E157" s="833"/>
      <c r="F157" s="705">
        <v>14095151</v>
      </c>
      <c r="G157" s="833"/>
      <c r="H157" s="833"/>
      <c r="I157" s="833"/>
      <c r="J157" s="1283"/>
      <c r="K157" s="1283"/>
      <c r="L157" s="707">
        <v>3527681</v>
      </c>
    </row>
    <row r="158" spans="1:12" ht="13.5" thickBot="1">
      <c r="A158" s="715">
        <v>115</v>
      </c>
      <c r="B158" s="834" t="s">
        <v>803</v>
      </c>
      <c r="C158" s="842">
        <f>SUM(E158:H158)</f>
        <v>2497100</v>
      </c>
      <c r="D158" s="836"/>
      <c r="E158" s="836"/>
      <c r="F158" s="704">
        <v>2497100</v>
      </c>
      <c r="G158" s="836"/>
      <c r="H158" s="836"/>
      <c r="I158" s="836"/>
      <c r="J158" s="1283"/>
      <c r="K158" s="1283"/>
      <c r="L158" s="707">
        <v>0</v>
      </c>
    </row>
    <row r="159" spans="1:12" ht="13.5" thickBot="1">
      <c r="A159" s="734">
        <v>116</v>
      </c>
      <c r="B159" s="735" t="s">
        <v>372</v>
      </c>
      <c r="C159" s="723">
        <f>SUM(C156:C158)</f>
        <v>25000000</v>
      </c>
      <c r="D159" s="748"/>
      <c r="E159" s="748"/>
      <c r="F159" s="736">
        <f>SUM(F156:F158)</f>
        <v>25000000</v>
      </c>
      <c r="G159" s="748"/>
      <c r="H159" s="748"/>
      <c r="I159" s="748"/>
      <c r="J159" s="1287"/>
      <c r="K159" s="1287"/>
      <c r="L159" s="725">
        <f>SUM(L156:L158)</f>
        <v>5642681</v>
      </c>
    </row>
    <row r="160" spans="1:12" ht="13.5" thickTop="1">
      <c r="A160" s="901"/>
      <c r="B160" s="1275"/>
      <c r="C160" s="1275"/>
      <c r="D160" s="1275"/>
      <c r="E160" s="1275"/>
      <c r="F160" s="1275"/>
      <c r="G160" s="1275"/>
      <c r="H160" s="1275"/>
      <c r="I160" s="1275"/>
      <c r="J160" s="1275"/>
      <c r="K160" s="1275"/>
      <c r="L160" s="872"/>
    </row>
  </sheetData>
  <sheetProtection/>
  <mergeCells count="98"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J8:J10"/>
    <mergeCell ref="B12:L12"/>
    <mergeCell ref="B127:K127"/>
    <mergeCell ref="L128:L130"/>
    <mergeCell ref="B131:K131"/>
    <mergeCell ref="K132:K134"/>
    <mergeCell ref="B13:L13"/>
    <mergeCell ref="J132:J134"/>
    <mergeCell ref="B33:K33"/>
    <mergeCell ref="L34:L36"/>
    <mergeCell ref="B37:K37"/>
    <mergeCell ref="B14:K14"/>
    <mergeCell ref="L15:L17"/>
    <mergeCell ref="B18:K18"/>
    <mergeCell ref="K19:K22"/>
    <mergeCell ref="B23:L23"/>
    <mergeCell ref="J19:J22"/>
    <mergeCell ref="B28:K28"/>
    <mergeCell ref="K29:K31"/>
    <mergeCell ref="J29:J31"/>
    <mergeCell ref="B32:L32"/>
    <mergeCell ref="B24:K24"/>
    <mergeCell ref="L25:L27"/>
    <mergeCell ref="B41:L41"/>
    <mergeCell ref="B42:K42"/>
    <mergeCell ref="L43:L45"/>
    <mergeCell ref="B46:K46"/>
    <mergeCell ref="K47:K53"/>
    <mergeCell ref="B54:L54"/>
    <mergeCell ref="J47:J53"/>
    <mergeCell ref="C47:C48"/>
    <mergeCell ref="B65:K65"/>
    <mergeCell ref="B66:K66"/>
    <mergeCell ref="L67:L69"/>
    <mergeCell ref="B70:K70"/>
    <mergeCell ref="B55:K55"/>
    <mergeCell ref="L56:L58"/>
    <mergeCell ref="B59:K59"/>
    <mergeCell ref="K60:K64"/>
    <mergeCell ref="J60:J64"/>
    <mergeCell ref="C60:C61"/>
    <mergeCell ref="K71:K75"/>
    <mergeCell ref="B76:K76"/>
    <mergeCell ref="B77:K77"/>
    <mergeCell ref="L78:L80"/>
    <mergeCell ref="B81:K81"/>
    <mergeCell ref="K82:K85"/>
    <mergeCell ref="J71:J75"/>
    <mergeCell ref="J82:J85"/>
    <mergeCell ref="B86:K86"/>
    <mergeCell ref="B87:K87"/>
    <mergeCell ref="L88:L90"/>
    <mergeCell ref="B91:K91"/>
    <mergeCell ref="K92:K97"/>
    <mergeCell ref="B98:K98"/>
    <mergeCell ref="J92:J97"/>
    <mergeCell ref="B99:K99"/>
    <mergeCell ref="L100:L102"/>
    <mergeCell ref="B103:K103"/>
    <mergeCell ref="K104:K106"/>
    <mergeCell ref="B108:K108"/>
    <mergeCell ref="L109:L111"/>
    <mergeCell ref="J104:J106"/>
    <mergeCell ref="B143:K143"/>
    <mergeCell ref="B112:K112"/>
    <mergeCell ref="K113:K115"/>
    <mergeCell ref="B117:K117"/>
    <mergeCell ref="L118:L120"/>
    <mergeCell ref="B121:K121"/>
    <mergeCell ref="K122:K125"/>
    <mergeCell ref="J113:J115"/>
    <mergeCell ref="J122:J125"/>
    <mergeCell ref="B149:L149"/>
    <mergeCell ref="K144:K147"/>
    <mergeCell ref="J38:J40"/>
    <mergeCell ref="K38:K40"/>
    <mergeCell ref="J144:J147"/>
    <mergeCell ref="B136:L136"/>
    <mergeCell ref="B137:L137"/>
    <mergeCell ref="B138:L138"/>
    <mergeCell ref="B139:K139"/>
    <mergeCell ref="L140:L142"/>
    <mergeCell ref="B160:K160"/>
    <mergeCell ref="A150:L150"/>
    <mergeCell ref="B151:L151"/>
    <mergeCell ref="L152:L154"/>
    <mergeCell ref="B155:K155"/>
    <mergeCell ref="J156:J159"/>
    <mergeCell ref="K156:K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7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7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85" customWidth="1"/>
    <col min="2" max="4" width="9.125" style="185" customWidth="1"/>
    <col min="5" max="5" width="40.375" style="185" customWidth="1"/>
    <col min="6" max="6" width="16.125" style="185" bestFit="1" customWidth="1"/>
    <col min="7" max="7" width="14.125" style="185" bestFit="1" customWidth="1"/>
    <col min="8" max="9" width="14.875" style="185" customWidth="1"/>
    <col min="10" max="10" width="16.00390625" style="185" bestFit="1" customWidth="1"/>
    <col min="11" max="16384" width="9.125" style="185" customWidth="1"/>
  </cols>
  <sheetData>
    <row r="1" spans="1:10" s="189" customFormat="1" ht="12.75">
      <c r="A1" s="988" t="s">
        <v>1048</v>
      </c>
      <c r="B1" s="988"/>
      <c r="C1" s="988"/>
      <c r="D1" s="988"/>
      <c r="E1" s="988"/>
      <c r="F1" s="988"/>
      <c r="G1" s="988"/>
      <c r="H1" s="988"/>
      <c r="I1" s="988"/>
      <c r="J1" s="988"/>
    </row>
    <row r="2" spans="1:10" s="189" customFormat="1" ht="9.7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</row>
    <row r="3" spans="1:10" s="189" customFormat="1" ht="16.5">
      <c r="A3" s="989" t="s">
        <v>909</v>
      </c>
      <c r="B3" s="989"/>
      <c r="C3" s="989"/>
      <c r="D3" s="989"/>
      <c r="E3" s="989"/>
      <c r="F3" s="989"/>
      <c r="G3" s="989"/>
      <c r="H3" s="989"/>
      <c r="I3" s="989"/>
      <c r="J3" s="989"/>
    </row>
    <row r="4" spans="1:10" s="189" customFormat="1" ht="12.75">
      <c r="A4" s="190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78" customHeight="1">
      <c r="A5" s="990" t="s">
        <v>0</v>
      </c>
      <c r="B5" s="991"/>
      <c r="C5" s="991"/>
      <c r="D5" s="991"/>
      <c r="E5" s="992"/>
      <c r="F5" s="192" t="s">
        <v>86</v>
      </c>
      <c r="G5" s="192" t="s">
        <v>374</v>
      </c>
      <c r="H5" s="192" t="s">
        <v>758</v>
      </c>
      <c r="I5" s="192" t="s">
        <v>815</v>
      </c>
      <c r="J5" s="193" t="s">
        <v>367</v>
      </c>
    </row>
    <row r="6" spans="1:10" s="196" customFormat="1" ht="15">
      <c r="A6" s="194" t="s">
        <v>435</v>
      </c>
      <c r="B6" s="993" t="s">
        <v>436</v>
      </c>
      <c r="C6" s="994"/>
      <c r="D6" s="994"/>
      <c r="E6" s="995"/>
      <c r="F6" s="195" t="s">
        <v>437</v>
      </c>
      <c r="G6" s="195" t="s">
        <v>438</v>
      </c>
      <c r="H6" s="195" t="s">
        <v>439</v>
      </c>
      <c r="I6" s="195" t="s">
        <v>440</v>
      </c>
      <c r="J6" s="195" t="s">
        <v>442</v>
      </c>
    </row>
    <row r="7" spans="1:11" ht="14.25" customHeight="1">
      <c r="A7" s="197" t="s">
        <v>1</v>
      </c>
      <c r="B7" s="996" t="s">
        <v>346</v>
      </c>
      <c r="C7" s="996"/>
      <c r="D7" s="996"/>
      <c r="E7" s="996"/>
      <c r="F7" s="184">
        <f>34989435+3693375+12115695+1044000+609406+25000+27396716+80000+5400000+8650000+2543600+24650000+18342800+33000+1350000+1125000</f>
        <v>142048027</v>
      </c>
      <c r="G7" s="184">
        <f>91562414+4740000+2452125</f>
        <v>98754539</v>
      </c>
      <c r="H7" s="184">
        <f>169355757+3215520+639450-330000-1461600+2756937+1035000-976500+1125000-1245375</f>
        <v>174114189</v>
      </c>
      <c r="I7" s="184">
        <f>2802000+11931088+1980314+1800000-775591</f>
        <v>17737811</v>
      </c>
      <c r="J7" s="882">
        <f>SUM(F7:I7)</f>
        <v>432654566</v>
      </c>
      <c r="K7" s="632"/>
    </row>
    <row r="8" spans="1:11" ht="13.5" customHeight="1">
      <c r="A8" s="197" t="s">
        <v>3</v>
      </c>
      <c r="B8" s="996" t="s">
        <v>4</v>
      </c>
      <c r="C8" s="996"/>
      <c r="D8" s="996"/>
      <c r="E8" s="996"/>
      <c r="F8" s="184">
        <f>8083672+323170+1060123+164430+143206+3938+4793101+38963+927500+1409909+445130+4900455+3773040+5197+236250+196875</f>
        <v>26504959</v>
      </c>
      <c r="G8" s="184">
        <f>16696818+829500+429122</f>
        <v>17955440</v>
      </c>
      <c r="H8" s="184">
        <f>33361183+562716+111904-57750-255780+482464+181125-170887+196875-217940</f>
        <v>34193910</v>
      </c>
      <c r="I8" s="184">
        <f>490350+2122958+964502+315000-377745</f>
        <v>3515065</v>
      </c>
      <c r="J8" s="882">
        <f aca="true" t="shared" si="0" ref="J8:J70">SUM(F8:I8)</f>
        <v>82169374</v>
      </c>
      <c r="K8" s="632"/>
    </row>
    <row r="9" spans="1:11" ht="12" customHeight="1">
      <c r="A9" s="197" t="s">
        <v>5</v>
      </c>
      <c r="B9" s="996" t="s">
        <v>6</v>
      </c>
      <c r="C9" s="996"/>
      <c r="D9" s="996"/>
      <c r="E9" s="996"/>
      <c r="F9" s="184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</f>
        <v>311226482</v>
      </c>
      <c r="G9" s="184">
        <v>26913440</v>
      </c>
      <c r="H9" s="184">
        <f>56130277-781083+2114762</f>
        <v>57463956</v>
      </c>
      <c r="I9" s="184">
        <f>1082115+290700+14446890+7003586+3527681-317500+144779-2575544</f>
        <v>23602707</v>
      </c>
      <c r="J9" s="882">
        <f t="shared" si="0"/>
        <v>419206585</v>
      </c>
      <c r="K9" s="632"/>
    </row>
    <row r="10" spans="1:11" ht="12.75">
      <c r="A10" s="197" t="s">
        <v>8</v>
      </c>
      <c r="B10" s="996" t="s">
        <v>9</v>
      </c>
      <c r="C10" s="996"/>
      <c r="D10" s="996"/>
      <c r="E10" s="996"/>
      <c r="F10" s="184">
        <f>SUM(F11,F12,F15:F20)</f>
        <v>3804900</v>
      </c>
      <c r="G10" s="184">
        <f>SUM(G11,G12,G15:G20)</f>
        <v>0</v>
      </c>
      <c r="H10" s="184">
        <f>SUM(H11,H12,H15:H20)</f>
        <v>0</v>
      </c>
      <c r="I10" s="184">
        <f>SUM(I11,I12,I15:I20)</f>
        <v>0</v>
      </c>
      <c r="J10" s="882">
        <f t="shared" si="0"/>
        <v>3804900</v>
      </c>
      <c r="K10" s="632"/>
    </row>
    <row r="11" spans="1:11" ht="12.75">
      <c r="A11" s="180"/>
      <c r="B11" s="180" t="s">
        <v>10</v>
      </c>
      <c r="C11" s="979" t="s">
        <v>11</v>
      </c>
      <c r="D11" s="981"/>
      <c r="E11" s="980"/>
      <c r="F11" s="183">
        <v>0</v>
      </c>
      <c r="G11" s="183">
        <v>0</v>
      </c>
      <c r="H11" s="183">
        <v>0</v>
      </c>
      <c r="I11" s="183">
        <v>0</v>
      </c>
      <c r="J11" s="184">
        <f t="shared" si="0"/>
        <v>0</v>
      </c>
      <c r="K11" s="632"/>
    </row>
    <row r="12" spans="1:11" ht="12.75">
      <c r="A12" s="180"/>
      <c r="B12" s="180" t="s">
        <v>12</v>
      </c>
      <c r="C12" s="982" t="s">
        <v>13</v>
      </c>
      <c r="D12" s="982"/>
      <c r="E12" s="982"/>
      <c r="F12" s="183">
        <f>SUM(F13:F14)</f>
        <v>0</v>
      </c>
      <c r="G12" s="183">
        <f>SUM(G13:G14)</f>
        <v>0</v>
      </c>
      <c r="H12" s="183">
        <f>SUM(H13:H14)</f>
        <v>0</v>
      </c>
      <c r="I12" s="183">
        <f>SUM(I13:I14)</f>
        <v>0</v>
      </c>
      <c r="J12" s="184">
        <f t="shared" si="0"/>
        <v>0</v>
      </c>
      <c r="K12" s="632"/>
    </row>
    <row r="13" spans="1:11" ht="23.25" customHeight="1" hidden="1">
      <c r="A13" s="186"/>
      <c r="B13" s="180"/>
      <c r="C13" s="186"/>
      <c r="D13" s="977" t="s">
        <v>653</v>
      </c>
      <c r="E13" s="978"/>
      <c r="F13" s="187">
        <v>0</v>
      </c>
      <c r="G13" s="187"/>
      <c r="H13" s="187">
        <v>0</v>
      </c>
      <c r="I13" s="187">
        <v>0</v>
      </c>
      <c r="J13" s="198">
        <f t="shared" si="0"/>
        <v>0</v>
      </c>
      <c r="K13" s="632"/>
    </row>
    <row r="14" spans="1:11" ht="22.5" customHeight="1" hidden="1">
      <c r="A14" s="186"/>
      <c r="B14" s="180"/>
      <c r="C14" s="186"/>
      <c r="D14" s="997" t="s">
        <v>654</v>
      </c>
      <c r="E14" s="998"/>
      <c r="F14" s="187">
        <v>0</v>
      </c>
      <c r="G14" s="187">
        <v>0</v>
      </c>
      <c r="H14" s="187">
        <v>0</v>
      </c>
      <c r="I14" s="187">
        <v>0</v>
      </c>
      <c r="J14" s="198">
        <f t="shared" si="0"/>
        <v>0</v>
      </c>
      <c r="K14" s="632"/>
    </row>
    <row r="15" spans="1:11" ht="12.75">
      <c r="A15" s="180"/>
      <c r="B15" s="180" t="s">
        <v>127</v>
      </c>
      <c r="C15" s="982" t="s">
        <v>128</v>
      </c>
      <c r="D15" s="982"/>
      <c r="E15" s="982"/>
      <c r="F15" s="183">
        <v>0</v>
      </c>
      <c r="G15" s="183">
        <v>0</v>
      </c>
      <c r="H15" s="183">
        <v>0</v>
      </c>
      <c r="I15" s="183">
        <v>0</v>
      </c>
      <c r="J15" s="198">
        <f t="shared" si="0"/>
        <v>0</v>
      </c>
      <c r="K15" s="632"/>
    </row>
    <row r="16" spans="1:11" ht="12" customHeight="1">
      <c r="A16" s="180"/>
      <c r="B16" s="180" t="s">
        <v>129</v>
      </c>
      <c r="C16" s="979" t="s">
        <v>130</v>
      </c>
      <c r="D16" s="981"/>
      <c r="E16" s="980"/>
      <c r="F16" s="183">
        <f aca="true" t="shared" si="1" ref="F16:I17">SUM(F17:F18)</f>
        <v>0</v>
      </c>
      <c r="G16" s="183">
        <f t="shared" si="1"/>
        <v>0</v>
      </c>
      <c r="H16" s="183">
        <f t="shared" si="1"/>
        <v>0</v>
      </c>
      <c r="I16" s="183">
        <f t="shared" si="1"/>
        <v>0</v>
      </c>
      <c r="J16" s="198">
        <f t="shared" si="0"/>
        <v>0</v>
      </c>
      <c r="K16" s="632"/>
    </row>
    <row r="17" spans="1:11" ht="13.5" customHeight="1">
      <c r="A17" s="186"/>
      <c r="B17" s="180" t="s">
        <v>131</v>
      </c>
      <c r="C17" s="180" t="s">
        <v>132</v>
      </c>
      <c r="D17" s="181"/>
      <c r="E17" s="182"/>
      <c r="F17" s="183">
        <f t="shared" si="1"/>
        <v>0</v>
      </c>
      <c r="G17" s="183">
        <f t="shared" si="1"/>
        <v>0</v>
      </c>
      <c r="H17" s="183">
        <f t="shared" si="1"/>
        <v>0</v>
      </c>
      <c r="I17" s="183">
        <f t="shared" si="1"/>
        <v>0</v>
      </c>
      <c r="J17" s="198">
        <f t="shared" si="0"/>
        <v>0</v>
      </c>
      <c r="K17" s="632"/>
    </row>
    <row r="18" spans="1:11" ht="12.75">
      <c r="A18" s="180"/>
      <c r="B18" s="180" t="s">
        <v>133</v>
      </c>
      <c r="C18" s="979" t="s">
        <v>134</v>
      </c>
      <c r="D18" s="981"/>
      <c r="E18" s="980"/>
      <c r="F18" s="183">
        <f>SUM(F19)</f>
        <v>0</v>
      </c>
      <c r="G18" s="183">
        <f>SUM(G19)</f>
        <v>0</v>
      </c>
      <c r="H18" s="183">
        <f>SUM(H19)</f>
        <v>0</v>
      </c>
      <c r="I18" s="183">
        <f>SUM(I19)</f>
        <v>0</v>
      </c>
      <c r="J18" s="198">
        <f t="shared" si="0"/>
        <v>0</v>
      </c>
      <c r="K18" s="632"/>
    </row>
    <row r="19" spans="1:11" ht="12.75">
      <c r="A19" s="180"/>
      <c r="B19" s="180" t="s">
        <v>135</v>
      </c>
      <c r="C19" s="982" t="s">
        <v>14</v>
      </c>
      <c r="D19" s="982"/>
      <c r="E19" s="982"/>
      <c r="F19" s="183">
        <v>0</v>
      </c>
      <c r="G19" s="183">
        <v>0</v>
      </c>
      <c r="H19" s="183">
        <v>0</v>
      </c>
      <c r="I19" s="183">
        <v>0</v>
      </c>
      <c r="J19" s="198">
        <f t="shared" si="0"/>
        <v>0</v>
      </c>
      <c r="K19" s="632"/>
    </row>
    <row r="20" spans="1:11" ht="12.75">
      <c r="A20" s="180"/>
      <c r="B20" s="180" t="s">
        <v>136</v>
      </c>
      <c r="C20" s="979" t="s">
        <v>137</v>
      </c>
      <c r="D20" s="981"/>
      <c r="E20" s="980"/>
      <c r="F20" s="183">
        <f>SUM(F21:F22)</f>
        <v>3804900</v>
      </c>
      <c r="G20" s="183">
        <f>SUM(G21:G22)</f>
        <v>0</v>
      </c>
      <c r="H20" s="183">
        <f>SUM(H21:H22)</f>
        <v>0</v>
      </c>
      <c r="I20" s="183">
        <f>SUM(I21:I22)</f>
        <v>0</v>
      </c>
      <c r="J20" s="198">
        <f t="shared" si="0"/>
        <v>3804900</v>
      </c>
      <c r="K20" s="632"/>
    </row>
    <row r="21" spans="1:11" ht="12.75">
      <c r="A21" s="186"/>
      <c r="B21" s="186"/>
      <c r="C21" s="186"/>
      <c r="D21" s="979" t="s">
        <v>609</v>
      </c>
      <c r="E21" s="980"/>
      <c r="F21" s="187">
        <v>1500000</v>
      </c>
      <c r="G21" s="187">
        <v>0</v>
      </c>
      <c r="H21" s="187">
        <v>0</v>
      </c>
      <c r="I21" s="187">
        <v>0</v>
      </c>
      <c r="J21" s="198">
        <f t="shared" si="0"/>
        <v>1500000</v>
      </c>
      <c r="K21" s="632"/>
    </row>
    <row r="22" spans="1:11" s="188" customFormat="1" ht="12.75">
      <c r="A22" s="186"/>
      <c r="B22" s="186"/>
      <c r="C22" s="186"/>
      <c r="D22" s="979" t="s">
        <v>608</v>
      </c>
      <c r="E22" s="980"/>
      <c r="F22" s="187">
        <v>2304900</v>
      </c>
      <c r="G22" s="187">
        <v>0</v>
      </c>
      <c r="H22" s="187">
        <v>0</v>
      </c>
      <c r="I22" s="187">
        <v>0</v>
      </c>
      <c r="J22" s="198">
        <f t="shared" si="0"/>
        <v>2304900</v>
      </c>
      <c r="K22" s="632"/>
    </row>
    <row r="23" spans="1:11" ht="12" customHeight="1">
      <c r="A23" s="197" t="s">
        <v>138</v>
      </c>
      <c r="B23" s="983" t="s">
        <v>139</v>
      </c>
      <c r="C23" s="984"/>
      <c r="D23" s="984"/>
      <c r="E23" s="985"/>
      <c r="F23" s="184">
        <f>SUM(F57+F46+F45+F43+F42+F41+F40+F29+F28+F27+F26+F24+F25)</f>
        <v>140982385</v>
      </c>
      <c r="G23" s="184">
        <f>SUM(G57+G46+G43+G42+G41+G40+G29+G28+G27+G26+G24+G25)</f>
        <v>0</v>
      </c>
      <c r="H23" s="184">
        <f>SUM(H57+H46+H43+H42+H41+H40+H29+H28+H27+H26+H24+H25)</f>
        <v>0</v>
      </c>
      <c r="I23" s="184">
        <f>SUM(I57+I46+I43+I42+I41+I40+I29+I28+I27+I26+I24+I25)</f>
        <v>0</v>
      </c>
      <c r="J23" s="882">
        <f t="shared" si="0"/>
        <v>140982385</v>
      </c>
      <c r="K23" s="632"/>
    </row>
    <row r="24" spans="1:11" ht="6" customHeight="1" hidden="1">
      <c r="A24" s="186"/>
      <c r="B24" s="186"/>
      <c r="C24" s="186" t="s">
        <v>140</v>
      </c>
      <c r="D24" s="186" t="s">
        <v>141</v>
      </c>
      <c r="E24" s="186"/>
      <c r="F24" s="187">
        <v>0</v>
      </c>
      <c r="G24" s="187">
        <v>0</v>
      </c>
      <c r="H24" s="187">
        <v>0</v>
      </c>
      <c r="I24" s="187">
        <v>0</v>
      </c>
      <c r="J24" s="198">
        <f t="shared" si="0"/>
        <v>0</v>
      </c>
      <c r="K24" s="633"/>
    </row>
    <row r="25" spans="1:11" ht="15" customHeight="1">
      <c r="A25" s="186"/>
      <c r="B25" s="186"/>
      <c r="C25" s="186" t="s">
        <v>142</v>
      </c>
      <c r="D25" s="186" t="s">
        <v>143</v>
      </c>
      <c r="E25" s="186"/>
      <c r="F25" s="187">
        <v>0</v>
      </c>
      <c r="G25" s="187">
        <v>0</v>
      </c>
      <c r="H25" s="187">
        <v>0</v>
      </c>
      <c r="I25" s="187">
        <v>0</v>
      </c>
      <c r="J25" s="198">
        <f t="shared" si="0"/>
        <v>0</v>
      </c>
      <c r="K25" s="633"/>
    </row>
    <row r="26" spans="1:11" ht="12.75" hidden="1">
      <c r="A26" s="186"/>
      <c r="B26" s="186"/>
      <c r="C26" s="186" t="s">
        <v>144</v>
      </c>
      <c r="D26" s="986" t="s">
        <v>145</v>
      </c>
      <c r="E26" s="987"/>
      <c r="F26" s="187">
        <v>0</v>
      </c>
      <c r="G26" s="187">
        <v>0</v>
      </c>
      <c r="H26" s="187">
        <v>0</v>
      </c>
      <c r="I26" s="187">
        <v>0</v>
      </c>
      <c r="J26" s="198">
        <f t="shared" si="0"/>
        <v>0</v>
      </c>
      <c r="K26" s="633"/>
    </row>
    <row r="27" spans="1:11" ht="12.75" hidden="1">
      <c r="A27" s="186"/>
      <c r="B27" s="186"/>
      <c r="C27" s="186" t="s">
        <v>146</v>
      </c>
      <c r="D27" s="986" t="s">
        <v>147</v>
      </c>
      <c r="E27" s="987"/>
      <c r="F27" s="187">
        <v>0</v>
      </c>
      <c r="G27" s="187">
        <v>0</v>
      </c>
      <c r="H27" s="187">
        <v>0</v>
      </c>
      <c r="I27" s="187">
        <v>0</v>
      </c>
      <c r="J27" s="198">
        <f t="shared" si="0"/>
        <v>0</v>
      </c>
      <c r="K27" s="633"/>
    </row>
    <row r="28" spans="1:11" ht="12.75" hidden="1">
      <c r="A28" s="186"/>
      <c r="B28" s="186"/>
      <c r="C28" s="186" t="s">
        <v>168</v>
      </c>
      <c r="D28" s="986" t="s">
        <v>169</v>
      </c>
      <c r="E28" s="987"/>
      <c r="F28" s="187">
        <v>0</v>
      </c>
      <c r="G28" s="187">
        <v>0</v>
      </c>
      <c r="H28" s="187">
        <v>0</v>
      </c>
      <c r="I28" s="187">
        <v>0</v>
      </c>
      <c r="J28" s="198">
        <f t="shared" si="0"/>
        <v>0</v>
      </c>
      <c r="K28" s="633"/>
    </row>
    <row r="29" spans="1:11" ht="12.75" hidden="1">
      <c r="A29" s="186"/>
      <c r="B29" s="186"/>
      <c r="C29" s="186" t="s">
        <v>170</v>
      </c>
      <c r="D29" s="986" t="s">
        <v>171</v>
      </c>
      <c r="E29" s="987"/>
      <c r="F29" s="187">
        <f>SUM(F30:F39)</f>
        <v>0</v>
      </c>
      <c r="G29" s="187">
        <f>SUM(G30:G39)</f>
        <v>0</v>
      </c>
      <c r="H29" s="187">
        <f>SUM(H30:H39)</f>
        <v>0</v>
      </c>
      <c r="I29" s="187">
        <f>SUM(I30:I39)</f>
        <v>0</v>
      </c>
      <c r="J29" s="198">
        <f t="shared" si="0"/>
        <v>0</v>
      </c>
      <c r="K29" s="633"/>
    </row>
    <row r="30" spans="1:11" ht="12.75" hidden="1">
      <c r="A30" s="199"/>
      <c r="B30" s="199"/>
      <c r="C30" s="200" t="s">
        <v>2</v>
      </c>
      <c r="D30" s="200" t="s">
        <v>148</v>
      </c>
      <c r="E30" s="200" t="s">
        <v>149</v>
      </c>
      <c r="F30" s="201">
        <v>0</v>
      </c>
      <c r="G30" s="201">
        <v>0</v>
      </c>
      <c r="H30" s="201">
        <v>0</v>
      </c>
      <c r="I30" s="201">
        <v>0</v>
      </c>
      <c r="J30" s="198">
        <f t="shared" si="0"/>
        <v>0</v>
      </c>
      <c r="K30" s="633"/>
    </row>
    <row r="31" spans="1:11" ht="12.75" hidden="1">
      <c r="A31" s="199"/>
      <c r="B31" s="199"/>
      <c r="C31" s="200"/>
      <c r="D31" s="200" t="s">
        <v>150</v>
      </c>
      <c r="E31" s="200" t="s">
        <v>151</v>
      </c>
      <c r="F31" s="201">
        <v>0</v>
      </c>
      <c r="G31" s="201">
        <v>0</v>
      </c>
      <c r="H31" s="201">
        <v>0</v>
      </c>
      <c r="I31" s="201">
        <v>0</v>
      </c>
      <c r="J31" s="198">
        <f t="shared" si="0"/>
        <v>0</v>
      </c>
      <c r="K31" s="633"/>
    </row>
    <row r="32" spans="1:11" ht="12.75" hidden="1">
      <c r="A32" s="199"/>
      <c r="B32" s="199"/>
      <c r="C32" s="200"/>
      <c r="D32" s="200" t="s">
        <v>152</v>
      </c>
      <c r="E32" s="200" t="s">
        <v>153</v>
      </c>
      <c r="F32" s="201">
        <v>0</v>
      </c>
      <c r="G32" s="201">
        <v>0</v>
      </c>
      <c r="H32" s="201">
        <v>0</v>
      </c>
      <c r="I32" s="201">
        <v>0</v>
      </c>
      <c r="J32" s="198">
        <f t="shared" si="0"/>
        <v>0</v>
      </c>
      <c r="K32" s="633"/>
    </row>
    <row r="33" spans="1:11" ht="12.75" hidden="1">
      <c r="A33" s="199"/>
      <c r="B33" s="199"/>
      <c r="C33" s="200"/>
      <c r="D33" s="200" t="s">
        <v>154</v>
      </c>
      <c r="E33" s="200" t="s">
        <v>155</v>
      </c>
      <c r="F33" s="201">
        <v>0</v>
      </c>
      <c r="G33" s="201">
        <v>0</v>
      </c>
      <c r="H33" s="201">
        <v>0</v>
      </c>
      <c r="I33" s="201">
        <v>0</v>
      </c>
      <c r="J33" s="198">
        <f t="shared" si="0"/>
        <v>0</v>
      </c>
      <c r="K33" s="633"/>
    </row>
    <row r="34" spans="1:11" ht="12.75" hidden="1">
      <c r="A34" s="199"/>
      <c r="B34" s="199"/>
      <c r="C34" s="200"/>
      <c r="D34" s="200" t="s">
        <v>156</v>
      </c>
      <c r="E34" s="200" t="s">
        <v>157</v>
      </c>
      <c r="F34" s="201">
        <v>0</v>
      </c>
      <c r="G34" s="201">
        <v>0</v>
      </c>
      <c r="H34" s="201">
        <v>0</v>
      </c>
      <c r="I34" s="201">
        <v>0</v>
      </c>
      <c r="J34" s="198">
        <f t="shared" si="0"/>
        <v>0</v>
      </c>
      <c r="K34" s="633"/>
    </row>
    <row r="35" spans="1:11" ht="12.75" hidden="1">
      <c r="A35" s="199"/>
      <c r="B35" s="199"/>
      <c r="C35" s="200"/>
      <c r="D35" s="200" t="s">
        <v>158</v>
      </c>
      <c r="E35" s="200" t="s">
        <v>159</v>
      </c>
      <c r="F35" s="201">
        <v>0</v>
      </c>
      <c r="G35" s="201">
        <v>0</v>
      </c>
      <c r="H35" s="201">
        <v>0</v>
      </c>
      <c r="I35" s="201">
        <v>0</v>
      </c>
      <c r="J35" s="198">
        <f t="shared" si="0"/>
        <v>0</v>
      </c>
      <c r="K35" s="633"/>
    </row>
    <row r="36" spans="1:11" ht="0.75" customHeight="1" hidden="1">
      <c r="A36" s="199"/>
      <c r="B36" s="199"/>
      <c r="C36" s="200"/>
      <c r="D36" s="200" t="s">
        <v>160</v>
      </c>
      <c r="E36" s="200" t="s">
        <v>161</v>
      </c>
      <c r="F36" s="201">
        <v>0</v>
      </c>
      <c r="G36" s="201">
        <v>0</v>
      </c>
      <c r="H36" s="201">
        <v>0</v>
      </c>
      <c r="I36" s="201">
        <v>0</v>
      </c>
      <c r="J36" s="198">
        <f t="shared" si="0"/>
        <v>0</v>
      </c>
      <c r="K36" s="633"/>
    </row>
    <row r="37" spans="1:11" ht="12.75" hidden="1">
      <c r="A37" s="199"/>
      <c r="B37" s="199"/>
      <c r="C37" s="200"/>
      <c r="D37" s="200" t="s">
        <v>162</v>
      </c>
      <c r="E37" s="200" t="s">
        <v>163</v>
      </c>
      <c r="F37" s="201">
        <v>0</v>
      </c>
      <c r="G37" s="201">
        <v>0</v>
      </c>
      <c r="H37" s="201">
        <v>0</v>
      </c>
      <c r="I37" s="201">
        <v>0</v>
      </c>
      <c r="J37" s="198">
        <f t="shared" si="0"/>
        <v>0</v>
      </c>
      <c r="K37" s="633"/>
    </row>
    <row r="38" spans="1:11" ht="12.75" hidden="1">
      <c r="A38" s="199"/>
      <c r="B38" s="199"/>
      <c r="C38" s="200"/>
      <c r="D38" s="200" t="s">
        <v>164</v>
      </c>
      <c r="E38" s="200" t="s">
        <v>165</v>
      </c>
      <c r="F38" s="201">
        <v>0</v>
      </c>
      <c r="G38" s="201">
        <v>0</v>
      </c>
      <c r="H38" s="201">
        <v>0</v>
      </c>
      <c r="I38" s="201">
        <v>0</v>
      </c>
      <c r="J38" s="198">
        <f t="shared" si="0"/>
        <v>0</v>
      </c>
      <c r="K38" s="633"/>
    </row>
    <row r="39" spans="1:11" ht="12.75" hidden="1">
      <c r="A39" s="199"/>
      <c r="B39" s="199"/>
      <c r="C39" s="200"/>
      <c r="D39" s="200" t="s">
        <v>166</v>
      </c>
      <c r="E39" s="200" t="s">
        <v>167</v>
      </c>
      <c r="F39" s="201">
        <v>0</v>
      </c>
      <c r="G39" s="201">
        <v>0</v>
      </c>
      <c r="H39" s="201">
        <v>0</v>
      </c>
      <c r="I39" s="201">
        <v>0</v>
      </c>
      <c r="J39" s="198">
        <f t="shared" si="0"/>
        <v>0</v>
      </c>
      <c r="K39" s="633"/>
    </row>
    <row r="40" spans="1:11" ht="12.75" hidden="1">
      <c r="A40" s="186"/>
      <c r="B40" s="186"/>
      <c r="C40" s="186" t="s">
        <v>172</v>
      </c>
      <c r="D40" s="986" t="s">
        <v>173</v>
      </c>
      <c r="E40" s="987"/>
      <c r="F40" s="187">
        <v>0</v>
      </c>
      <c r="G40" s="187">
        <v>0</v>
      </c>
      <c r="H40" s="187">
        <v>0</v>
      </c>
      <c r="I40" s="187">
        <v>0</v>
      </c>
      <c r="J40" s="198">
        <f t="shared" si="0"/>
        <v>0</v>
      </c>
      <c r="K40" s="633"/>
    </row>
    <row r="41" spans="1:11" ht="12.75" hidden="1">
      <c r="A41" s="186"/>
      <c r="B41" s="186"/>
      <c r="C41" s="186" t="s">
        <v>174</v>
      </c>
      <c r="D41" s="986" t="s">
        <v>540</v>
      </c>
      <c r="E41" s="987"/>
      <c r="F41" s="187">
        <v>0</v>
      </c>
      <c r="G41" s="187">
        <v>0</v>
      </c>
      <c r="H41" s="187">
        <v>0</v>
      </c>
      <c r="I41" s="187">
        <v>0</v>
      </c>
      <c r="J41" s="198">
        <f t="shared" si="0"/>
        <v>0</v>
      </c>
      <c r="K41" s="633"/>
    </row>
    <row r="42" spans="1:11" ht="12.75" hidden="1">
      <c r="A42" s="186"/>
      <c r="B42" s="186"/>
      <c r="C42" s="186" t="s">
        <v>185</v>
      </c>
      <c r="D42" s="986" t="s">
        <v>186</v>
      </c>
      <c r="E42" s="987"/>
      <c r="F42" s="187">
        <v>0</v>
      </c>
      <c r="G42" s="187">
        <v>0</v>
      </c>
      <c r="H42" s="187">
        <v>0</v>
      </c>
      <c r="I42" s="187">
        <v>0</v>
      </c>
      <c r="J42" s="198">
        <f t="shared" si="0"/>
        <v>0</v>
      </c>
      <c r="K42" s="633"/>
    </row>
    <row r="43" spans="1:11" ht="12.75" hidden="1">
      <c r="A43" s="186"/>
      <c r="B43" s="186"/>
      <c r="C43" s="186" t="s">
        <v>187</v>
      </c>
      <c r="D43" s="986" t="s">
        <v>188</v>
      </c>
      <c r="E43" s="987"/>
      <c r="F43" s="187">
        <v>0</v>
      </c>
      <c r="G43" s="187">
        <v>0</v>
      </c>
      <c r="H43" s="187">
        <v>0</v>
      </c>
      <c r="I43" s="187">
        <v>0</v>
      </c>
      <c r="J43" s="198">
        <f t="shared" si="0"/>
        <v>0</v>
      </c>
      <c r="K43" s="633"/>
    </row>
    <row r="44" spans="1:11" ht="12.75" hidden="1">
      <c r="A44" s="186"/>
      <c r="B44" s="186"/>
      <c r="C44" s="186" t="s">
        <v>189</v>
      </c>
      <c r="D44" s="986" t="s">
        <v>581</v>
      </c>
      <c r="E44" s="987"/>
      <c r="F44" s="187">
        <v>0</v>
      </c>
      <c r="G44" s="187">
        <v>0</v>
      </c>
      <c r="H44" s="187">
        <v>0</v>
      </c>
      <c r="I44" s="187">
        <v>0</v>
      </c>
      <c r="J44" s="198">
        <f t="shared" si="0"/>
        <v>0</v>
      </c>
      <c r="K44" s="633"/>
    </row>
    <row r="45" spans="1:11" ht="12.75">
      <c r="A45" s="186"/>
      <c r="B45" s="186"/>
      <c r="C45" s="186" t="s">
        <v>170</v>
      </c>
      <c r="D45" s="977" t="s">
        <v>831</v>
      </c>
      <c r="E45" s="978"/>
      <c r="F45" s="187">
        <f>100000+15000</f>
        <v>115000</v>
      </c>
      <c r="G45" s="187">
        <v>0</v>
      </c>
      <c r="H45" s="187">
        <v>0</v>
      </c>
      <c r="I45" s="187">
        <v>0</v>
      </c>
      <c r="J45" s="198">
        <f t="shared" si="0"/>
        <v>115000</v>
      </c>
      <c r="K45" s="633"/>
    </row>
    <row r="46" spans="1:11" ht="12.75">
      <c r="A46" s="186"/>
      <c r="B46" s="186"/>
      <c r="C46" s="186" t="s">
        <v>191</v>
      </c>
      <c r="D46" s="977" t="s">
        <v>190</v>
      </c>
      <c r="E46" s="978"/>
      <c r="F46" s="187">
        <f>22297000+42084000+12311385+32277000+14018000+16949000+10000000+2032000+2286000-70000-4779000-1444000-6364000-3280000</f>
        <v>138317385</v>
      </c>
      <c r="G46" s="187">
        <f>SUM(G47:G56)</f>
        <v>0</v>
      </c>
      <c r="H46" s="187">
        <f>SUM(H47:H56)</f>
        <v>0</v>
      </c>
      <c r="I46" s="187">
        <f>SUM(I47:I56)</f>
        <v>0</v>
      </c>
      <c r="J46" s="198">
        <f t="shared" si="0"/>
        <v>138317385</v>
      </c>
      <c r="K46" s="633"/>
    </row>
    <row r="47" spans="1:11" ht="12.75" hidden="1">
      <c r="A47" s="202"/>
      <c r="B47" s="202"/>
      <c r="C47" s="200" t="s">
        <v>2</v>
      </c>
      <c r="D47" s="250" t="s">
        <v>148</v>
      </c>
      <c r="E47" s="250" t="s">
        <v>175</v>
      </c>
      <c r="F47" s="201">
        <v>0</v>
      </c>
      <c r="G47" s="201">
        <v>0</v>
      </c>
      <c r="H47" s="201">
        <v>0</v>
      </c>
      <c r="I47" s="201">
        <v>0</v>
      </c>
      <c r="J47" s="198">
        <f t="shared" si="0"/>
        <v>0</v>
      </c>
      <c r="K47" s="633"/>
    </row>
    <row r="48" spans="1:11" ht="12.75" hidden="1">
      <c r="A48" s="202"/>
      <c r="B48" s="202"/>
      <c r="C48" s="200"/>
      <c r="D48" s="250" t="s">
        <v>150</v>
      </c>
      <c r="E48" s="250" t="s">
        <v>578</v>
      </c>
      <c r="F48" s="201">
        <v>0</v>
      </c>
      <c r="G48" s="201"/>
      <c r="H48" s="201"/>
      <c r="I48" s="201"/>
      <c r="J48" s="198">
        <f t="shared" si="0"/>
        <v>0</v>
      </c>
      <c r="K48" s="633"/>
    </row>
    <row r="49" spans="1:11" ht="12.75" hidden="1">
      <c r="A49" s="202"/>
      <c r="B49" s="202"/>
      <c r="C49" s="200"/>
      <c r="D49" s="250" t="s">
        <v>152</v>
      </c>
      <c r="E49" s="250" t="s">
        <v>176</v>
      </c>
      <c r="F49" s="201">
        <f>100000</f>
        <v>100000</v>
      </c>
      <c r="G49" s="201">
        <v>0</v>
      </c>
      <c r="H49" s="201">
        <v>0</v>
      </c>
      <c r="I49" s="201">
        <v>0</v>
      </c>
      <c r="J49" s="198">
        <f t="shared" si="0"/>
        <v>100000</v>
      </c>
      <c r="K49" s="633"/>
    </row>
    <row r="50" spans="1:11" ht="12.75" hidden="1">
      <c r="A50" s="202"/>
      <c r="B50" s="202"/>
      <c r="C50" s="200"/>
      <c r="D50" s="250" t="s">
        <v>154</v>
      </c>
      <c r="E50" s="250" t="s">
        <v>177</v>
      </c>
      <c r="F50" s="201">
        <v>0</v>
      </c>
      <c r="G50" s="201">
        <v>0</v>
      </c>
      <c r="H50" s="201">
        <v>0</v>
      </c>
      <c r="I50" s="201">
        <v>0</v>
      </c>
      <c r="J50" s="198">
        <f t="shared" si="0"/>
        <v>0</v>
      </c>
      <c r="K50" s="633"/>
    </row>
    <row r="51" spans="1:11" ht="12.75" hidden="1">
      <c r="A51" s="202"/>
      <c r="B51" s="202"/>
      <c r="C51" s="200"/>
      <c r="D51" s="250" t="s">
        <v>156</v>
      </c>
      <c r="E51" s="250" t="s">
        <v>178</v>
      </c>
      <c r="F51" s="201">
        <v>0</v>
      </c>
      <c r="G51" s="201">
        <v>0</v>
      </c>
      <c r="H51" s="201">
        <v>0</v>
      </c>
      <c r="I51" s="201">
        <v>0</v>
      </c>
      <c r="J51" s="198">
        <f t="shared" si="0"/>
        <v>0</v>
      </c>
      <c r="K51" s="633"/>
    </row>
    <row r="52" spans="1:11" ht="12.75" hidden="1">
      <c r="A52" s="202"/>
      <c r="B52" s="202"/>
      <c r="C52" s="200"/>
      <c r="D52" s="250" t="s">
        <v>158</v>
      </c>
      <c r="E52" s="250" t="s">
        <v>179</v>
      </c>
      <c r="F52" s="201">
        <v>0</v>
      </c>
      <c r="G52" s="201">
        <v>0</v>
      </c>
      <c r="H52" s="201">
        <v>0</v>
      </c>
      <c r="I52" s="201">
        <v>0</v>
      </c>
      <c r="J52" s="198">
        <f t="shared" si="0"/>
        <v>0</v>
      </c>
      <c r="K52" s="633"/>
    </row>
    <row r="53" spans="1:11" ht="12.75" hidden="1">
      <c r="A53" s="199"/>
      <c r="B53" s="199"/>
      <c r="C53" s="200"/>
      <c r="D53" s="250" t="s">
        <v>160</v>
      </c>
      <c r="E53" s="250" t="s">
        <v>180</v>
      </c>
      <c r="F53" s="201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201">
        <v>0</v>
      </c>
      <c r="H53" s="201">
        <v>0</v>
      </c>
      <c r="I53" s="201">
        <v>0</v>
      </c>
      <c r="J53" s="198">
        <f t="shared" si="0"/>
        <v>208924042</v>
      </c>
      <c r="K53" s="633"/>
    </row>
    <row r="54" spans="1:11" ht="12.75" hidden="1">
      <c r="A54" s="199"/>
      <c r="B54" s="199"/>
      <c r="C54" s="200"/>
      <c r="D54" s="250" t="s">
        <v>162</v>
      </c>
      <c r="E54" s="250" t="s">
        <v>181</v>
      </c>
      <c r="F54" s="201">
        <f>3224350+35026110</f>
        <v>38250460</v>
      </c>
      <c r="G54" s="201">
        <v>0</v>
      </c>
      <c r="H54" s="201">
        <v>0</v>
      </c>
      <c r="I54" s="201">
        <v>0</v>
      </c>
      <c r="J54" s="198">
        <f t="shared" si="0"/>
        <v>38250460</v>
      </c>
      <c r="K54" s="633"/>
    </row>
    <row r="55" spans="1:11" ht="12.75" hidden="1">
      <c r="A55" s="202"/>
      <c r="B55" s="202"/>
      <c r="C55" s="200"/>
      <c r="D55" s="250" t="s">
        <v>164</v>
      </c>
      <c r="E55" s="250" t="s">
        <v>183</v>
      </c>
      <c r="F55" s="201">
        <v>0</v>
      </c>
      <c r="G55" s="201">
        <v>0</v>
      </c>
      <c r="H55" s="201">
        <v>0</v>
      </c>
      <c r="I55" s="201">
        <v>0</v>
      </c>
      <c r="J55" s="198">
        <f t="shared" si="0"/>
        <v>0</v>
      </c>
      <c r="K55" s="633"/>
    </row>
    <row r="56" spans="1:11" ht="12.75" hidden="1">
      <c r="A56" s="202"/>
      <c r="B56" s="202"/>
      <c r="C56" s="200"/>
      <c r="D56" s="250" t="s">
        <v>166</v>
      </c>
      <c r="E56" s="250" t="s">
        <v>184</v>
      </c>
      <c r="F56" s="201">
        <v>0</v>
      </c>
      <c r="G56" s="201">
        <v>0</v>
      </c>
      <c r="H56" s="201">
        <v>0</v>
      </c>
      <c r="I56" s="201">
        <v>0</v>
      </c>
      <c r="J56" s="198">
        <f t="shared" si="0"/>
        <v>0</v>
      </c>
      <c r="K56" s="633"/>
    </row>
    <row r="57" spans="1:11" ht="12.75">
      <c r="A57" s="202"/>
      <c r="B57" s="202"/>
      <c r="C57" s="186" t="s">
        <v>582</v>
      </c>
      <c r="D57" s="977" t="s">
        <v>192</v>
      </c>
      <c r="E57" s="978"/>
      <c r="F57" s="187">
        <f>SUM(F58:F61)</f>
        <v>2550000</v>
      </c>
      <c r="G57" s="187">
        <f>SUM(G58:G61)</f>
        <v>0</v>
      </c>
      <c r="H57" s="187">
        <f>SUM(H58:H61)</f>
        <v>0</v>
      </c>
      <c r="I57" s="187">
        <f>SUM(I58:I61)</f>
        <v>0</v>
      </c>
      <c r="J57" s="198">
        <f t="shared" si="0"/>
        <v>2550000</v>
      </c>
      <c r="K57" s="633"/>
    </row>
    <row r="58" spans="1:11" ht="12.75">
      <c r="A58" s="199"/>
      <c r="B58" s="199"/>
      <c r="C58" s="203" t="s">
        <v>2</v>
      </c>
      <c r="D58" s="204"/>
      <c r="E58" s="205" t="s">
        <v>434</v>
      </c>
      <c r="F58" s="201">
        <v>1000000</v>
      </c>
      <c r="G58" s="201">
        <v>0</v>
      </c>
      <c r="H58" s="201">
        <v>0</v>
      </c>
      <c r="I58" s="201">
        <v>0</v>
      </c>
      <c r="J58" s="198">
        <f t="shared" si="0"/>
        <v>1000000</v>
      </c>
      <c r="K58" s="633"/>
    </row>
    <row r="59" spans="1:11" ht="12.75">
      <c r="A59" s="199"/>
      <c r="B59" s="199"/>
      <c r="C59" s="200"/>
      <c r="D59" s="204"/>
      <c r="E59" s="205" t="s">
        <v>471</v>
      </c>
      <c r="F59" s="201">
        <v>1000000</v>
      </c>
      <c r="G59" s="201">
        <v>0</v>
      </c>
      <c r="H59" s="201">
        <v>0</v>
      </c>
      <c r="I59" s="201">
        <v>0</v>
      </c>
      <c r="J59" s="198">
        <f t="shared" si="0"/>
        <v>1000000</v>
      </c>
      <c r="K59" s="633"/>
    </row>
    <row r="60" spans="1:11" ht="12.75">
      <c r="A60" s="199"/>
      <c r="B60" s="199"/>
      <c r="C60" s="200"/>
      <c r="D60" s="204"/>
      <c r="E60" s="205" t="s">
        <v>696</v>
      </c>
      <c r="F60" s="201">
        <v>350000</v>
      </c>
      <c r="G60" s="201">
        <v>0</v>
      </c>
      <c r="H60" s="201">
        <v>0</v>
      </c>
      <c r="I60" s="201">
        <v>0</v>
      </c>
      <c r="J60" s="198">
        <f t="shared" si="0"/>
        <v>350000</v>
      </c>
      <c r="K60" s="633"/>
    </row>
    <row r="61" spans="1:11" ht="22.5">
      <c r="A61" s="199"/>
      <c r="B61" s="199"/>
      <c r="C61" s="200"/>
      <c r="D61" s="204"/>
      <c r="E61" s="631" t="s">
        <v>905</v>
      </c>
      <c r="F61" s="924">
        <v>200000</v>
      </c>
      <c r="G61" s="924">
        <v>0</v>
      </c>
      <c r="H61" s="924">
        <v>0</v>
      </c>
      <c r="I61" s="924">
        <v>0</v>
      </c>
      <c r="J61" s="925">
        <f t="shared" si="0"/>
        <v>200000</v>
      </c>
      <c r="K61" s="633"/>
    </row>
    <row r="62" spans="1:11" ht="12" customHeight="1">
      <c r="A62" s="197" t="s">
        <v>120</v>
      </c>
      <c r="B62" s="983" t="s">
        <v>369</v>
      </c>
      <c r="C62" s="984"/>
      <c r="D62" s="984"/>
      <c r="E62" s="985"/>
      <c r="F62" s="184">
        <f>452341169+25000000+363120+101682090+187978206+1940000+973100+19510500+3348220+190500+730250+74930+2460790-20000000-1730500+1000000</f>
        <v>775862375</v>
      </c>
      <c r="G62" s="184">
        <v>1934590</v>
      </c>
      <c r="H62" s="184">
        <v>1174115</v>
      </c>
      <c r="I62" s="184">
        <f>304800-177800</f>
        <v>127000</v>
      </c>
      <c r="J62" s="882">
        <f t="shared" si="0"/>
        <v>779098080</v>
      </c>
      <c r="K62" s="632"/>
    </row>
    <row r="63" spans="1:11" ht="12.75">
      <c r="A63" s="197" t="s">
        <v>122</v>
      </c>
      <c r="B63" s="983" t="s">
        <v>121</v>
      </c>
      <c r="C63" s="984"/>
      <c r="D63" s="984"/>
      <c r="E63" s="985"/>
      <c r="F63" s="184">
        <f>8794813+21830061+91442680+6759599+2794000+2000000+31599998+523290+863600</f>
        <v>166608041</v>
      </c>
      <c r="G63" s="184">
        <v>0</v>
      </c>
      <c r="H63" s="184">
        <v>508000</v>
      </c>
      <c r="I63" s="184">
        <v>578000</v>
      </c>
      <c r="J63" s="882">
        <f t="shared" si="0"/>
        <v>167694041</v>
      </c>
      <c r="K63" s="632"/>
    </row>
    <row r="64" spans="1:11" ht="12.75">
      <c r="A64" s="197" t="s">
        <v>124</v>
      </c>
      <c r="B64" s="983" t="s">
        <v>123</v>
      </c>
      <c r="C64" s="984"/>
      <c r="D64" s="984"/>
      <c r="E64" s="985"/>
      <c r="F64" s="184">
        <f>SUM(F73)</f>
        <v>5449520</v>
      </c>
      <c r="G64" s="184">
        <f>SUM(G73)</f>
        <v>0</v>
      </c>
      <c r="H64" s="184">
        <f>SUM(H73)</f>
        <v>0</v>
      </c>
      <c r="I64" s="184">
        <f>SUM(I73)</f>
        <v>0</v>
      </c>
      <c r="J64" s="882">
        <f t="shared" si="0"/>
        <v>5449520</v>
      </c>
      <c r="K64" s="632"/>
    </row>
    <row r="65" spans="1:11" ht="12.75" hidden="1">
      <c r="A65" s="180"/>
      <c r="B65" s="180" t="s">
        <v>194</v>
      </c>
      <c r="C65" s="982" t="s">
        <v>195</v>
      </c>
      <c r="D65" s="982"/>
      <c r="E65" s="982"/>
      <c r="F65" s="183">
        <v>0</v>
      </c>
      <c r="G65" s="183">
        <v>0</v>
      </c>
      <c r="H65" s="183">
        <v>0</v>
      </c>
      <c r="I65" s="183">
        <v>0</v>
      </c>
      <c r="J65" s="184">
        <f t="shared" si="0"/>
        <v>0</v>
      </c>
      <c r="K65" s="632"/>
    </row>
    <row r="66" spans="1:11" ht="12.75" hidden="1">
      <c r="A66" s="180"/>
      <c r="B66" s="180" t="s">
        <v>196</v>
      </c>
      <c r="C66" s="982" t="s">
        <v>197</v>
      </c>
      <c r="D66" s="982"/>
      <c r="E66" s="982"/>
      <c r="F66" s="183">
        <v>0</v>
      </c>
      <c r="G66" s="183">
        <v>0</v>
      </c>
      <c r="H66" s="183">
        <v>0</v>
      </c>
      <c r="I66" s="183">
        <v>0</v>
      </c>
      <c r="J66" s="184">
        <f t="shared" si="0"/>
        <v>0</v>
      </c>
      <c r="K66" s="632"/>
    </row>
    <row r="67" spans="1:11" ht="12.75" hidden="1">
      <c r="A67" s="180" t="s">
        <v>193</v>
      </c>
      <c r="B67" s="180" t="s">
        <v>198</v>
      </c>
      <c r="C67" s="982" t="s">
        <v>199</v>
      </c>
      <c r="D67" s="982"/>
      <c r="E67" s="982"/>
      <c r="F67" s="183">
        <v>0</v>
      </c>
      <c r="G67" s="183">
        <v>0</v>
      </c>
      <c r="H67" s="183">
        <v>0</v>
      </c>
      <c r="I67" s="183">
        <v>0</v>
      </c>
      <c r="J67" s="184">
        <f t="shared" si="0"/>
        <v>0</v>
      </c>
      <c r="K67" s="632"/>
    </row>
    <row r="68" spans="1:11" ht="12.75" hidden="1">
      <c r="A68" s="180"/>
      <c r="B68" s="180" t="s">
        <v>200</v>
      </c>
      <c r="C68" s="982" t="s">
        <v>201</v>
      </c>
      <c r="D68" s="982"/>
      <c r="E68" s="982"/>
      <c r="F68" s="183">
        <v>0</v>
      </c>
      <c r="G68" s="183">
        <v>0</v>
      </c>
      <c r="H68" s="183">
        <v>0</v>
      </c>
      <c r="I68" s="183">
        <v>0</v>
      </c>
      <c r="J68" s="184">
        <f t="shared" si="0"/>
        <v>0</v>
      </c>
      <c r="K68" s="632"/>
    </row>
    <row r="69" spans="1:11" ht="12.75" hidden="1">
      <c r="A69" s="180"/>
      <c r="B69" s="180" t="s">
        <v>202</v>
      </c>
      <c r="C69" s="982" t="s">
        <v>203</v>
      </c>
      <c r="D69" s="982"/>
      <c r="E69" s="982"/>
      <c r="F69" s="183">
        <v>0</v>
      </c>
      <c r="G69" s="183">
        <v>0</v>
      </c>
      <c r="H69" s="183">
        <v>0</v>
      </c>
      <c r="I69" s="183">
        <v>0</v>
      </c>
      <c r="J69" s="184">
        <f t="shared" si="0"/>
        <v>0</v>
      </c>
      <c r="K69" s="632"/>
    </row>
    <row r="70" spans="1:11" ht="12.75" hidden="1">
      <c r="A70" s="180"/>
      <c r="B70" s="180" t="s">
        <v>204</v>
      </c>
      <c r="C70" s="982" t="s">
        <v>205</v>
      </c>
      <c r="D70" s="982"/>
      <c r="E70" s="982"/>
      <c r="F70" s="183">
        <v>0</v>
      </c>
      <c r="G70" s="183">
        <v>0</v>
      </c>
      <c r="H70" s="183">
        <v>0</v>
      </c>
      <c r="I70" s="183">
        <v>0</v>
      </c>
      <c r="J70" s="184">
        <f t="shared" si="0"/>
        <v>0</v>
      </c>
      <c r="K70" s="632"/>
    </row>
    <row r="71" spans="1:11" ht="12.75" hidden="1">
      <c r="A71" s="180"/>
      <c r="B71" s="180" t="s">
        <v>206</v>
      </c>
      <c r="C71" s="982" t="s">
        <v>207</v>
      </c>
      <c r="D71" s="982"/>
      <c r="E71" s="982"/>
      <c r="F71" s="183">
        <v>0</v>
      </c>
      <c r="G71" s="183">
        <v>0</v>
      </c>
      <c r="H71" s="183">
        <v>0</v>
      </c>
      <c r="I71" s="183">
        <v>0</v>
      </c>
      <c r="J71" s="184">
        <f>SUM(F71:I71)</f>
        <v>0</v>
      </c>
      <c r="K71" s="632"/>
    </row>
    <row r="72" spans="1:11" ht="12.75" hidden="1">
      <c r="A72" s="180"/>
      <c r="B72" s="180" t="s">
        <v>208</v>
      </c>
      <c r="C72" s="982" t="s">
        <v>584</v>
      </c>
      <c r="D72" s="982"/>
      <c r="E72" s="982"/>
      <c r="F72" s="183">
        <v>0</v>
      </c>
      <c r="G72" s="183">
        <v>0</v>
      </c>
      <c r="H72" s="183">
        <v>0</v>
      </c>
      <c r="I72" s="183">
        <v>0</v>
      </c>
      <c r="J72" s="184">
        <f>SUM(F72:I72)</f>
        <v>0</v>
      </c>
      <c r="K72" s="632"/>
    </row>
    <row r="73" spans="1:11" ht="12.75">
      <c r="A73" s="180"/>
      <c r="B73" s="180" t="s">
        <v>583</v>
      </c>
      <c r="C73" s="982" t="s">
        <v>695</v>
      </c>
      <c r="D73" s="982"/>
      <c r="E73" s="982"/>
      <c r="F73" s="183">
        <f>449520+5000000</f>
        <v>5449520</v>
      </c>
      <c r="G73" s="183">
        <v>0</v>
      </c>
      <c r="H73" s="183">
        <v>0</v>
      </c>
      <c r="I73" s="183">
        <v>0</v>
      </c>
      <c r="J73" s="198">
        <f>SUM(F73:I73)</f>
        <v>5449520</v>
      </c>
      <c r="K73" s="632"/>
    </row>
    <row r="74" spans="1:11" ht="12.75">
      <c r="A74" s="197" t="s">
        <v>126</v>
      </c>
      <c r="B74" s="983" t="s">
        <v>125</v>
      </c>
      <c r="C74" s="984"/>
      <c r="D74" s="984"/>
      <c r="E74" s="985"/>
      <c r="F74" s="184">
        <v>19299537</v>
      </c>
      <c r="G74" s="184">
        <v>0</v>
      </c>
      <c r="H74" s="184">
        <v>0</v>
      </c>
      <c r="I74" s="184">
        <v>0</v>
      </c>
      <c r="J74" s="882">
        <f>SUM(F74:I74)</f>
        <v>19299537</v>
      </c>
      <c r="K74" s="632"/>
    </row>
    <row r="75" spans="1:10" ht="12.75">
      <c r="A75" s="206"/>
      <c r="B75" s="207"/>
      <c r="C75" s="207"/>
      <c r="D75" s="207"/>
      <c r="E75" s="207"/>
      <c r="F75" s="208"/>
      <c r="G75" s="926"/>
      <c r="H75" s="926"/>
      <c r="I75" s="926"/>
      <c r="J75" s="209"/>
    </row>
    <row r="76" spans="1:10" ht="15.75">
      <c r="A76" s="999" t="s">
        <v>209</v>
      </c>
      <c r="B76" s="1000"/>
      <c r="C76" s="1000"/>
      <c r="D76" s="1000"/>
      <c r="E76" s="1001"/>
      <c r="F76" s="210">
        <f>SUM(F7+F8+F9+F10+F23+F62+F63+F64+F74)</f>
        <v>1591786226</v>
      </c>
      <c r="G76" s="210">
        <f>SUM(G7+G8+G9+G10+G23+G62+G63+G64+G74)</f>
        <v>145558009</v>
      </c>
      <c r="H76" s="210">
        <f>SUM(H7+H8+H9+H10+H23+H62+H63+H64+H74)</f>
        <v>267454170</v>
      </c>
      <c r="I76" s="210">
        <f>SUM(I7+I8+I9+I10+I23+I62+I63+I64+I74)</f>
        <v>45560583</v>
      </c>
      <c r="J76" s="210">
        <f>SUM(J7+J8+J9+J10+J23+J62+J63+J64+J74)</f>
        <v>2050358988</v>
      </c>
    </row>
  </sheetData>
  <sheetProtection/>
  <mergeCells count="46">
    <mergeCell ref="C73:E73"/>
    <mergeCell ref="B74:E74"/>
    <mergeCell ref="A76:E76"/>
    <mergeCell ref="C67:E67"/>
    <mergeCell ref="C68:E68"/>
    <mergeCell ref="C69:E69"/>
    <mergeCell ref="C70:E70"/>
    <mergeCell ref="C71:E71"/>
    <mergeCell ref="C72:E72"/>
    <mergeCell ref="B64:E64"/>
    <mergeCell ref="C65:E65"/>
    <mergeCell ref="C66:E66"/>
    <mergeCell ref="B63:E63"/>
    <mergeCell ref="D46:E46"/>
    <mergeCell ref="D57:E57"/>
    <mergeCell ref="B62:E62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103" bestFit="1" customWidth="1"/>
    <col min="2" max="2" width="55.125" style="37" bestFit="1" customWidth="1"/>
    <col min="3" max="3" width="13.375" style="37" bestFit="1" customWidth="1"/>
    <col min="4" max="5" width="15.125" style="37" bestFit="1" customWidth="1"/>
    <col min="6" max="6" width="53.875" style="37" bestFit="1" customWidth="1"/>
    <col min="7" max="7" width="15.00390625" style="37" bestFit="1" customWidth="1"/>
    <col min="8" max="9" width="15.875" style="37" bestFit="1" customWidth="1"/>
    <col min="10" max="16384" width="9.125" style="37" customWidth="1"/>
  </cols>
  <sheetData>
    <row r="1" spans="6:10" ht="12.75" customHeight="1">
      <c r="F1" s="1005" t="s">
        <v>1049</v>
      </c>
      <c r="G1" s="1006"/>
      <c r="H1" s="1006"/>
      <c r="I1" s="1006"/>
      <c r="J1" s="87"/>
    </row>
    <row r="2" spans="2:9" ht="15.75">
      <c r="B2" s="1007" t="s">
        <v>910</v>
      </c>
      <c r="C2" s="1007"/>
      <c r="D2" s="1007"/>
      <c r="E2" s="1007"/>
      <c r="F2" s="1007"/>
      <c r="G2" s="1007"/>
      <c r="H2" s="1007"/>
      <c r="I2" s="1007"/>
    </row>
    <row r="3" ht="8.25" customHeight="1"/>
    <row r="4" spans="1:9" s="38" customFormat="1" ht="15" customHeight="1">
      <c r="A4" s="1009" t="s">
        <v>441</v>
      </c>
      <c r="B4" s="1008" t="s">
        <v>447</v>
      </c>
      <c r="C4" s="1008"/>
      <c r="D4" s="1008"/>
      <c r="E4" s="1008"/>
      <c r="F4" s="1008" t="s">
        <v>364</v>
      </c>
      <c r="G4" s="1008"/>
      <c r="H4" s="1008"/>
      <c r="I4" s="1008"/>
    </row>
    <row r="5" spans="1:9" s="41" customFormat="1" ht="14.25">
      <c r="A5" s="1009"/>
      <c r="B5" s="39" t="s">
        <v>363</v>
      </c>
      <c r="C5" s="40" t="s">
        <v>341</v>
      </c>
      <c r="D5" s="40" t="s">
        <v>340</v>
      </c>
      <c r="E5" s="40" t="s">
        <v>430</v>
      </c>
      <c r="F5" s="39" t="s">
        <v>363</v>
      </c>
      <c r="G5" s="40" t="s">
        <v>341</v>
      </c>
      <c r="H5" s="40" t="s">
        <v>340</v>
      </c>
      <c r="I5" s="40" t="s">
        <v>430</v>
      </c>
    </row>
    <row r="6" spans="1:9" s="102" customFormat="1" ht="12">
      <c r="A6" s="1009"/>
      <c r="B6" s="101" t="s">
        <v>435</v>
      </c>
      <c r="C6" s="101" t="s">
        <v>436</v>
      </c>
      <c r="D6" s="101" t="s">
        <v>437</v>
      </c>
      <c r="E6" s="101" t="s">
        <v>438</v>
      </c>
      <c r="F6" s="101" t="s">
        <v>439</v>
      </c>
      <c r="G6" s="101" t="s">
        <v>440</v>
      </c>
      <c r="H6" s="101" t="s">
        <v>442</v>
      </c>
      <c r="I6" s="101" t="s">
        <v>443</v>
      </c>
    </row>
    <row r="7" spans="1:9" s="63" customFormat="1" ht="14.25">
      <c r="A7" s="101">
        <v>1</v>
      </c>
      <c r="B7" s="62" t="s">
        <v>524</v>
      </c>
      <c r="C7" s="80">
        <f>SUM(C8)</f>
        <v>947036303</v>
      </c>
      <c r="D7" s="80">
        <f>SUM(D32,D8)</f>
        <v>53174424</v>
      </c>
      <c r="E7" s="80">
        <f aca="true" t="shared" si="0" ref="E7:E30">SUM(C7:D7)</f>
        <v>1000210727</v>
      </c>
      <c r="F7" s="62" t="s">
        <v>525</v>
      </c>
      <c r="G7" s="80">
        <f>SUM(G8,G32)</f>
        <v>1078817810</v>
      </c>
      <c r="H7" s="80">
        <f>SUM(H8,H32)</f>
        <v>952241641</v>
      </c>
      <c r="I7" s="80">
        <f aca="true" t="shared" si="1" ref="I7:I18">SUM(G7:H7)</f>
        <v>2031059451</v>
      </c>
    </row>
    <row r="8" spans="1:9" s="72" customFormat="1" ht="12.75">
      <c r="A8" s="104">
        <v>2</v>
      </c>
      <c r="B8" s="69" t="s">
        <v>465</v>
      </c>
      <c r="C8" s="70">
        <f>SUM(C28+C18+C13+C9)</f>
        <v>947036303</v>
      </c>
      <c r="D8" s="70">
        <f>SUM(D28+D18+D13+D9)</f>
        <v>0</v>
      </c>
      <c r="E8" s="70">
        <f t="shared" si="0"/>
        <v>947036303</v>
      </c>
      <c r="F8" s="71" t="s">
        <v>468</v>
      </c>
      <c r="G8" s="70">
        <f>SUM(G9:G13)</f>
        <v>1078817810</v>
      </c>
      <c r="H8" s="70">
        <f>SUM(H9:H13)</f>
        <v>0</v>
      </c>
      <c r="I8" s="70">
        <f t="shared" si="1"/>
        <v>1078817810</v>
      </c>
    </row>
    <row r="9" spans="1:9" s="44" customFormat="1" ht="12.75">
      <c r="A9" s="104">
        <v>3</v>
      </c>
      <c r="B9" s="78" t="s">
        <v>15</v>
      </c>
      <c r="C9" s="59">
        <f>SUM(C10:C12)</f>
        <v>621210586</v>
      </c>
      <c r="D9" s="59">
        <v>0</v>
      </c>
      <c r="E9" s="59">
        <f t="shared" si="0"/>
        <v>621210586</v>
      </c>
      <c r="F9" s="79" t="s">
        <v>469</v>
      </c>
      <c r="G9" s="59">
        <f>426163725+33000+1350000+1125000+3215520+639450-330000-1461600+2756937+1035000-976500+1125000-1245375-775591</f>
        <v>432654566</v>
      </c>
      <c r="H9" s="59">
        <v>0</v>
      </c>
      <c r="I9" s="59">
        <f t="shared" si="1"/>
        <v>432654566</v>
      </c>
    </row>
    <row r="10" spans="1:9" s="44" customFormat="1" ht="12.75">
      <c r="A10" s="101">
        <v>4</v>
      </c>
      <c r="B10" s="56" t="s">
        <v>16</v>
      </c>
      <c r="C10" s="61">
        <f>482488434+22486700+418000</f>
        <v>505393134</v>
      </c>
      <c r="D10" s="61">
        <v>0</v>
      </c>
      <c r="E10" s="61">
        <f t="shared" si="0"/>
        <v>505393134</v>
      </c>
      <c r="F10" s="79" t="s">
        <v>709</v>
      </c>
      <c r="G10" s="59">
        <f>81276070+5197+236250+196875+562716+111904-57750-255780+482464+181125-170887+196875-217940-377745</f>
        <v>82169374</v>
      </c>
      <c r="H10" s="59">
        <v>0</v>
      </c>
      <c r="I10" s="59">
        <f t="shared" si="1"/>
        <v>82169374</v>
      </c>
    </row>
    <row r="11" spans="1:9" s="44" customFormat="1" ht="12.75">
      <c r="A11" s="104">
        <v>5</v>
      </c>
      <c r="B11" s="56" t="s">
        <v>707</v>
      </c>
      <c r="C11" s="61">
        <v>0</v>
      </c>
      <c r="D11" s="61">
        <v>0</v>
      </c>
      <c r="E11" s="61">
        <f t="shared" si="0"/>
        <v>0</v>
      </c>
      <c r="F11" s="79" t="s">
        <v>38</v>
      </c>
      <c r="G11" s="59">
        <f>418929171-54000-254000+500000-781083+2114762-317500+144779-2575544+1500000</f>
        <v>419206585</v>
      </c>
      <c r="H11" s="59">
        <v>0</v>
      </c>
      <c r="I11" s="59">
        <f t="shared" si="1"/>
        <v>419206585</v>
      </c>
    </row>
    <row r="12" spans="1:9" s="44" customFormat="1" ht="12.75">
      <c r="A12" s="104">
        <v>6</v>
      </c>
      <c r="B12" s="56" t="s">
        <v>17</v>
      </c>
      <c r="C12" s="61">
        <f>110463289+5354163</f>
        <v>115817452</v>
      </c>
      <c r="D12" s="61">
        <v>0</v>
      </c>
      <c r="E12" s="61">
        <f t="shared" si="0"/>
        <v>115817452</v>
      </c>
      <c r="F12" s="79" t="s">
        <v>39</v>
      </c>
      <c r="G12" s="59">
        <v>3804900</v>
      </c>
      <c r="H12" s="59">
        <v>0</v>
      </c>
      <c r="I12" s="59">
        <f t="shared" si="1"/>
        <v>3804900</v>
      </c>
    </row>
    <row r="13" spans="1:9" s="44" customFormat="1" ht="12.75">
      <c r="A13" s="101">
        <v>7</v>
      </c>
      <c r="B13" s="78" t="s">
        <v>21</v>
      </c>
      <c r="C13" s="59">
        <f>SUM(C14:C17)</f>
        <v>261700000</v>
      </c>
      <c r="D13" s="59">
        <f>SUM(D14:D17)</f>
        <v>0</v>
      </c>
      <c r="E13" s="59">
        <f t="shared" si="0"/>
        <v>261700000</v>
      </c>
      <c r="F13" s="82" t="s">
        <v>40</v>
      </c>
      <c r="G13" s="59">
        <f>SUM(G14:G18)</f>
        <v>140982385</v>
      </c>
      <c r="H13" s="59">
        <f>SUM(H14:H18)</f>
        <v>0</v>
      </c>
      <c r="I13" s="59">
        <f t="shared" si="1"/>
        <v>140982385</v>
      </c>
    </row>
    <row r="14" spans="1:9" s="45" customFormat="1" ht="12.75">
      <c r="A14" s="104">
        <v>8</v>
      </c>
      <c r="B14" s="56" t="s">
        <v>110</v>
      </c>
      <c r="C14" s="61">
        <v>239000000</v>
      </c>
      <c r="D14" s="61">
        <v>0</v>
      </c>
      <c r="E14" s="61">
        <f t="shared" si="0"/>
        <v>239000000</v>
      </c>
      <c r="F14" s="58" t="s">
        <v>772</v>
      </c>
      <c r="G14" s="61">
        <v>0</v>
      </c>
      <c r="H14" s="61">
        <v>0</v>
      </c>
      <c r="I14" s="61">
        <f t="shared" si="1"/>
        <v>0</v>
      </c>
    </row>
    <row r="15" spans="1:9" s="45" customFormat="1" ht="12.75">
      <c r="A15" s="104"/>
      <c r="B15" s="57" t="s">
        <v>811</v>
      </c>
      <c r="C15" s="61">
        <v>50000</v>
      </c>
      <c r="D15" s="61">
        <v>0</v>
      </c>
      <c r="E15" s="61">
        <f t="shared" si="0"/>
        <v>50000</v>
      </c>
      <c r="F15" s="58" t="s">
        <v>708</v>
      </c>
      <c r="G15" s="61">
        <v>0</v>
      </c>
      <c r="H15" s="61">
        <v>0</v>
      </c>
      <c r="I15" s="61">
        <f t="shared" si="1"/>
        <v>0</v>
      </c>
    </row>
    <row r="16" spans="1:9" s="45" customFormat="1" ht="12.75">
      <c r="A16" s="104">
        <v>9</v>
      </c>
      <c r="B16" s="57" t="s">
        <v>812</v>
      </c>
      <c r="C16" s="61">
        <v>22000000</v>
      </c>
      <c r="D16" s="61">
        <v>0</v>
      </c>
      <c r="E16" s="61">
        <f t="shared" si="0"/>
        <v>22000000</v>
      </c>
      <c r="F16" s="58" t="s">
        <v>832</v>
      </c>
      <c r="G16" s="61">
        <v>115000</v>
      </c>
      <c r="H16" s="61">
        <v>0</v>
      </c>
      <c r="I16" s="61">
        <f t="shared" si="1"/>
        <v>115000</v>
      </c>
    </row>
    <row r="17" spans="1:9" s="45" customFormat="1" ht="12.75">
      <c r="A17" s="101">
        <v>10</v>
      </c>
      <c r="B17" s="56" t="s">
        <v>813</v>
      </c>
      <c r="C17" s="61">
        <v>650000</v>
      </c>
      <c r="D17" s="61">
        <v>0</v>
      </c>
      <c r="E17" s="61">
        <f t="shared" si="0"/>
        <v>650000</v>
      </c>
      <c r="F17" s="58" t="s">
        <v>833</v>
      </c>
      <c r="G17" s="61">
        <f>154254385-70000-4779000-1444000-6364000-3280000</f>
        <v>138317385</v>
      </c>
      <c r="H17" s="61">
        <v>0</v>
      </c>
      <c r="I17" s="61">
        <f t="shared" si="1"/>
        <v>138317385</v>
      </c>
    </row>
    <row r="18" spans="1:9" s="45" customFormat="1" ht="12.75">
      <c r="A18" s="104">
        <v>11</v>
      </c>
      <c r="B18" s="78" t="s">
        <v>22</v>
      </c>
      <c r="C18" s="59">
        <f>SUM(C19:C27)</f>
        <v>64125717</v>
      </c>
      <c r="D18" s="59">
        <f>SUM(D19:D27)</f>
        <v>0</v>
      </c>
      <c r="E18" s="59">
        <f t="shared" si="0"/>
        <v>64125717</v>
      </c>
      <c r="F18" s="58" t="s">
        <v>834</v>
      </c>
      <c r="G18" s="61">
        <f>26199000-23849000+200000</f>
        <v>2550000</v>
      </c>
      <c r="H18" s="61">
        <v>0</v>
      </c>
      <c r="I18" s="61">
        <f t="shared" si="1"/>
        <v>2550000</v>
      </c>
    </row>
    <row r="19" spans="1:9" s="44" customFormat="1" ht="12.75">
      <c r="A19" s="104">
        <v>12</v>
      </c>
      <c r="B19" s="56" t="s">
        <v>585</v>
      </c>
      <c r="C19" s="61">
        <v>9500000</v>
      </c>
      <c r="D19" s="61">
        <v>0</v>
      </c>
      <c r="E19" s="61">
        <f t="shared" si="0"/>
        <v>9500000</v>
      </c>
      <c r="F19" s="82"/>
      <c r="G19" s="59"/>
      <c r="H19" s="59"/>
      <c r="I19" s="59"/>
    </row>
    <row r="20" spans="1:9" s="44" customFormat="1" ht="12.75">
      <c r="A20" s="101">
        <v>13</v>
      </c>
      <c r="B20" s="56" t="s">
        <v>23</v>
      </c>
      <c r="C20" s="61">
        <f>21002978+536221</f>
        <v>21539199</v>
      </c>
      <c r="D20" s="61">
        <v>0</v>
      </c>
      <c r="E20" s="61">
        <f t="shared" si="0"/>
        <v>21539199</v>
      </c>
      <c r="F20" s="58"/>
      <c r="G20" s="61"/>
      <c r="H20" s="61"/>
      <c r="I20" s="61"/>
    </row>
    <row r="21" spans="1:9" s="44" customFormat="1" ht="12.75">
      <c r="A21" s="104">
        <v>14</v>
      </c>
      <c r="B21" s="56" t="s">
        <v>24</v>
      </c>
      <c r="C21" s="61">
        <v>7687837</v>
      </c>
      <c r="D21" s="61">
        <v>0</v>
      </c>
      <c r="E21" s="61">
        <f t="shared" si="0"/>
        <v>7687837</v>
      </c>
      <c r="F21" s="58"/>
      <c r="G21" s="61"/>
      <c r="H21" s="61"/>
      <c r="I21" s="61"/>
    </row>
    <row r="22" spans="1:9" s="44" customFormat="1" ht="12.75">
      <c r="A22" s="104">
        <v>15</v>
      </c>
      <c r="B22" s="56" t="s">
        <v>541</v>
      </c>
      <c r="C22" s="61">
        <v>746000</v>
      </c>
      <c r="D22" s="61">
        <v>0</v>
      </c>
      <c r="E22" s="61">
        <f t="shared" si="0"/>
        <v>746000</v>
      </c>
      <c r="F22" s="58"/>
      <c r="G22" s="61"/>
      <c r="H22" s="61"/>
      <c r="I22" s="61"/>
    </row>
    <row r="23" spans="1:9" s="44" customFormat="1" ht="12.75">
      <c r="A23" s="101">
        <v>16</v>
      </c>
      <c r="B23" s="56" t="s">
        <v>25</v>
      </c>
      <c r="C23" s="61">
        <v>7036704</v>
      </c>
      <c r="D23" s="61">
        <v>0</v>
      </c>
      <c r="E23" s="61">
        <f t="shared" si="0"/>
        <v>7036704</v>
      </c>
      <c r="F23" s="58"/>
      <c r="G23" s="61"/>
      <c r="H23" s="61"/>
      <c r="I23" s="61"/>
    </row>
    <row r="24" spans="1:9" s="44" customFormat="1" ht="12.75">
      <c r="A24" s="104">
        <v>17</v>
      </c>
      <c r="B24" s="56" t="s">
        <v>26</v>
      </c>
      <c r="C24" s="61">
        <f>6431187+144779</f>
        <v>6575966</v>
      </c>
      <c r="D24" s="61">
        <v>0</v>
      </c>
      <c r="E24" s="61">
        <f t="shared" si="0"/>
        <v>6575966</v>
      </c>
      <c r="F24" s="43"/>
      <c r="G24" s="61"/>
      <c r="H24" s="60"/>
      <c r="I24" s="60"/>
    </row>
    <row r="25" spans="1:9" s="44" customFormat="1" ht="12.75">
      <c r="A25" s="104">
        <v>18</v>
      </c>
      <c r="B25" s="56" t="s">
        <v>302</v>
      </c>
      <c r="C25" s="61">
        <v>0</v>
      </c>
      <c r="D25" s="61">
        <v>0</v>
      </c>
      <c r="E25" s="61">
        <f t="shared" si="0"/>
        <v>0</v>
      </c>
      <c r="F25" s="43"/>
      <c r="G25" s="61"/>
      <c r="H25" s="60"/>
      <c r="I25" s="60"/>
    </row>
    <row r="26" spans="1:9" s="44" customFormat="1" ht="12.75">
      <c r="A26" s="104">
        <v>19</v>
      </c>
      <c r="B26" s="56" t="s">
        <v>728</v>
      </c>
      <c r="C26" s="61">
        <v>500</v>
      </c>
      <c r="D26" s="61">
        <v>0</v>
      </c>
      <c r="E26" s="61">
        <f t="shared" si="0"/>
        <v>500</v>
      </c>
      <c r="F26" s="43"/>
      <c r="G26" s="61"/>
      <c r="H26" s="60"/>
      <c r="I26" s="60"/>
    </row>
    <row r="27" spans="1:9" s="42" customFormat="1" ht="12.75">
      <c r="A27" s="101">
        <v>20</v>
      </c>
      <c r="B27" s="56" t="s">
        <v>729</v>
      </c>
      <c r="C27" s="61">
        <v>11039511</v>
      </c>
      <c r="D27" s="61">
        <v>0</v>
      </c>
      <c r="E27" s="61">
        <f t="shared" si="0"/>
        <v>11039511</v>
      </c>
      <c r="F27" s="43"/>
      <c r="G27" s="60"/>
      <c r="H27" s="60"/>
      <c r="I27" s="60"/>
    </row>
    <row r="28" spans="1:9" s="42" customFormat="1" ht="12.75">
      <c r="A28" s="104">
        <v>21</v>
      </c>
      <c r="B28" s="78" t="s">
        <v>32</v>
      </c>
      <c r="C28" s="59">
        <f>SUM(C29:C30)</f>
        <v>0</v>
      </c>
      <c r="D28" s="59">
        <v>0</v>
      </c>
      <c r="E28" s="59">
        <f t="shared" si="0"/>
        <v>0</v>
      </c>
      <c r="F28" s="43"/>
      <c r="G28" s="60"/>
      <c r="H28" s="60"/>
      <c r="I28" s="60"/>
    </row>
    <row r="29" spans="1:9" s="42" customFormat="1" ht="12.75">
      <c r="A29" s="104">
        <v>22</v>
      </c>
      <c r="B29" s="56" t="s">
        <v>33</v>
      </c>
      <c r="C29" s="61">
        <v>0</v>
      </c>
      <c r="D29" s="61">
        <v>0</v>
      </c>
      <c r="E29" s="61">
        <f t="shared" si="0"/>
        <v>0</v>
      </c>
      <c r="F29" s="43"/>
      <c r="G29" s="60"/>
      <c r="H29" s="60"/>
      <c r="I29" s="60"/>
    </row>
    <row r="30" spans="1:9" s="42" customFormat="1" ht="12.75">
      <c r="A30" s="101">
        <v>23</v>
      </c>
      <c r="B30" s="56" t="s">
        <v>34</v>
      </c>
      <c r="C30" s="61">
        <v>0</v>
      </c>
      <c r="D30" s="61">
        <v>0</v>
      </c>
      <c r="E30" s="61">
        <f t="shared" si="0"/>
        <v>0</v>
      </c>
      <c r="F30" s="43"/>
      <c r="G30" s="60"/>
      <c r="H30" s="60"/>
      <c r="I30" s="60"/>
    </row>
    <row r="31" spans="1:9" s="42" customFormat="1" ht="12.75">
      <c r="A31" s="104">
        <v>24</v>
      </c>
      <c r="B31" s="56"/>
      <c r="C31" s="61"/>
      <c r="D31" s="61"/>
      <c r="E31" s="61"/>
      <c r="F31" s="43"/>
      <c r="G31" s="60"/>
      <c r="H31" s="60"/>
      <c r="I31" s="60"/>
    </row>
    <row r="32" spans="1:9" s="72" customFormat="1" ht="12.75">
      <c r="A32" s="104">
        <v>25</v>
      </c>
      <c r="B32" s="73" t="s">
        <v>467</v>
      </c>
      <c r="C32" s="70">
        <f>SUM(C41+C36+C33)</f>
        <v>0</v>
      </c>
      <c r="D32" s="70">
        <f>SUM(D41+D36+D33)</f>
        <v>53174424</v>
      </c>
      <c r="E32" s="70">
        <f>SUM(D32:D32)</f>
        <v>53174424</v>
      </c>
      <c r="F32" s="71" t="s">
        <v>336</v>
      </c>
      <c r="G32" s="70">
        <f>SUM(G33:G35)</f>
        <v>0</v>
      </c>
      <c r="H32" s="70">
        <f>SUM(H33:H35)</f>
        <v>952241641</v>
      </c>
      <c r="I32" s="70">
        <f aca="true" t="shared" si="2" ref="I32:I40">SUM(G32:H32)</f>
        <v>952241641</v>
      </c>
    </row>
    <row r="33" spans="1:9" s="42" customFormat="1" ht="12.75">
      <c r="A33" s="101">
        <v>26</v>
      </c>
      <c r="B33" s="78" t="s">
        <v>18</v>
      </c>
      <c r="C33" s="59">
        <f>SUM(C34:C35)</f>
        <v>0</v>
      </c>
      <c r="D33" s="59">
        <f>SUM(D34:D35)</f>
        <v>6000000</v>
      </c>
      <c r="E33" s="59">
        <f>SUM(D33:D33)</f>
        <v>6000000</v>
      </c>
      <c r="F33" s="79" t="s">
        <v>41</v>
      </c>
      <c r="G33" s="59">
        <v>0</v>
      </c>
      <c r="H33" s="59">
        <f>800006380-20000000-1730500-177800+1000000</f>
        <v>779098080</v>
      </c>
      <c r="I33" s="59">
        <f t="shared" si="2"/>
        <v>779098080</v>
      </c>
    </row>
    <row r="34" spans="1:9" s="42" customFormat="1" ht="12.75">
      <c r="A34" s="104">
        <v>27</v>
      </c>
      <c r="B34" s="56" t="s">
        <v>19</v>
      </c>
      <c r="C34" s="61">
        <v>0</v>
      </c>
      <c r="D34" s="61">
        <v>0</v>
      </c>
      <c r="E34" s="61">
        <f aca="true" t="shared" si="3" ref="E34:E43">SUM(D34:D34)</f>
        <v>0</v>
      </c>
      <c r="F34" s="79" t="s">
        <v>42</v>
      </c>
      <c r="G34" s="59">
        <v>0</v>
      </c>
      <c r="H34" s="59">
        <f>166252441+863600+578000</f>
        <v>167694041</v>
      </c>
      <c r="I34" s="59">
        <f t="shared" si="2"/>
        <v>167694041</v>
      </c>
    </row>
    <row r="35" spans="1:9" s="42" customFormat="1" ht="12.75">
      <c r="A35" s="104">
        <v>28</v>
      </c>
      <c r="B35" s="56" t="s">
        <v>20</v>
      </c>
      <c r="C35" s="61">
        <v>0</v>
      </c>
      <c r="D35" s="61">
        <v>6000000</v>
      </c>
      <c r="E35" s="61">
        <f t="shared" si="3"/>
        <v>6000000</v>
      </c>
      <c r="F35" s="79" t="s">
        <v>43</v>
      </c>
      <c r="G35" s="59">
        <f>SUM(G36:G40)</f>
        <v>0</v>
      </c>
      <c r="H35" s="59">
        <v>5449520</v>
      </c>
      <c r="I35" s="59">
        <f t="shared" si="2"/>
        <v>5449520</v>
      </c>
    </row>
    <row r="36" spans="1:9" s="42" customFormat="1" ht="12.75">
      <c r="A36" s="101">
        <v>29</v>
      </c>
      <c r="B36" s="78" t="s">
        <v>27</v>
      </c>
      <c r="C36" s="59">
        <f>SUM(C37:C40)</f>
        <v>0</v>
      </c>
      <c r="D36" s="59">
        <f>SUM(D37:D40)</f>
        <v>46906964</v>
      </c>
      <c r="E36" s="59">
        <f t="shared" si="3"/>
        <v>46906964</v>
      </c>
      <c r="F36" s="58" t="s">
        <v>44</v>
      </c>
      <c r="G36" s="61">
        <v>0</v>
      </c>
      <c r="H36" s="61">
        <v>0</v>
      </c>
      <c r="I36" s="61">
        <f t="shared" si="2"/>
        <v>0</v>
      </c>
    </row>
    <row r="37" spans="1:9" s="42" customFormat="1" ht="12.75">
      <c r="A37" s="104">
        <v>30</v>
      </c>
      <c r="B37" s="56" t="s">
        <v>28</v>
      </c>
      <c r="C37" s="61">
        <v>0</v>
      </c>
      <c r="D37" s="61">
        <v>0</v>
      </c>
      <c r="E37" s="61">
        <f t="shared" si="3"/>
        <v>0</v>
      </c>
      <c r="F37" s="58" t="s">
        <v>45</v>
      </c>
      <c r="G37" s="61">
        <v>0</v>
      </c>
      <c r="H37" s="61">
        <v>0</v>
      </c>
      <c r="I37" s="61">
        <f t="shared" si="2"/>
        <v>0</v>
      </c>
    </row>
    <row r="38" spans="1:9" s="44" customFormat="1" ht="12.75">
      <c r="A38" s="104">
        <v>31</v>
      </c>
      <c r="B38" s="56" t="s">
        <v>29</v>
      </c>
      <c r="C38" s="61">
        <f>SUM(C39:C40)</f>
        <v>0</v>
      </c>
      <c r="D38" s="61">
        <f>44406964+1500000+1000000</f>
        <v>46906964</v>
      </c>
      <c r="E38" s="61">
        <f t="shared" si="3"/>
        <v>46906964</v>
      </c>
      <c r="F38" s="58" t="s">
        <v>46</v>
      </c>
      <c r="G38" s="61">
        <v>0</v>
      </c>
      <c r="H38" s="61">
        <v>0</v>
      </c>
      <c r="I38" s="61">
        <f t="shared" si="2"/>
        <v>0</v>
      </c>
    </row>
    <row r="39" spans="1:9" s="44" customFormat="1" ht="12.75">
      <c r="A39" s="101">
        <v>32</v>
      </c>
      <c r="B39" s="56" t="s">
        <v>30</v>
      </c>
      <c r="C39" s="61">
        <v>0</v>
      </c>
      <c r="D39" s="61">
        <v>0</v>
      </c>
      <c r="E39" s="61">
        <f t="shared" si="3"/>
        <v>0</v>
      </c>
      <c r="F39" s="58" t="s">
        <v>47</v>
      </c>
      <c r="G39" s="61">
        <v>0</v>
      </c>
      <c r="H39" s="61">
        <v>0</v>
      </c>
      <c r="I39" s="61">
        <f t="shared" si="2"/>
        <v>0</v>
      </c>
    </row>
    <row r="40" spans="1:9" s="46" customFormat="1" ht="13.5">
      <c r="A40" s="104">
        <v>33</v>
      </c>
      <c r="B40" s="56" t="s">
        <v>31</v>
      </c>
      <c r="C40" s="61">
        <v>0</v>
      </c>
      <c r="D40" s="61">
        <v>0</v>
      </c>
      <c r="E40" s="61">
        <f t="shared" si="3"/>
        <v>0</v>
      </c>
      <c r="F40" s="58" t="s">
        <v>48</v>
      </c>
      <c r="G40" s="61">
        <v>0</v>
      </c>
      <c r="H40" s="61">
        <v>5449520</v>
      </c>
      <c r="I40" s="61">
        <f t="shared" si="2"/>
        <v>5449520</v>
      </c>
    </row>
    <row r="41" spans="1:9" s="46" customFormat="1" ht="13.5">
      <c r="A41" s="104">
        <v>34</v>
      </c>
      <c r="B41" s="78" t="s">
        <v>35</v>
      </c>
      <c r="C41" s="59">
        <f>SUM(C42:C43)</f>
        <v>0</v>
      </c>
      <c r="D41" s="59">
        <f>SUM(D42:D43)</f>
        <v>267460</v>
      </c>
      <c r="E41" s="59">
        <f t="shared" si="3"/>
        <v>267460</v>
      </c>
      <c r="F41" s="58"/>
      <c r="G41" s="61"/>
      <c r="H41" s="61"/>
      <c r="I41" s="61"/>
    </row>
    <row r="42" spans="1:9" s="46" customFormat="1" ht="13.5">
      <c r="A42" s="101">
        <v>35</v>
      </c>
      <c r="B42" s="56" t="s">
        <v>700</v>
      </c>
      <c r="C42" s="61">
        <v>0</v>
      </c>
      <c r="D42" s="61">
        <v>0</v>
      </c>
      <c r="E42" s="61">
        <f t="shared" si="3"/>
        <v>0</v>
      </c>
      <c r="F42" s="47"/>
      <c r="G42" s="61"/>
      <c r="H42" s="61"/>
      <c r="I42" s="61"/>
    </row>
    <row r="43" spans="1:9" s="46" customFormat="1" ht="13.5">
      <c r="A43" s="104">
        <v>36</v>
      </c>
      <c r="B43" s="56" t="s">
        <v>699</v>
      </c>
      <c r="C43" s="61">
        <v>0</v>
      </c>
      <c r="D43" s="61">
        <v>267460</v>
      </c>
      <c r="E43" s="61">
        <f t="shared" si="3"/>
        <v>267460</v>
      </c>
      <c r="F43" s="47"/>
      <c r="G43" s="61"/>
      <c r="H43" s="61"/>
      <c r="I43" s="61"/>
    </row>
    <row r="44" spans="1:9" s="48" customFormat="1" ht="6" customHeight="1">
      <c r="A44" s="1010"/>
      <c r="B44" s="1011"/>
      <c r="C44" s="1011"/>
      <c r="D44" s="1011"/>
      <c r="E44" s="1011"/>
      <c r="F44" s="1011"/>
      <c r="G44" s="1011"/>
      <c r="H44" s="1011"/>
      <c r="I44" s="1012"/>
    </row>
    <row r="45" spans="1:9" s="48" customFormat="1" ht="15">
      <c r="A45" s="104">
        <v>37</v>
      </c>
      <c r="B45" s="1013" t="s">
        <v>526</v>
      </c>
      <c r="C45" s="1014"/>
      <c r="D45" s="1014"/>
      <c r="E45" s="1014"/>
      <c r="F45" s="1014"/>
      <c r="G45" s="145">
        <f>C7-G7</f>
        <v>-131781507</v>
      </c>
      <c r="H45" s="145">
        <f>D7-H7</f>
        <v>-899067217</v>
      </c>
      <c r="I45" s="145">
        <f>SUM(G45:H45)</f>
        <v>-1030848724</v>
      </c>
    </row>
    <row r="46" spans="1:9" s="48" customFormat="1" ht="6" customHeight="1">
      <c r="A46" s="1002"/>
      <c r="B46" s="1003"/>
      <c r="C46" s="1003"/>
      <c r="D46" s="1003"/>
      <c r="E46" s="1003"/>
      <c r="F46" s="1003"/>
      <c r="G46" s="1003"/>
      <c r="H46" s="1003"/>
      <c r="I46" s="1004"/>
    </row>
    <row r="47" spans="1:9" s="66" customFormat="1" ht="28.5">
      <c r="A47" s="104">
        <v>38</v>
      </c>
      <c r="B47" s="62" t="s">
        <v>337</v>
      </c>
      <c r="C47" s="64">
        <f>SUM(C48)</f>
        <v>153530385</v>
      </c>
      <c r="D47" s="64">
        <f>SUM(D48)</f>
        <v>896617876</v>
      </c>
      <c r="E47" s="64">
        <f aca="true" t="shared" si="4" ref="E47:E54">SUM(C47:D47)</f>
        <v>1050148261</v>
      </c>
      <c r="F47" s="65"/>
      <c r="G47" s="64"/>
      <c r="H47" s="64"/>
      <c r="I47" s="64"/>
    </row>
    <row r="48" spans="1:9" s="75" customFormat="1" ht="13.5">
      <c r="A48" s="101">
        <v>39</v>
      </c>
      <c r="B48" s="76" t="s">
        <v>701</v>
      </c>
      <c r="C48" s="70">
        <f>152741175+789210</f>
        <v>153530385</v>
      </c>
      <c r="D48" s="70">
        <f>896617876</f>
        <v>896617876</v>
      </c>
      <c r="E48" s="70">
        <f t="shared" si="4"/>
        <v>1050148261</v>
      </c>
      <c r="F48" s="71"/>
      <c r="G48" s="70"/>
      <c r="H48" s="70"/>
      <c r="I48" s="70"/>
    </row>
    <row r="49" spans="1:9" s="75" customFormat="1" ht="13.5">
      <c r="A49" s="101">
        <v>40</v>
      </c>
      <c r="B49" s="76" t="s">
        <v>702</v>
      </c>
      <c r="C49" s="70">
        <v>0</v>
      </c>
      <c r="D49" s="70">
        <v>0</v>
      </c>
      <c r="E49" s="70">
        <f>SUM(C49:D49)</f>
        <v>0</v>
      </c>
      <c r="F49" s="71"/>
      <c r="G49" s="70"/>
      <c r="H49" s="70"/>
      <c r="I49" s="70"/>
    </row>
    <row r="50" spans="1:9" s="66" customFormat="1" ht="28.5">
      <c r="A50" s="104">
        <v>41</v>
      </c>
      <c r="B50" s="62" t="s">
        <v>338</v>
      </c>
      <c r="C50" s="932">
        <f>SUM(C51:C53)</f>
        <v>0</v>
      </c>
      <c r="D50" s="932">
        <f>SUM(D51:D53)</f>
        <v>0</v>
      </c>
      <c r="E50" s="932">
        <f t="shared" si="4"/>
        <v>0</v>
      </c>
      <c r="F50" s="933" t="s">
        <v>339</v>
      </c>
      <c r="G50" s="932">
        <f>SUM(G51:G53)</f>
        <v>19299537</v>
      </c>
      <c r="H50" s="932">
        <f>SUM(H51:H53)</f>
        <v>0</v>
      </c>
      <c r="I50" s="932">
        <f>SUM(G50:H50)</f>
        <v>19299537</v>
      </c>
    </row>
    <row r="51" spans="1:9" s="75" customFormat="1" ht="13.5">
      <c r="A51" s="104">
        <v>42</v>
      </c>
      <c r="B51" s="74" t="s">
        <v>703</v>
      </c>
      <c r="C51" s="70">
        <v>0</v>
      </c>
      <c r="D51" s="70">
        <v>0</v>
      </c>
      <c r="E51" s="70">
        <f t="shared" si="4"/>
        <v>0</v>
      </c>
      <c r="F51" s="71" t="s">
        <v>705</v>
      </c>
      <c r="G51" s="70">
        <v>0</v>
      </c>
      <c r="H51" s="70">
        <v>0</v>
      </c>
      <c r="I51" s="70">
        <f>SUM(G51:H51)</f>
        <v>0</v>
      </c>
    </row>
    <row r="52" spans="1:9" s="77" customFormat="1" ht="12.75">
      <c r="A52" s="104">
        <v>43</v>
      </c>
      <c r="B52" s="74" t="s">
        <v>704</v>
      </c>
      <c r="C52" s="70">
        <v>0</v>
      </c>
      <c r="D52" s="70">
        <v>0</v>
      </c>
      <c r="E52" s="70">
        <f>SUM(C52:D52)</f>
        <v>0</v>
      </c>
      <c r="F52" s="71" t="s">
        <v>706</v>
      </c>
      <c r="G52" s="70">
        <v>0</v>
      </c>
      <c r="H52" s="70">
        <v>0</v>
      </c>
      <c r="I52" s="70">
        <f>SUM(G52:H52)</f>
        <v>0</v>
      </c>
    </row>
    <row r="53" spans="1:9" s="77" customFormat="1" ht="12.75">
      <c r="A53" s="104">
        <v>44</v>
      </c>
      <c r="B53" s="74" t="s">
        <v>697</v>
      </c>
      <c r="C53" s="70">
        <v>0</v>
      </c>
      <c r="D53" s="70">
        <v>0</v>
      </c>
      <c r="E53" s="70">
        <f>SUM(C53:D53)</f>
        <v>0</v>
      </c>
      <c r="F53" s="74" t="s">
        <v>698</v>
      </c>
      <c r="G53" s="70">
        <v>19299537</v>
      </c>
      <c r="H53" s="70">
        <v>0</v>
      </c>
      <c r="I53" s="70">
        <f>SUM(G53:H53)</f>
        <v>19299537</v>
      </c>
    </row>
    <row r="54" spans="1:9" s="68" customFormat="1" ht="15.75">
      <c r="A54" s="104">
        <v>45</v>
      </c>
      <c r="B54" s="67" t="s">
        <v>448</v>
      </c>
      <c r="C54" s="81">
        <f>SUM(C7,C47,C50)</f>
        <v>1100566688</v>
      </c>
      <c r="D54" s="81">
        <f>SUM(D7,D47,D50)</f>
        <v>949792300</v>
      </c>
      <c r="E54" s="81">
        <f t="shared" si="4"/>
        <v>2050358988</v>
      </c>
      <c r="F54" s="67" t="s">
        <v>347</v>
      </c>
      <c r="G54" s="81">
        <f>SUM(G7,G50)</f>
        <v>1098117347</v>
      </c>
      <c r="H54" s="81">
        <f>SUM(H7,H50)</f>
        <v>952241641</v>
      </c>
      <c r="I54" s="81">
        <f>SUM(G54:H54)</f>
        <v>2050358988</v>
      </c>
    </row>
    <row r="61" ht="15">
      <c r="B61" s="49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54"/>
  <sheetViews>
    <sheetView zoomScale="95" zoomScaleNormal="95" zoomScalePageLayoutView="0" workbookViewId="0" topLeftCell="C1">
      <pane xSplit="4" ySplit="7" topLeftCell="G34" activePane="bottomRight" state="frozen"/>
      <selection pane="topLeft" activeCell="C1" sqref="C1"/>
      <selection pane="topRight" activeCell="G1" sqref="G1"/>
      <selection pane="bottomLeft" activeCell="C8" sqref="C8"/>
      <selection pane="bottomRight" activeCell="E2" sqref="E2:V2"/>
    </sheetView>
  </sheetViews>
  <sheetFormatPr defaultColWidth="8.875" defaultRowHeight="12.75"/>
  <cols>
    <col min="1" max="1" width="1.37890625" style="513" hidden="1" customWidth="1"/>
    <col min="2" max="2" width="8.00390625" style="514" hidden="1" customWidth="1"/>
    <col min="3" max="3" width="8.00390625" style="514" customWidth="1"/>
    <col min="4" max="4" width="4.625" style="515" bestFit="1" customWidth="1"/>
    <col min="5" max="5" width="30.375" style="513" customWidth="1"/>
    <col min="6" max="6" width="9.25390625" style="516" hidden="1" customWidth="1"/>
    <col min="7" max="7" width="11.375" style="513" bestFit="1" customWidth="1"/>
    <col min="8" max="8" width="11.125" style="513" customWidth="1"/>
    <col min="9" max="9" width="11.375" style="513" customWidth="1"/>
    <col min="10" max="11" width="10.25390625" style="513" customWidth="1"/>
    <col min="12" max="12" width="11.625" style="513" customWidth="1"/>
    <col min="13" max="13" width="9.875" style="513" customWidth="1"/>
    <col min="14" max="14" width="9.25390625" style="513" customWidth="1"/>
    <col min="15" max="16" width="10.00390625" style="513" customWidth="1"/>
    <col min="17" max="17" width="10.375" style="513" bestFit="1" customWidth="1"/>
    <col min="18" max="18" width="12.875" style="513" bestFit="1" customWidth="1"/>
    <col min="19" max="19" width="11.375" style="513" bestFit="1" customWidth="1"/>
    <col min="20" max="20" width="11.125" style="513" customWidth="1"/>
    <col min="21" max="21" width="10.625" style="513" customWidth="1"/>
    <col min="22" max="22" width="15.75390625" style="570" bestFit="1" customWidth="1"/>
    <col min="23" max="23" width="14.375" style="513" customWidth="1"/>
    <col min="24" max="24" width="9.875" style="513" bestFit="1" customWidth="1"/>
    <col min="25" max="16384" width="8.875" style="513" customWidth="1"/>
  </cols>
  <sheetData>
    <row r="1" spans="3:22" ht="15">
      <c r="C1" s="1016"/>
      <c r="M1" s="189"/>
      <c r="N1" s="189"/>
      <c r="O1" s="189"/>
      <c r="P1" s="189"/>
      <c r="Q1" s="1017" t="s">
        <v>1050</v>
      </c>
      <c r="R1" s="1018"/>
      <c r="S1" s="1018"/>
      <c r="T1" s="1018"/>
      <c r="U1" s="1018"/>
      <c r="V1" s="1018"/>
    </row>
    <row r="2" spans="1:22" ht="15.75">
      <c r="A2" s="517"/>
      <c r="B2" s="518"/>
      <c r="C2" s="1016"/>
      <c r="D2" s="518"/>
      <c r="E2" s="1019" t="s">
        <v>911</v>
      </c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</row>
    <row r="3" ht="12.75" thickBot="1">
      <c r="V3" s="519"/>
    </row>
    <row r="4" spans="2:22" s="520" customFormat="1" ht="12.75" customHeight="1">
      <c r="B4" s="521"/>
      <c r="C4" s="521"/>
      <c r="D4" s="1020" t="s">
        <v>441</v>
      </c>
      <c r="E4" s="1023" t="s">
        <v>363</v>
      </c>
      <c r="F4" s="1026" t="s">
        <v>370</v>
      </c>
      <c r="G4" s="1032" t="s">
        <v>371</v>
      </c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4"/>
      <c r="V4" s="1035" t="s">
        <v>372</v>
      </c>
    </row>
    <row r="5" spans="2:22" s="522" customFormat="1" ht="12" customHeight="1">
      <c r="B5" s="523"/>
      <c r="C5" s="523"/>
      <c r="D5" s="1021"/>
      <c r="E5" s="1024"/>
      <c r="F5" s="1027"/>
      <c r="G5" s="524" t="s">
        <v>1</v>
      </c>
      <c r="H5" s="524" t="s">
        <v>3</v>
      </c>
      <c r="I5" s="524" t="s">
        <v>5</v>
      </c>
      <c r="J5" s="524" t="s">
        <v>8</v>
      </c>
      <c r="K5" s="1029" t="s">
        <v>652</v>
      </c>
      <c r="L5" s="1030"/>
      <c r="M5" s="1030"/>
      <c r="N5" s="1030"/>
      <c r="O5" s="1030"/>
      <c r="P5" s="1030"/>
      <c r="Q5" s="1031"/>
      <c r="R5" s="526" t="s">
        <v>120</v>
      </c>
      <c r="S5" s="526" t="s">
        <v>122</v>
      </c>
      <c r="T5" s="524" t="s">
        <v>124</v>
      </c>
      <c r="U5" s="524" t="s">
        <v>126</v>
      </c>
      <c r="V5" s="1036"/>
    </row>
    <row r="6" spans="2:22" s="522" customFormat="1" ht="63.75" customHeight="1">
      <c r="B6" s="523"/>
      <c r="C6" s="523"/>
      <c r="D6" s="1021"/>
      <c r="E6" s="1025"/>
      <c r="F6" s="1028"/>
      <c r="G6" s="527" t="s">
        <v>346</v>
      </c>
      <c r="H6" s="527" t="s">
        <v>643</v>
      </c>
      <c r="I6" s="527" t="s">
        <v>365</v>
      </c>
      <c r="J6" s="527" t="s">
        <v>9</v>
      </c>
      <c r="K6" s="527" t="s">
        <v>143</v>
      </c>
      <c r="L6" s="527" t="s">
        <v>119</v>
      </c>
      <c r="M6" s="527" t="s">
        <v>839</v>
      </c>
      <c r="N6" s="527" t="s">
        <v>434</v>
      </c>
      <c r="O6" s="527" t="s">
        <v>446</v>
      </c>
      <c r="P6" s="527" t="s">
        <v>471</v>
      </c>
      <c r="Q6" s="527" t="s">
        <v>906</v>
      </c>
      <c r="R6" s="525" t="s">
        <v>344</v>
      </c>
      <c r="S6" s="525" t="s">
        <v>375</v>
      </c>
      <c r="T6" s="527" t="s">
        <v>651</v>
      </c>
      <c r="U6" s="527" t="s">
        <v>125</v>
      </c>
      <c r="V6" s="1037"/>
    </row>
    <row r="7" spans="2:22" s="528" customFormat="1" ht="12">
      <c r="B7" s="529"/>
      <c r="C7" s="529"/>
      <c r="D7" s="1022"/>
      <c r="E7" s="530" t="s">
        <v>435</v>
      </c>
      <c r="F7" s="531" t="s">
        <v>436</v>
      </c>
      <c r="G7" s="532" t="s">
        <v>436</v>
      </c>
      <c r="H7" s="532" t="s">
        <v>437</v>
      </c>
      <c r="I7" s="533" t="s">
        <v>438</v>
      </c>
      <c r="J7" s="530" t="s">
        <v>439</v>
      </c>
      <c r="K7" s="530" t="s">
        <v>440</v>
      </c>
      <c r="L7" s="533" t="s">
        <v>442</v>
      </c>
      <c r="M7" s="533" t="s">
        <v>443</v>
      </c>
      <c r="N7" s="533" t="s">
        <v>394</v>
      </c>
      <c r="O7" s="533" t="s">
        <v>395</v>
      </c>
      <c r="P7" s="532" t="s">
        <v>396</v>
      </c>
      <c r="Q7" s="532" t="s">
        <v>397</v>
      </c>
      <c r="R7" s="533" t="s">
        <v>398</v>
      </c>
      <c r="S7" s="533" t="s">
        <v>399</v>
      </c>
      <c r="T7" s="534" t="s">
        <v>400</v>
      </c>
      <c r="U7" s="535" t="s">
        <v>401</v>
      </c>
      <c r="V7" s="536" t="s">
        <v>864</v>
      </c>
    </row>
    <row r="8" spans="1:22" s="544" customFormat="1" ht="24">
      <c r="A8" s="513"/>
      <c r="B8" s="514"/>
      <c r="C8" s="514" t="s">
        <v>58</v>
      </c>
      <c r="D8" s="537" t="s">
        <v>402</v>
      </c>
      <c r="E8" s="538" t="s">
        <v>59</v>
      </c>
      <c r="F8" s="539"/>
      <c r="G8" s="540">
        <v>34989435</v>
      </c>
      <c r="H8" s="540">
        <v>8083672</v>
      </c>
      <c r="I8" s="541">
        <v>15275133</v>
      </c>
      <c r="J8" s="541"/>
      <c r="K8" s="541"/>
      <c r="L8" s="541">
        <f>22297000-70000</f>
        <v>22227000</v>
      </c>
      <c r="M8" s="541">
        <v>100000</v>
      </c>
      <c r="N8" s="541"/>
      <c r="O8" s="541"/>
      <c r="P8" s="541"/>
      <c r="Q8" s="541"/>
      <c r="R8" s="540"/>
      <c r="S8" s="541"/>
      <c r="T8" s="542"/>
      <c r="U8" s="541"/>
      <c r="V8" s="543">
        <f aca="true" t="shared" si="0" ref="V8:V48">SUM(G8:U8)</f>
        <v>80675240</v>
      </c>
    </row>
    <row r="9" spans="1:22" s="544" customFormat="1" ht="24">
      <c r="A9" s="513"/>
      <c r="B9" s="514" t="s">
        <v>52</v>
      </c>
      <c r="C9" s="514" t="s">
        <v>55</v>
      </c>
      <c r="D9" s="545" t="s">
        <v>403</v>
      </c>
      <c r="E9" s="546" t="s">
        <v>56</v>
      </c>
      <c r="F9" s="547"/>
      <c r="G9" s="548"/>
      <c r="H9" s="548"/>
      <c r="I9" s="542">
        <f>40527704-54000+500000</f>
        <v>40973704</v>
      </c>
      <c r="J9" s="542"/>
      <c r="K9" s="542"/>
      <c r="L9" s="542">
        <f>42084000-4779000</f>
        <v>37305000</v>
      </c>
      <c r="M9" s="542"/>
      <c r="N9" s="542"/>
      <c r="O9" s="542"/>
      <c r="P9" s="542"/>
      <c r="Q9" s="542"/>
      <c r="R9" s="548">
        <v>452341169</v>
      </c>
      <c r="S9" s="542">
        <v>8794813</v>
      </c>
      <c r="T9" s="542">
        <v>449520</v>
      </c>
      <c r="U9" s="542"/>
      <c r="V9" s="543">
        <f t="shared" si="0"/>
        <v>539864206</v>
      </c>
    </row>
    <row r="10" spans="1:22" s="544" customFormat="1" ht="23.25" customHeight="1">
      <c r="A10" s="513"/>
      <c r="B10" s="514"/>
      <c r="C10" s="514" t="s">
        <v>640</v>
      </c>
      <c r="D10" s="545" t="s">
        <v>404</v>
      </c>
      <c r="E10" s="546" t="s">
        <v>641</v>
      </c>
      <c r="F10" s="547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2"/>
      <c r="T10" s="542"/>
      <c r="U10" s="542">
        <v>19299537</v>
      </c>
      <c r="V10" s="543">
        <f t="shared" si="0"/>
        <v>19299537</v>
      </c>
    </row>
    <row r="11" spans="1:22" s="544" customFormat="1" ht="24">
      <c r="A11" s="513">
        <v>20215</v>
      </c>
      <c r="B11" s="514" t="s">
        <v>55</v>
      </c>
      <c r="C11" s="514" t="s">
        <v>63</v>
      </c>
      <c r="D11" s="545" t="s">
        <v>405</v>
      </c>
      <c r="E11" s="546" t="s">
        <v>64</v>
      </c>
      <c r="F11" s="547"/>
      <c r="G11" s="548"/>
      <c r="H11" s="548"/>
      <c r="I11" s="542"/>
      <c r="J11" s="542"/>
      <c r="K11" s="542"/>
      <c r="L11" s="542">
        <v>12311385</v>
      </c>
      <c r="M11" s="542"/>
      <c r="N11" s="542"/>
      <c r="O11" s="542"/>
      <c r="P11" s="542"/>
      <c r="Q11" s="542"/>
      <c r="R11" s="548"/>
      <c r="S11" s="542"/>
      <c r="T11" s="542"/>
      <c r="U11" s="542"/>
      <c r="V11" s="543">
        <f t="shared" si="0"/>
        <v>12311385</v>
      </c>
    </row>
    <row r="12" spans="1:22" s="544" customFormat="1" ht="24">
      <c r="A12" s="513"/>
      <c r="B12" s="514"/>
      <c r="C12" s="514" t="s">
        <v>779</v>
      </c>
      <c r="D12" s="545" t="s">
        <v>406</v>
      </c>
      <c r="E12" s="546" t="s">
        <v>773</v>
      </c>
      <c r="F12" s="547"/>
      <c r="G12" s="548">
        <v>3693375</v>
      </c>
      <c r="H12" s="548">
        <v>323170</v>
      </c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2"/>
      <c r="T12" s="548"/>
      <c r="U12" s="542"/>
      <c r="V12" s="543">
        <f t="shared" si="0"/>
        <v>4016545</v>
      </c>
    </row>
    <row r="13" spans="1:22" s="544" customFormat="1" ht="24">
      <c r="A13" s="513"/>
      <c r="B13" s="514"/>
      <c r="C13" s="514" t="s">
        <v>780</v>
      </c>
      <c r="D13" s="545" t="s">
        <v>407</v>
      </c>
      <c r="E13" s="546" t="s">
        <v>774</v>
      </c>
      <c r="F13" s="547"/>
      <c r="G13" s="548">
        <v>12115695</v>
      </c>
      <c r="H13" s="548">
        <v>1060123</v>
      </c>
      <c r="I13" s="548">
        <v>52070</v>
      </c>
      <c r="J13" s="548"/>
      <c r="K13" s="548"/>
      <c r="L13" s="548"/>
      <c r="M13" s="548"/>
      <c r="N13" s="548"/>
      <c r="O13" s="548"/>
      <c r="P13" s="548"/>
      <c r="Q13" s="548"/>
      <c r="R13" s="548"/>
      <c r="S13" s="542"/>
      <c r="T13" s="548"/>
      <c r="U13" s="542"/>
      <c r="V13" s="543">
        <f t="shared" si="0"/>
        <v>13227888</v>
      </c>
    </row>
    <row r="14" spans="1:22" s="544" customFormat="1" ht="22.5" customHeight="1">
      <c r="A14" s="513"/>
      <c r="B14" s="514"/>
      <c r="C14" s="514" t="s">
        <v>642</v>
      </c>
      <c r="D14" s="545" t="s">
        <v>408</v>
      </c>
      <c r="E14" s="546" t="s">
        <v>912</v>
      </c>
      <c r="F14" s="547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>
        <f>25000000-20000000</f>
        <v>5000000</v>
      </c>
      <c r="S14" s="542"/>
      <c r="T14" s="548"/>
      <c r="U14" s="542"/>
      <c r="V14" s="543">
        <f t="shared" si="0"/>
        <v>5000000</v>
      </c>
    </row>
    <row r="15" spans="2:22" ht="24">
      <c r="B15" s="514" t="s">
        <v>58</v>
      </c>
      <c r="C15" s="514" t="s">
        <v>53</v>
      </c>
      <c r="D15" s="545" t="s">
        <v>409</v>
      </c>
      <c r="E15" s="546" t="s">
        <v>543</v>
      </c>
      <c r="F15" s="547"/>
      <c r="G15" s="548"/>
      <c r="H15" s="548"/>
      <c r="I15" s="542">
        <v>15377340</v>
      </c>
      <c r="J15" s="542"/>
      <c r="K15" s="542"/>
      <c r="L15" s="542"/>
      <c r="M15" s="542"/>
      <c r="N15" s="542"/>
      <c r="O15" s="542"/>
      <c r="P15" s="542"/>
      <c r="Q15" s="542"/>
      <c r="R15" s="542">
        <v>363120</v>
      </c>
      <c r="S15" s="542"/>
      <c r="T15" s="542"/>
      <c r="U15" s="542"/>
      <c r="V15" s="543">
        <f t="shared" si="0"/>
        <v>15740460</v>
      </c>
    </row>
    <row r="16" spans="2:22" ht="24">
      <c r="B16" s="514" t="s">
        <v>60</v>
      </c>
      <c r="C16" s="514" t="s">
        <v>65</v>
      </c>
      <c r="D16" s="545" t="s">
        <v>410</v>
      </c>
      <c r="E16" s="546" t="s">
        <v>66</v>
      </c>
      <c r="F16" s="547"/>
      <c r="G16" s="548"/>
      <c r="H16" s="548"/>
      <c r="I16" s="542">
        <v>5249710</v>
      </c>
      <c r="J16" s="542"/>
      <c r="K16" s="542"/>
      <c r="L16" s="542"/>
      <c r="M16" s="542"/>
      <c r="N16" s="542"/>
      <c r="O16" s="542"/>
      <c r="P16" s="542"/>
      <c r="Q16" s="542"/>
      <c r="R16" s="542">
        <v>101682090</v>
      </c>
      <c r="S16" s="542"/>
      <c r="T16" s="542"/>
      <c r="U16" s="542"/>
      <c r="V16" s="543">
        <f t="shared" si="0"/>
        <v>106931800</v>
      </c>
    </row>
    <row r="17" spans="3:22" ht="24">
      <c r="C17" s="514" t="s">
        <v>858</v>
      </c>
      <c r="D17" s="545" t="s">
        <v>411</v>
      </c>
      <c r="E17" s="546" t="s">
        <v>840</v>
      </c>
      <c r="F17" s="549"/>
      <c r="G17" s="548"/>
      <c r="H17" s="548"/>
      <c r="I17" s="542">
        <v>4571244</v>
      </c>
      <c r="J17" s="542"/>
      <c r="K17" s="542"/>
      <c r="L17" s="542"/>
      <c r="M17" s="542"/>
      <c r="N17" s="542"/>
      <c r="O17" s="542"/>
      <c r="P17" s="542"/>
      <c r="Q17" s="542"/>
      <c r="R17" s="542">
        <v>187978206</v>
      </c>
      <c r="S17" s="542"/>
      <c r="T17" s="542"/>
      <c r="U17" s="542"/>
      <c r="V17" s="543">
        <f t="shared" si="0"/>
        <v>192549450</v>
      </c>
    </row>
    <row r="18" spans="1:22" ht="24">
      <c r="A18" s="513">
        <v>751791</v>
      </c>
      <c r="B18" s="514" t="s">
        <v>61</v>
      </c>
      <c r="C18" s="514" t="s">
        <v>49</v>
      </c>
      <c r="D18" s="545" t="s">
        <v>412</v>
      </c>
      <c r="E18" s="546" t="s">
        <v>50</v>
      </c>
      <c r="F18" s="549"/>
      <c r="G18" s="542"/>
      <c r="H18" s="548"/>
      <c r="I18" s="542">
        <v>3416864</v>
      </c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3">
        <f t="shared" si="0"/>
        <v>3416864</v>
      </c>
    </row>
    <row r="19" spans="1:22" ht="24">
      <c r="A19" s="513">
        <v>751834</v>
      </c>
      <c r="B19" s="514" t="s">
        <v>62</v>
      </c>
      <c r="C19" s="514" t="s">
        <v>51</v>
      </c>
      <c r="D19" s="545" t="s">
        <v>413</v>
      </c>
      <c r="E19" s="546" t="s">
        <v>379</v>
      </c>
      <c r="F19" s="547"/>
      <c r="G19" s="548"/>
      <c r="H19" s="548"/>
      <c r="I19" s="542">
        <v>9798424</v>
      </c>
      <c r="J19" s="542"/>
      <c r="K19" s="542"/>
      <c r="L19" s="542"/>
      <c r="M19" s="542"/>
      <c r="N19" s="542"/>
      <c r="O19" s="542"/>
      <c r="P19" s="542"/>
      <c r="Q19" s="542"/>
      <c r="R19" s="542">
        <v>1000000</v>
      </c>
      <c r="S19" s="542"/>
      <c r="T19" s="542"/>
      <c r="U19" s="542"/>
      <c r="V19" s="543">
        <f t="shared" si="0"/>
        <v>10798424</v>
      </c>
    </row>
    <row r="20" spans="3:22" ht="24">
      <c r="C20" s="514" t="s">
        <v>52</v>
      </c>
      <c r="D20" s="545" t="s">
        <v>414</v>
      </c>
      <c r="E20" s="546" t="s">
        <v>841</v>
      </c>
      <c r="F20" s="547"/>
      <c r="G20" s="548"/>
      <c r="H20" s="548"/>
      <c r="I20" s="542">
        <v>4276480</v>
      </c>
      <c r="J20" s="542"/>
      <c r="K20" s="542"/>
      <c r="L20" s="542"/>
      <c r="M20" s="542"/>
      <c r="N20" s="542"/>
      <c r="O20" s="542"/>
      <c r="P20" s="542"/>
      <c r="Q20" s="542"/>
      <c r="R20" s="548">
        <v>1940000</v>
      </c>
      <c r="S20" s="542"/>
      <c r="T20" s="542">
        <v>5000000</v>
      </c>
      <c r="U20" s="542"/>
      <c r="V20" s="543">
        <f t="shared" si="0"/>
        <v>11216480</v>
      </c>
    </row>
    <row r="21" spans="3:22" ht="24">
      <c r="C21" s="514" t="s">
        <v>859</v>
      </c>
      <c r="D21" s="545" t="s">
        <v>415</v>
      </c>
      <c r="E21" s="546" t="s">
        <v>842</v>
      </c>
      <c r="F21" s="547"/>
      <c r="G21" s="548"/>
      <c r="H21" s="548"/>
      <c r="I21" s="542">
        <v>1377000</v>
      </c>
      <c r="J21" s="542"/>
      <c r="K21" s="542"/>
      <c r="L21" s="542"/>
      <c r="M21" s="542"/>
      <c r="N21" s="542"/>
      <c r="O21" s="542"/>
      <c r="P21" s="542"/>
      <c r="Q21" s="542"/>
      <c r="R21" s="548"/>
      <c r="S21" s="542">
        <v>21830061</v>
      </c>
      <c r="T21" s="542"/>
      <c r="U21" s="542"/>
      <c r="V21" s="543">
        <f t="shared" si="0"/>
        <v>23207061</v>
      </c>
    </row>
    <row r="22" spans="3:22" ht="24">
      <c r="C22" s="514" t="s">
        <v>974</v>
      </c>
      <c r="D22" s="545" t="s">
        <v>416</v>
      </c>
      <c r="E22" s="546" t="s">
        <v>913</v>
      </c>
      <c r="F22" s="547"/>
      <c r="G22" s="548">
        <v>1044000</v>
      </c>
      <c r="H22" s="548">
        <v>164430</v>
      </c>
      <c r="I22" s="542">
        <f>640554-254000</f>
        <v>386554</v>
      </c>
      <c r="J22" s="542"/>
      <c r="K22" s="542"/>
      <c r="L22" s="542"/>
      <c r="M22" s="542"/>
      <c r="N22" s="542"/>
      <c r="O22" s="542"/>
      <c r="P22" s="542"/>
      <c r="Q22" s="542"/>
      <c r="R22" s="548">
        <v>973100</v>
      </c>
      <c r="S22" s="542"/>
      <c r="T22" s="542"/>
      <c r="U22" s="542"/>
      <c r="V22" s="543">
        <f t="shared" si="0"/>
        <v>2568084</v>
      </c>
    </row>
    <row r="23" spans="3:22" ht="24">
      <c r="C23" s="514" t="s">
        <v>860</v>
      </c>
      <c r="D23" s="545" t="s">
        <v>417</v>
      </c>
      <c r="E23" s="546" t="s">
        <v>843</v>
      </c>
      <c r="F23" s="547"/>
      <c r="G23" s="548">
        <v>609406</v>
      </c>
      <c r="H23" s="548">
        <v>143206</v>
      </c>
      <c r="I23" s="542">
        <v>4667808</v>
      </c>
      <c r="J23" s="542"/>
      <c r="K23" s="542"/>
      <c r="L23" s="542"/>
      <c r="M23" s="542"/>
      <c r="N23" s="542"/>
      <c r="O23" s="542"/>
      <c r="P23" s="542"/>
      <c r="Q23" s="542"/>
      <c r="R23" s="548">
        <f>19510500-1730500</f>
        <v>17780000</v>
      </c>
      <c r="S23" s="542">
        <f>91442680+863600</f>
        <v>92306280</v>
      </c>
      <c r="T23" s="542"/>
      <c r="U23" s="542"/>
      <c r="V23" s="543">
        <f t="shared" si="0"/>
        <v>115506700</v>
      </c>
    </row>
    <row r="24" spans="3:22" ht="24" customHeight="1">
      <c r="C24" s="514" t="s">
        <v>775</v>
      </c>
      <c r="D24" s="545" t="s">
        <v>418</v>
      </c>
      <c r="E24" s="546" t="s">
        <v>776</v>
      </c>
      <c r="F24" s="547"/>
      <c r="G24" s="548"/>
      <c r="H24" s="542"/>
      <c r="I24" s="542">
        <v>416194</v>
      </c>
      <c r="J24" s="542"/>
      <c r="K24" s="542"/>
      <c r="L24" s="542"/>
      <c r="M24" s="542"/>
      <c r="N24" s="542"/>
      <c r="O24" s="542"/>
      <c r="P24" s="542"/>
      <c r="Q24" s="542"/>
      <c r="R24" s="548"/>
      <c r="S24" s="542">
        <v>6759599</v>
      </c>
      <c r="T24" s="542"/>
      <c r="U24" s="542"/>
      <c r="V24" s="543">
        <f t="shared" si="0"/>
        <v>7175793</v>
      </c>
    </row>
    <row r="25" spans="1:22" ht="24" customHeight="1">
      <c r="A25" s="513">
        <v>751966</v>
      </c>
      <c r="B25" s="514" t="s">
        <v>63</v>
      </c>
      <c r="C25" s="514" t="s">
        <v>61</v>
      </c>
      <c r="D25" s="545" t="s">
        <v>419</v>
      </c>
      <c r="E25" s="546" t="s">
        <v>382</v>
      </c>
      <c r="F25" s="547"/>
      <c r="G25" s="548"/>
      <c r="H25" s="542"/>
      <c r="I25" s="542">
        <v>24094440</v>
      </c>
      <c r="J25" s="542"/>
      <c r="K25" s="542"/>
      <c r="L25" s="542"/>
      <c r="M25" s="542"/>
      <c r="N25" s="542"/>
      <c r="O25" s="542"/>
      <c r="P25" s="542"/>
      <c r="Q25" s="542"/>
      <c r="R25" s="548"/>
      <c r="S25" s="542">
        <v>2794000</v>
      </c>
      <c r="T25" s="542"/>
      <c r="U25" s="542"/>
      <c r="V25" s="543">
        <f t="shared" si="0"/>
        <v>26888440</v>
      </c>
    </row>
    <row r="26" spans="1:22" ht="24" customHeight="1">
      <c r="A26" s="513">
        <v>751999</v>
      </c>
      <c r="B26" s="514" t="s">
        <v>65</v>
      </c>
      <c r="C26" s="514" t="s">
        <v>57</v>
      </c>
      <c r="D26" s="545" t="s">
        <v>420</v>
      </c>
      <c r="E26" s="546" t="s">
        <v>544</v>
      </c>
      <c r="F26" s="547"/>
      <c r="G26" s="548"/>
      <c r="H26" s="548"/>
      <c r="I26" s="542">
        <v>2640000</v>
      </c>
      <c r="J26" s="542"/>
      <c r="K26" s="542"/>
      <c r="L26" s="542">
        <f>32277000-1444000</f>
        <v>30833000</v>
      </c>
      <c r="M26" s="542"/>
      <c r="N26" s="542"/>
      <c r="O26" s="542"/>
      <c r="P26" s="542"/>
      <c r="Q26" s="542"/>
      <c r="R26" s="548"/>
      <c r="S26" s="542"/>
      <c r="T26" s="542"/>
      <c r="U26" s="542"/>
      <c r="V26" s="543">
        <f t="shared" si="0"/>
        <v>33473000</v>
      </c>
    </row>
    <row r="27" spans="2:23" ht="24">
      <c r="B27" s="514" t="s">
        <v>67</v>
      </c>
      <c r="C27" s="514" t="s">
        <v>62</v>
      </c>
      <c r="D27" s="545" t="s">
        <v>421</v>
      </c>
      <c r="E27" s="546" t="s">
        <v>545</v>
      </c>
      <c r="F27" s="547"/>
      <c r="G27" s="548">
        <f>25000+33000</f>
        <v>58000</v>
      </c>
      <c r="H27" s="548">
        <f>3938+5197</f>
        <v>9135</v>
      </c>
      <c r="I27" s="542">
        <v>14028933</v>
      </c>
      <c r="J27" s="542"/>
      <c r="K27" s="542"/>
      <c r="L27" s="542">
        <f>14018000-6364000-3280000</f>
        <v>4374000</v>
      </c>
      <c r="M27" s="542"/>
      <c r="N27" s="542"/>
      <c r="O27" s="542"/>
      <c r="P27" s="542"/>
      <c r="Q27" s="542"/>
      <c r="R27" s="548">
        <v>3348220</v>
      </c>
      <c r="S27" s="542">
        <v>2000000</v>
      </c>
      <c r="T27" s="542"/>
      <c r="U27" s="542"/>
      <c r="V27" s="543">
        <f t="shared" si="0"/>
        <v>23818288</v>
      </c>
      <c r="W27" s="550"/>
    </row>
    <row r="28" spans="2:23" ht="24" customHeight="1">
      <c r="B28" s="514" t="s">
        <v>68</v>
      </c>
      <c r="C28" s="514" t="s">
        <v>68</v>
      </c>
      <c r="D28" s="1015" t="s">
        <v>919</v>
      </c>
      <c r="E28" s="546" t="s">
        <v>384</v>
      </c>
      <c r="F28" s="551"/>
      <c r="G28" s="542"/>
      <c r="H28" s="542"/>
      <c r="I28" s="542">
        <v>360000</v>
      </c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3">
        <f t="shared" si="0"/>
        <v>360000</v>
      </c>
      <c r="W28" s="550"/>
    </row>
    <row r="29" spans="2:24" ht="24" customHeight="1">
      <c r="B29" s="514" t="s">
        <v>69</v>
      </c>
      <c r="C29" s="514" t="s">
        <v>69</v>
      </c>
      <c r="D29" s="1015"/>
      <c r="E29" s="546" t="s">
        <v>385</v>
      </c>
      <c r="F29" s="551"/>
      <c r="G29" s="542"/>
      <c r="H29" s="542"/>
      <c r="I29" s="542">
        <v>27644450</v>
      </c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3">
        <f t="shared" si="0"/>
        <v>27644450</v>
      </c>
      <c r="X29" s="513" t="s">
        <v>745</v>
      </c>
    </row>
    <row r="30" spans="1:24" ht="24" customHeight="1">
      <c r="A30" s="513">
        <v>851286</v>
      </c>
      <c r="B30" s="514" t="s">
        <v>70</v>
      </c>
      <c r="C30" s="514" t="s">
        <v>70</v>
      </c>
      <c r="D30" s="1015"/>
      <c r="E30" s="546" t="s">
        <v>386</v>
      </c>
      <c r="F30" s="551"/>
      <c r="G30" s="542"/>
      <c r="H30" s="542"/>
      <c r="I30" s="542">
        <v>120000</v>
      </c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3">
        <f t="shared" si="0"/>
        <v>120000</v>
      </c>
      <c r="X30" s="550">
        <f>SUM(V28:V31)</f>
        <v>63454187</v>
      </c>
    </row>
    <row r="31" spans="1:22" s="544" customFormat="1" ht="27" customHeight="1">
      <c r="A31" s="513">
        <v>851297</v>
      </c>
      <c r="B31" s="514" t="s">
        <v>71</v>
      </c>
      <c r="C31" s="514" t="s">
        <v>71</v>
      </c>
      <c r="D31" s="1015"/>
      <c r="E31" s="546" t="s">
        <v>445</v>
      </c>
      <c r="F31" s="551"/>
      <c r="G31" s="542">
        <v>27396716</v>
      </c>
      <c r="H31" s="542">
        <v>4793101</v>
      </c>
      <c r="I31" s="542">
        <v>2949420</v>
      </c>
      <c r="J31" s="542"/>
      <c r="K31" s="542"/>
      <c r="L31" s="542"/>
      <c r="M31" s="542"/>
      <c r="N31" s="542"/>
      <c r="O31" s="542"/>
      <c r="P31" s="542"/>
      <c r="Q31" s="542"/>
      <c r="R31" s="542">
        <v>190500</v>
      </c>
      <c r="S31" s="542"/>
      <c r="T31" s="542"/>
      <c r="U31" s="542"/>
      <c r="V31" s="543">
        <f t="shared" si="0"/>
        <v>35329737</v>
      </c>
    </row>
    <row r="32" spans="1:22" s="544" customFormat="1" ht="24" customHeight="1">
      <c r="A32" s="513">
        <v>853322</v>
      </c>
      <c r="B32" s="514" t="s">
        <v>72</v>
      </c>
      <c r="C32" s="514" t="s">
        <v>80</v>
      </c>
      <c r="D32" s="545" t="s">
        <v>423</v>
      </c>
      <c r="E32" s="546" t="s">
        <v>81</v>
      </c>
      <c r="F32" s="552"/>
      <c r="G32" s="542"/>
      <c r="H32" s="542"/>
      <c r="I32" s="542">
        <v>1500000</v>
      </c>
      <c r="J32" s="542"/>
      <c r="K32" s="542"/>
      <c r="L32" s="542">
        <f>16949000</f>
        <v>16949000</v>
      </c>
      <c r="M32" s="542"/>
      <c r="N32" s="542"/>
      <c r="O32" s="542"/>
      <c r="P32" s="542"/>
      <c r="Q32" s="542"/>
      <c r="R32" s="542"/>
      <c r="S32" s="542"/>
      <c r="T32" s="542"/>
      <c r="U32" s="542"/>
      <c r="V32" s="543">
        <f t="shared" si="0"/>
        <v>18449000</v>
      </c>
    </row>
    <row r="33" spans="1:22" s="544" customFormat="1" ht="24" customHeight="1">
      <c r="A33" s="513"/>
      <c r="B33" s="514"/>
      <c r="C33" s="514" t="s">
        <v>54</v>
      </c>
      <c r="D33" s="545" t="s">
        <v>495</v>
      </c>
      <c r="E33" s="546" t="s">
        <v>844</v>
      </c>
      <c r="F33" s="552"/>
      <c r="G33" s="542"/>
      <c r="H33" s="542"/>
      <c r="I33" s="542"/>
      <c r="J33" s="542"/>
      <c r="K33" s="542"/>
      <c r="L33" s="542"/>
      <c r="M33" s="542">
        <v>15000</v>
      </c>
      <c r="N33" s="542"/>
      <c r="O33" s="542"/>
      <c r="P33" s="542"/>
      <c r="Q33" s="542"/>
      <c r="R33" s="542"/>
      <c r="S33" s="542"/>
      <c r="T33" s="542"/>
      <c r="U33" s="542"/>
      <c r="V33" s="543">
        <f t="shared" si="0"/>
        <v>15000</v>
      </c>
    </row>
    <row r="34" spans="1:22" s="544" customFormat="1" ht="24">
      <c r="A34" s="513"/>
      <c r="B34" s="514" t="s">
        <v>73</v>
      </c>
      <c r="C34" s="514" t="s">
        <v>542</v>
      </c>
      <c r="D34" s="545" t="s">
        <v>496</v>
      </c>
      <c r="E34" s="553" t="s">
        <v>612</v>
      </c>
      <c r="F34" s="552"/>
      <c r="G34" s="542">
        <v>80000</v>
      </c>
      <c r="H34" s="542">
        <v>38963</v>
      </c>
      <c r="I34" s="542">
        <v>1830220</v>
      </c>
      <c r="J34" s="542"/>
      <c r="K34" s="542"/>
      <c r="L34" s="542"/>
      <c r="M34" s="542"/>
      <c r="N34" s="542"/>
      <c r="O34" s="542"/>
      <c r="P34" s="542"/>
      <c r="Q34" s="542"/>
      <c r="R34" s="542">
        <v>730250</v>
      </c>
      <c r="S34" s="542"/>
      <c r="T34" s="542"/>
      <c r="U34" s="542"/>
      <c r="V34" s="543">
        <f t="shared" si="0"/>
        <v>2679433</v>
      </c>
    </row>
    <row r="35" spans="2:24" ht="20.25" customHeight="1">
      <c r="B35" s="514" t="s">
        <v>75</v>
      </c>
      <c r="C35" s="514" t="s">
        <v>861</v>
      </c>
      <c r="D35" s="555" t="s">
        <v>497</v>
      </c>
      <c r="E35" s="546" t="s">
        <v>83</v>
      </c>
      <c r="F35" s="551"/>
      <c r="G35" s="542"/>
      <c r="H35" s="542"/>
      <c r="I35" s="542">
        <v>73660</v>
      </c>
      <c r="J35" s="542"/>
      <c r="K35" s="554"/>
      <c r="L35" s="554"/>
      <c r="M35" s="542"/>
      <c r="N35" s="542"/>
      <c r="O35" s="542"/>
      <c r="P35" s="542"/>
      <c r="Q35" s="542"/>
      <c r="R35" s="542"/>
      <c r="S35" s="542"/>
      <c r="T35" s="542"/>
      <c r="U35" s="542"/>
      <c r="V35" s="543">
        <f t="shared" si="0"/>
        <v>73660</v>
      </c>
      <c r="X35" s="550">
        <f>SUM(V35:V35)</f>
        <v>73660</v>
      </c>
    </row>
    <row r="36" spans="3:24" ht="27" customHeight="1">
      <c r="C36" s="514" t="s">
        <v>862</v>
      </c>
      <c r="D36" s="555" t="s">
        <v>470</v>
      </c>
      <c r="E36" s="546" t="s">
        <v>845</v>
      </c>
      <c r="F36" s="551"/>
      <c r="G36" s="542">
        <v>5400000</v>
      </c>
      <c r="H36" s="542">
        <v>927500</v>
      </c>
      <c r="I36" s="542">
        <v>5902169</v>
      </c>
      <c r="J36" s="542"/>
      <c r="K36" s="554"/>
      <c r="L36" s="554"/>
      <c r="M36" s="542"/>
      <c r="N36" s="542"/>
      <c r="O36" s="542"/>
      <c r="P36" s="542"/>
      <c r="Q36" s="542"/>
      <c r="R36" s="542"/>
      <c r="S36" s="542"/>
      <c r="T36" s="542"/>
      <c r="U36" s="542"/>
      <c r="V36" s="543">
        <f t="shared" si="0"/>
        <v>12229669</v>
      </c>
      <c r="X36" s="550"/>
    </row>
    <row r="37" spans="3:24" ht="26.25" customHeight="1">
      <c r="C37" s="514" t="s">
        <v>67</v>
      </c>
      <c r="D37" s="555" t="s">
        <v>498</v>
      </c>
      <c r="E37" s="546" t="s">
        <v>846</v>
      </c>
      <c r="F37" s="551"/>
      <c r="G37" s="542"/>
      <c r="H37" s="542"/>
      <c r="I37" s="542"/>
      <c r="J37" s="542"/>
      <c r="K37" s="554"/>
      <c r="L37" s="554"/>
      <c r="M37" s="542"/>
      <c r="N37" s="542"/>
      <c r="O37" s="542"/>
      <c r="P37" s="542"/>
      <c r="Q37" s="542"/>
      <c r="R37" s="542"/>
      <c r="S37" s="542">
        <v>31599998</v>
      </c>
      <c r="T37" s="542"/>
      <c r="U37" s="542"/>
      <c r="V37" s="543">
        <f t="shared" si="0"/>
        <v>31599998</v>
      </c>
      <c r="X37" s="550"/>
    </row>
    <row r="38" spans="3:24" ht="24.75" customHeight="1">
      <c r="C38" s="514" t="s">
        <v>863</v>
      </c>
      <c r="D38" s="555" t="s">
        <v>424</v>
      </c>
      <c r="E38" s="546" t="s">
        <v>847</v>
      </c>
      <c r="F38" s="551"/>
      <c r="G38" s="542">
        <v>8650000</v>
      </c>
      <c r="H38" s="542">
        <v>1409909</v>
      </c>
      <c r="I38" s="542">
        <v>2242300</v>
      </c>
      <c r="J38" s="542"/>
      <c r="K38" s="554"/>
      <c r="L38" s="554"/>
      <c r="M38" s="542"/>
      <c r="N38" s="542"/>
      <c r="O38" s="542"/>
      <c r="P38" s="542"/>
      <c r="Q38" s="542"/>
      <c r="R38" s="542"/>
      <c r="S38" s="542"/>
      <c r="T38" s="542"/>
      <c r="U38" s="542"/>
      <c r="V38" s="543">
        <f t="shared" si="0"/>
        <v>12302209</v>
      </c>
      <c r="X38" s="550"/>
    </row>
    <row r="39" spans="3:22" ht="24">
      <c r="C39" s="514" t="s">
        <v>647</v>
      </c>
      <c r="D39" s="555" t="s">
        <v>425</v>
      </c>
      <c r="E39" s="546" t="s">
        <v>648</v>
      </c>
      <c r="F39" s="551"/>
      <c r="G39" s="542">
        <v>2543600</v>
      </c>
      <c r="H39" s="542">
        <v>445130</v>
      </c>
      <c r="I39" s="542">
        <v>57876511</v>
      </c>
      <c r="J39" s="542"/>
      <c r="K39" s="542"/>
      <c r="L39" s="542"/>
      <c r="M39" s="542"/>
      <c r="N39" s="542"/>
      <c r="O39" s="542"/>
      <c r="P39" s="542"/>
      <c r="Q39" s="542"/>
      <c r="R39" s="542">
        <v>74930</v>
      </c>
      <c r="S39" s="542"/>
      <c r="T39" s="542"/>
      <c r="U39" s="542"/>
      <c r="V39" s="543">
        <f t="shared" si="0"/>
        <v>60940171</v>
      </c>
    </row>
    <row r="40" spans="2:22" ht="24" customHeight="1">
      <c r="B40" s="514" t="s">
        <v>76</v>
      </c>
      <c r="C40" s="514" t="s">
        <v>644</v>
      </c>
      <c r="D40" s="555" t="s">
        <v>426</v>
      </c>
      <c r="E40" s="546" t="s">
        <v>645</v>
      </c>
      <c r="F40" s="551"/>
      <c r="G40" s="542"/>
      <c r="H40" s="542"/>
      <c r="I40" s="542">
        <v>11650000</v>
      </c>
      <c r="J40" s="542"/>
      <c r="K40" s="542"/>
      <c r="L40" s="542">
        <v>10000000</v>
      </c>
      <c r="M40" s="542"/>
      <c r="N40" s="542"/>
      <c r="O40" s="542"/>
      <c r="P40" s="542"/>
      <c r="Q40" s="542"/>
      <c r="R40" s="542"/>
      <c r="S40" s="542"/>
      <c r="T40" s="542"/>
      <c r="U40" s="542"/>
      <c r="V40" s="543">
        <f t="shared" si="0"/>
        <v>21650000</v>
      </c>
    </row>
    <row r="41" spans="3:22" ht="24">
      <c r="C41" s="514" t="s">
        <v>649</v>
      </c>
      <c r="D41" s="555" t="s">
        <v>499</v>
      </c>
      <c r="E41" s="546" t="s">
        <v>650</v>
      </c>
      <c r="F41" s="551"/>
      <c r="G41" s="542"/>
      <c r="H41" s="542"/>
      <c r="I41" s="542">
        <v>1812600</v>
      </c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3">
        <f t="shared" si="0"/>
        <v>1812600</v>
      </c>
    </row>
    <row r="42" spans="3:24" ht="24" customHeight="1">
      <c r="C42" s="514" t="s">
        <v>76</v>
      </c>
      <c r="D42" s="555" t="s">
        <v>427</v>
      </c>
      <c r="E42" s="546" t="s">
        <v>777</v>
      </c>
      <c r="F42" s="551"/>
      <c r="G42" s="542">
        <v>24650000</v>
      </c>
      <c r="H42" s="542">
        <v>4900455</v>
      </c>
      <c r="I42" s="542">
        <v>17254444</v>
      </c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3">
        <f t="shared" si="0"/>
        <v>46804899</v>
      </c>
      <c r="X42" s="550">
        <f>SUM(V40:V43)</f>
        <v>74899499</v>
      </c>
    </row>
    <row r="43" spans="2:22" ht="24" customHeight="1">
      <c r="B43" s="514" t="s">
        <v>78</v>
      </c>
      <c r="C43" s="514" t="s">
        <v>74</v>
      </c>
      <c r="D43" s="555" t="s">
        <v>444</v>
      </c>
      <c r="E43" s="546" t="s">
        <v>466</v>
      </c>
      <c r="F43" s="551"/>
      <c r="G43" s="542"/>
      <c r="H43" s="542"/>
      <c r="I43" s="542">
        <v>2600000</v>
      </c>
      <c r="J43" s="542"/>
      <c r="K43" s="542"/>
      <c r="L43" s="542">
        <v>2032000</v>
      </c>
      <c r="M43" s="542"/>
      <c r="N43" s="542"/>
      <c r="O43" s="542"/>
      <c r="P43" s="542"/>
      <c r="Q43" s="542"/>
      <c r="R43" s="542"/>
      <c r="S43" s="542"/>
      <c r="T43" s="542"/>
      <c r="U43" s="542"/>
      <c r="V43" s="543">
        <f t="shared" si="0"/>
        <v>4632000</v>
      </c>
    </row>
    <row r="44" spans="3:22" ht="24" customHeight="1">
      <c r="C44" s="514" t="s">
        <v>848</v>
      </c>
      <c r="D44" s="555" t="s">
        <v>500</v>
      </c>
      <c r="E44" s="546" t="s">
        <v>849</v>
      </c>
      <c r="F44" s="551"/>
      <c r="G44" s="542"/>
      <c r="H44" s="542"/>
      <c r="I44" s="542"/>
      <c r="J44" s="542"/>
      <c r="K44" s="542"/>
      <c r="L44" s="542">
        <v>2286000</v>
      </c>
      <c r="M44" s="542"/>
      <c r="N44" s="542"/>
      <c r="O44" s="542"/>
      <c r="P44" s="542"/>
      <c r="Q44" s="542"/>
      <c r="R44" s="542"/>
      <c r="S44" s="542"/>
      <c r="T44" s="556"/>
      <c r="U44" s="542"/>
      <c r="V44" s="543">
        <f t="shared" si="0"/>
        <v>2286000</v>
      </c>
    </row>
    <row r="45" spans="2:22" ht="24">
      <c r="B45" s="514" t="s">
        <v>80</v>
      </c>
      <c r="C45" s="514" t="s">
        <v>77</v>
      </c>
      <c r="D45" s="555" t="s">
        <v>501</v>
      </c>
      <c r="E45" s="546" t="s">
        <v>646</v>
      </c>
      <c r="F45" s="551"/>
      <c r="G45" s="542"/>
      <c r="H45" s="542"/>
      <c r="I45" s="542"/>
      <c r="J45" s="542">
        <v>3804900</v>
      </c>
      <c r="K45" s="542"/>
      <c r="L45" s="542"/>
      <c r="M45" s="542"/>
      <c r="N45" s="542"/>
      <c r="O45" s="542"/>
      <c r="P45" s="542"/>
      <c r="Q45" s="542"/>
      <c r="R45" s="542"/>
      <c r="S45" s="542"/>
      <c r="T45" s="556"/>
      <c r="U45" s="542"/>
      <c r="V45" s="543">
        <f t="shared" si="0"/>
        <v>3804900</v>
      </c>
    </row>
    <row r="46" spans="3:22" ht="24">
      <c r="C46" s="514" t="s">
        <v>850</v>
      </c>
      <c r="D46" s="555" t="s">
        <v>852</v>
      </c>
      <c r="E46" s="546" t="s">
        <v>851</v>
      </c>
      <c r="F46" s="557"/>
      <c r="G46" s="558">
        <f>18342800+1350000+1125000</f>
        <v>20817800</v>
      </c>
      <c r="H46" s="556">
        <f>3773040+236250+196875</f>
        <v>4206165</v>
      </c>
      <c r="I46" s="556">
        <v>22523810</v>
      </c>
      <c r="J46" s="556"/>
      <c r="K46" s="556"/>
      <c r="L46" s="556"/>
      <c r="M46" s="556"/>
      <c r="N46" s="556"/>
      <c r="O46" s="556"/>
      <c r="P46" s="556"/>
      <c r="Q46" s="556"/>
      <c r="R46" s="556">
        <v>2460790</v>
      </c>
      <c r="S46" s="556">
        <v>523290</v>
      </c>
      <c r="T46" s="558"/>
      <c r="U46" s="556"/>
      <c r="V46" s="543">
        <f t="shared" si="0"/>
        <v>50531855</v>
      </c>
    </row>
    <row r="47" spans="4:22" ht="24">
      <c r="D47" s="555" t="s">
        <v>853</v>
      </c>
      <c r="E47" s="546" t="s">
        <v>383</v>
      </c>
      <c r="F47" s="557"/>
      <c r="G47" s="558"/>
      <c r="H47" s="556"/>
      <c r="I47" s="556"/>
      <c r="J47" s="556"/>
      <c r="K47" s="556"/>
      <c r="L47" s="556"/>
      <c r="M47" s="556"/>
      <c r="N47" s="556">
        <v>1000000</v>
      </c>
      <c r="O47" s="556">
        <v>350000</v>
      </c>
      <c r="P47" s="556">
        <v>1000000</v>
      </c>
      <c r="Q47" s="556">
        <v>200000</v>
      </c>
      <c r="R47" s="556"/>
      <c r="S47" s="556"/>
      <c r="T47" s="558"/>
      <c r="U47" s="556"/>
      <c r="V47" s="543">
        <f t="shared" si="0"/>
        <v>2550000</v>
      </c>
    </row>
    <row r="48" spans="3:22" ht="24">
      <c r="C48" s="514" t="s">
        <v>778</v>
      </c>
      <c r="D48" s="555" t="s">
        <v>854</v>
      </c>
      <c r="E48" s="560" t="s">
        <v>611</v>
      </c>
      <c r="F48" s="557"/>
      <c r="G48" s="558"/>
      <c r="H48" s="558"/>
      <c r="I48" s="558">
        <v>8285000</v>
      </c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43">
        <f t="shared" si="0"/>
        <v>8285000</v>
      </c>
    </row>
    <row r="49" spans="1:25" s="561" customFormat="1" ht="24" customHeight="1" thickBot="1">
      <c r="A49" s="561">
        <v>999997</v>
      </c>
      <c r="B49" s="559"/>
      <c r="D49" s="562" t="s">
        <v>855</v>
      </c>
      <c r="E49" s="563" t="s">
        <v>367</v>
      </c>
      <c r="F49" s="564">
        <f>SUM(F8:F45)</f>
        <v>0</v>
      </c>
      <c r="G49" s="565">
        <f aca="true" t="shared" si="1" ref="G49:V49">SUM(G8:G48)</f>
        <v>142048027</v>
      </c>
      <c r="H49" s="565">
        <f t="shared" si="1"/>
        <v>26504959</v>
      </c>
      <c r="I49" s="565">
        <f t="shared" si="1"/>
        <v>311226482</v>
      </c>
      <c r="J49" s="565">
        <f t="shared" si="1"/>
        <v>3804900</v>
      </c>
      <c r="K49" s="565">
        <f t="shared" si="1"/>
        <v>0</v>
      </c>
      <c r="L49" s="565">
        <f t="shared" si="1"/>
        <v>138317385</v>
      </c>
      <c r="M49" s="565">
        <f t="shared" si="1"/>
        <v>115000</v>
      </c>
      <c r="N49" s="565">
        <f t="shared" si="1"/>
        <v>1000000</v>
      </c>
      <c r="O49" s="565">
        <f t="shared" si="1"/>
        <v>350000</v>
      </c>
      <c r="P49" s="565">
        <f t="shared" si="1"/>
        <v>1000000</v>
      </c>
      <c r="Q49" s="565">
        <f t="shared" si="1"/>
        <v>200000</v>
      </c>
      <c r="R49" s="565">
        <f t="shared" si="1"/>
        <v>775862375</v>
      </c>
      <c r="S49" s="565">
        <f t="shared" si="1"/>
        <v>166608041</v>
      </c>
      <c r="T49" s="565">
        <f t="shared" si="1"/>
        <v>5449520</v>
      </c>
      <c r="U49" s="565">
        <f t="shared" si="1"/>
        <v>19299537</v>
      </c>
      <c r="V49" s="566">
        <f t="shared" si="1"/>
        <v>1591786226</v>
      </c>
      <c r="W49" s="567">
        <f>SUM(G49:U49)</f>
        <v>1591786226</v>
      </c>
      <c r="X49" s="568"/>
      <c r="Y49" s="568"/>
    </row>
    <row r="50" ht="12.75">
      <c r="E50" s="569"/>
    </row>
    <row r="54" ht="12">
      <c r="F54" s="571"/>
    </row>
  </sheetData>
  <sheetProtection/>
  <mergeCells count="10">
    <mergeCell ref="D28:D31"/>
    <mergeCell ref="C1:C2"/>
    <mergeCell ref="Q1:V1"/>
    <mergeCell ref="E2:V2"/>
    <mergeCell ref="D4:D7"/>
    <mergeCell ref="E4:E6"/>
    <mergeCell ref="F4:F6"/>
    <mergeCell ref="K5:Q5"/>
    <mergeCell ref="G4:U4"/>
    <mergeCell ref="V4:V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35"/>
  <sheetViews>
    <sheetView zoomScalePageLayoutView="0" workbookViewId="0" topLeftCell="C1">
      <selection activeCell="K3" sqref="K3"/>
    </sheetView>
  </sheetViews>
  <sheetFormatPr defaultColWidth="8.875" defaultRowHeight="12.75"/>
  <cols>
    <col min="1" max="1" width="1.37890625" style="513" hidden="1" customWidth="1"/>
    <col min="2" max="2" width="8.00390625" style="514" hidden="1" customWidth="1"/>
    <col min="3" max="3" width="8.00390625" style="514" customWidth="1"/>
    <col min="4" max="4" width="7.625" style="515" customWidth="1"/>
    <col min="5" max="5" width="38.00390625" style="513" customWidth="1"/>
    <col min="6" max="10" width="13.125" style="513" customWidth="1"/>
    <col min="11" max="11" width="16.75390625" style="570" customWidth="1"/>
    <col min="12" max="12" width="14.375" style="513" customWidth="1"/>
    <col min="13" max="13" width="9.875" style="513" bestFit="1" customWidth="1"/>
    <col min="14" max="16384" width="8.875" style="513" customWidth="1"/>
  </cols>
  <sheetData>
    <row r="1" spans="3:11" ht="15">
      <c r="C1" s="1016"/>
      <c r="I1" s="1018"/>
      <c r="J1" s="1018"/>
      <c r="K1" s="1018"/>
    </row>
    <row r="2" spans="3:14" ht="15">
      <c r="C2" s="1016"/>
      <c r="H2" s="625"/>
      <c r="I2" s="625"/>
      <c r="J2" s="626"/>
      <c r="K2" s="625" t="s">
        <v>1051</v>
      </c>
      <c r="L2" s="626"/>
      <c r="M2" s="626"/>
      <c r="N2" s="626"/>
    </row>
    <row r="3" spans="3:14" ht="15">
      <c r="C3" s="1016"/>
      <c r="H3" s="625"/>
      <c r="I3" s="625"/>
      <c r="J3" s="626"/>
      <c r="K3" s="625"/>
      <c r="L3" s="626"/>
      <c r="M3" s="626"/>
      <c r="N3" s="626"/>
    </row>
    <row r="4" spans="1:11" s="750" customFormat="1" ht="39" customHeight="1">
      <c r="A4" s="517"/>
      <c r="B4" s="518"/>
      <c r="C4" s="1016"/>
      <c r="D4" s="1038" t="s">
        <v>914</v>
      </c>
      <c r="E4" s="1038"/>
      <c r="F4" s="1038"/>
      <c r="G4" s="1038"/>
      <c r="H4" s="1038"/>
      <c r="I4" s="1038"/>
      <c r="J4" s="1038"/>
      <c r="K4" s="1038"/>
    </row>
    <row r="5" ht="12">
      <c r="K5" s="751"/>
    </row>
    <row r="6" ht="12">
      <c r="K6" s="751"/>
    </row>
    <row r="7" ht="12.75" thickBot="1">
      <c r="K7" s="519"/>
    </row>
    <row r="8" spans="2:11" s="520" customFormat="1" ht="12.75" customHeight="1">
      <c r="B8" s="521"/>
      <c r="C8" s="521"/>
      <c r="D8" s="1020" t="s">
        <v>441</v>
      </c>
      <c r="E8" s="1023" t="s">
        <v>363</v>
      </c>
      <c r="F8" s="1032" t="s">
        <v>371</v>
      </c>
      <c r="G8" s="1033"/>
      <c r="H8" s="1033"/>
      <c r="I8" s="1033"/>
      <c r="J8" s="1033"/>
      <c r="K8" s="1035" t="s">
        <v>372</v>
      </c>
    </row>
    <row r="9" spans="2:11" s="522" customFormat="1" ht="12" customHeight="1">
      <c r="B9" s="523"/>
      <c r="C9" s="523"/>
      <c r="D9" s="1021"/>
      <c r="E9" s="1024"/>
      <c r="F9" s="524" t="s">
        <v>1</v>
      </c>
      <c r="G9" s="524" t="s">
        <v>3</v>
      </c>
      <c r="H9" s="524" t="s">
        <v>5</v>
      </c>
      <c r="I9" s="526" t="s">
        <v>120</v>
      </c>
      <c r="J9" s="526" t="s">
        <v>122</v>
      </c>
      <c r="K9" s="1036"/>
    </row>
    <row r="10" spans="2:11" s="522" customFormat="1" ht="63.75" customHeight="1">
      <c r="B10" s="523"/>
      <c r="C10" s="523"/>
      <c r="D10" s="1021"/>
      <c r="E10" s="1025"/>
      <c r="F10" s="527" t="s">
        <v>346</v>
      </c>
      <c r="G10" s="527" t="s">
        <v>643</v>
      </c>
      <c r="H10" s="527" t="s">
        <v>365</v>
      </c>
      <c r="I10" s="525" t="s">
        <v>344</v>
      </c>
      <c r="J10" s="525" t="s">
        <v>375</v>
      </c>
      <c r="K10" s="1037"/>
    </row>
    <row r="11" spans="2:11" s="634" customFormat="1" ht="12.75" thickBot="1">
      <c r="B11" s="635"/>
      <c r="C11" s="635"/>
      <c r="D11" s="1021"/>
      <c r="E11" s="636" t="s">
        <v>435</v>
      </c>
      <c r="F11" s="637" t="s">
        <v>436</v>
      </c>
      <c r="G11" s="637" t="s">
        <v>437</v>
      </c>
      <c r="H11" s="638" t="s">
        <v>438</v>
      </c>
      <c r="I11" s="638" t="s">
        <v>439</v>
      </c>
      <c r="J11" s="638" t="s">
        <v>440</v>
      </c>
      <c r="K11" s="639" t="s">
        <v>442</v>
      </c>
    </row>
    <row r="12" spans="1:11" s="544" customFormat="1" ht="36" customHeight="1">
      <c r="A12" s="513"/>
      <c r="B12" s="514"/>
      <c r="C12" s="514"/>
      <c r="D12" s="1045" t="s">
        <v>374</v>
      </c>
      <c r="E12" s="1046"/>
      <c r="F12" s="1046"/>
      <c r="G12" s="1046"/>
      <c r="H12" s="1046"/>
      <c r="I12" s="1046"/>
      <c r="J12" s="1046"/>
      <c r="K12" s="1047"/>
    </row>
    <row r="13" spans="2:11" s="643" customFormat="1" ht="34.5" customHeight="1">
      <c r="B13" s="644" t="s">
        <v>52</v>
      </c>
      <c r="C13" s="644"/>
      <c r="D13" s="645" t="s">
        <v>402</v>
      </c>
      <c r="E13" s="646" t="s">
        <v>814</v>
      </c>
      <c r="F13" s="648">
        <v>91562414</v>
      </c>
      <c r="G13" s="648">
        <v>16696818</v>
      </c>
      <c r="H13" s="648">
        <v>26913440</v>
      </c>
      <c r="I13" s="648">
        <v>1934590</v>
      </c>
      <c r="J13" s="648">
        <v>0</v>
      </c>
      <c r="K13" s="649">
        <f>SUM(F13:J13)</f>
        <v>137107262</v>
      </c>
    </row>
    <row r="14" spans="2:11" s="643" customFormat="1" ht="71.25">
      <c r="B14" s="644" t="s">
        <v>53</v>
      </c>
      <c r="C14" s="644"/>
      <c r="D14" s="645" t="s">
        <v>403</v>
      </c>
      <c r="E14" s="651" t="s">
        <v>915</v>
      </c>
      <c r="F14" s="648">
        <v>4740000</v>
      </c>
      <c r="G14" s="648">
        <v>829500</v>
      </c>
      <c r="H14" s="648">
        <v>0</v>
      </c>
      <c r="I14" s="648">
        <v>0</v>
      </c>
      <c r="J14" s="648">
        <v>0</v>
      </c>
      <c r="K14" s="649">
        <f>SUM(F14:J14)</f>
        <v>5569500</v>
      </c>
    </row>
    <row r="15" spans="2:11" s="643" customFormat="1" ht="72" thickBot="1">
      <c r="B15" s="644"/>
      <c r="C15" s="644"/>
      <c r="D15" s="650" t="s">
        <v>404</v>
      </c>
      <c r="E15" s="651" t="s">
        <v>916</v>
      </c>
      <c r="F15" s="652">
        <v>2452125</v>
      </c>
      <c r="G15" s="652">
        <v>429122</v>
      </c>
      <c r="H15" s="652">
        <v>0</v>
      </c>
      <c r="I15" s="652">
        <v>0</v>
      </c>
      <c r="J15" s="652">
        <v>0</v>
      </c>
      <c r="K15" s="653">
        <f>SUM(F15:J15)</f>
        <v>2881247</v>
      </c>
    </row>
    <row r="16" spans="1:14" s="654" customFormat="1" ht="24" customHeight="1" thickBot="1">
      <c r="A16" s="654">
        <v>999997</v>
      </c>
      <c r="B16" s="655"/>
      <c r="D16" s="656" t="s">
        <v>405</v>
      </c>
      <c r="E16" s="657" t="s">
        <v>367</v>
      </c>
      <c r="F16" s="658">
        <f aca="true" t="shared" si="0" ref="F16:K16">SUM(F10:F15)</f>
        <v>98754539</v>
      </c>
      <c r="G16" s="658">
        <f t="shared" si="0"/>
        <v>17955440</v>
      </c>
      <c r="H16" s="658">
        <f t="shared" si="0"/>
        <v>26913440</v>
      </c>
      <c r="I16" s="658">
        <f t="shared" si="0"/>
        <v>1934590</v>
      </c>
      <c r="J16" s="658">
        <f t="shared" si="0"/>
        <v>0</v>
      </c>
      <c r="K16" s="659">
        <f t="shared" si="0"/>
        <v>145558009</v>
      </c>
      <c r="L16" s="660">
        <f>SUM(F16:J16)</f>
        <v>145558009</v>
      </c>
      <c r="M16" s="661"/>
      <c r="N16" s="661"/>
    </row>
    <row r="17" spans="1:11" s="642" customFormat="1" ht="36.75" customHeight="1">
      <c r="A17" s="640"/>
      <c r="B17" s="641"/>
      <c r="C17" s="641"/>
      <c r="D17" s="1039" t="s">
        <v>758</v>
      </c>
      <c r="E17" s="1040"/>
      <c r="F17" s="1040"/>
      <c r="G17" s="1040"/>
      <c r="H17" s="1040"/>
      <c r="I17" s="1040"/>
      <c r="J17" s="1040"/>
      <c r="K17" s="1041"/>
    </row>
    <row r="18" spans="2:11" s="643" customFormat="1" ht="23.25" customHeight="1">
      <c r="B18" s="644" t="s">
        <v>52</v>
      </c>
      <c r="C18" s="644"/>
      <c r="D18" s="645" t="s">
        <v>402</v>
      </c>
      <c r="E18" s="646" t="s">
        <v>977</v>
      </c>
      <c r="F18" s="647">
        <v>0</v>
      </c>
      <c r="G18" s="647">
        <v>0</v>
      </c>
      <c r="H18" s="647">
        <v>31853858</v>
      </c>
      <c r="I18" s="647">
        <v>0</v>
      </c>
      <c r="J18" s="648">
        <v>0</v>
      </c>
      <c r="K18" s="649">
        <f aca="true" t="shared" si="1" ref="K18:K27">SUM(F18:J18)</f>
        <v>31853858</v>
      </c>
    </row>
    <row r="19" spans="2:11" s="643" customFormat="1" ht="23.25" customHeight="1">
      <c r="B19" s="644" t="s">
        <v>53</v>
      </c>
      <c r="C19" s="644"/>
      <c r="D19" s="645" t="s">
        <v>403</v>
      </c>
      <c r="E19" s="646" t="s">
        <v>836</v>
      </c>
      <c r="F19" s="647">
        <f>106347224+3215520-330000-1461600</f>
        <v>107771144</v>
      </c>
      <c r="G19" s="647">
        <f>22358469+562716-57750-255780</f>
        <v>22607655</v>
      </c>
      <c r="H19" s="647">
        <v>0</v>
      </c>
      <c r="I19" s="647">
        <v>0</v>
      </c>
      <c r="J19" s="648">
        <v>0</v>
      </c>
      <c r="K19" s="649">
        <f t="shared" si="1"/>
        <v>130378799</v>
      </c>
    </row>
    <row r="20" spans="2:11" s="643" customFormat="1" ht="23.25" customHeight="1">
      <c r="B20" s="644"/>
      <c r="C20" s="644"/>
      <c r="D20" s="645" t="s">
        <v>404</v>
      </c>
      <c r="E20" s="646" t="s">
        <v>917</v>
      </c>
      <c r="F20" s="647">
        <v>0</v>
      </c>
      <c r="G20" s="647">
        <v>0</v>
      </c>
      <c r="H20" s="647">
        <v>10508378</v>
      </c>
      <c r="I20" s="647">
        <v>309245</v>
      </c>
      <c r="J20" s="648">
        <v>508000</v>
      </c>
      <c r="K20" s="649">
        <f t="shared" si="1"/>
        <v>11325623</v>
      </c>
    </row>
    <row r="21" spans="2:11" s="643" customFormat="1" ht="23.25" customHeight="1">
      <c r="B21" s="644"/>
      <c r="C21" s="644"/>
      <c r="D21" s="645" t="s">
        <v>405</v>
      </c>
      <c r="E21" s="646" t="s">
        <v>547</v>
      </c>
      <c r="F21" s="647">
        <v>5287200</v>
      </c>
      <c r="G21" s="647">
        <v>925260</v>
      </c>
      <c r="H21" s="647">
        <f>1916238-781083</f>
        <v>1135155</v>
      </c>
      <c r="I21" s="647">
        <v>63500</v>
      </c>
      <c r="J21" s="648">
        <v>0</v>
      </c>
      <c r="K21" s="649">
        <f t="shared" si="1"/>
        <v>7411115</v>
      </c>
    </row>
    <row r="22" spans="2:11" s="643" customFormat="1" ht="23.25" customHeight="1">
      <c r="B22" s="644"/>
      <c r="C22" s="644"/>
      <c r="D22" s="645" t="s">
        <v>406</v>
      </c>
      <c r="E22" s="646" t="s">
        <v>587</v>
      </c>
      <c r="F22" s="647">
        <f>24097710+1249875-1245375+1125000</f>
        <v>25227210</v>
      </c>
      <c r="G22" s="647">
        <f>4222056+218728-217940+196875</f>
        <v>4419719</v>
      </c>
      <c r="H22" s="647">
        <f>4796826+91000</f>
        <v>4887826</v>
      </c>
      <c r="I22" s="647">
        <v>304800</v>
      </c>
      <c r="J22" s="648">
        <v>0</v>
      </c>
      <c r="K22" s="649">
        <f t="shared" si="1"/>
        <v>34839555</v>
      </c>
    </row>
    <row r="23" spans="1:11" s="643" customFormat="1" ht="23.25" customHeight="1">
      <c r="A23" s="643">
        <v>20215</v>
      </c>
      <c r="B23" s="644" t="s">
        <v>55</v>
      </c>
      <c r="C23" s="644"/>
      <c r="D23" s="645" t="s">
        <v>407</v>
      </c>
      <c r="E23" s="646" t="s">
        <v>712</v>
      </c>
      <c r="F23" s="647">
        <f>11177496+981000-976500+1035000</f>
        <v>12216996</v>
      </c>
      <c r="G23" s="647">
        <f>1927326+171675-170887+181125</f>
        <v>2109239</v>
      </c>
      <c r="H23" s="647">
        <f>2955612+91000</f>
        <v>3046612</v>
      </c>
      <c r="I23" s="647">
        <v>401320</v>
      </c>
      <c r="J23" s="648">
        <v>0</v>
      </c>
      <c r="K23" s="649">
        <f t="shared" si="1"/>
        <v>17774167</v>
      </c>
    </row>
    <row r="24" spans="2:11" s="643" customFormat="1" ht="23.25" customHeight="1">
      <c r="B24" s="644"/>
      <c r="C24" s="644"/>
      <c r="D24" s="645" t="s">
        <v>408</v>
      </c>
      <c r="E24" s="646" t="s">
        <v>713</v>
      </c>
      <c r="F24" s="647">
        <f>10053189+639450</f>
        <v>10692639</v>
      </c>
      <c r="G24" s="647">
        <f>1759308+111904</f>
        <v>1871212</v>
      </c>
      <c r="H24" s="647">
        <v>1190218</v>
      </c>
      <c r="I24" s="647">
        <v>95250</v>
      </c>
      <c r="J24" s="648">
        <v>0</v>
      </c>
      <c r="K24" s="649">
        <f t="shared" si="1"/>
        <v>13849319</v>
      </c>
    </row>
    <row r="25" spans="2:11" s="643" customFormat="1" ht="24.75" customHeight="1">
      <c r="B25" s="644"/>
      <c r="C25" s="644"/>
      <c r="D25" s="645" t="s">
        <v>409</v>
      </c>
      <c r="E25" s="646" t="s">
        <v>976</v>
      </c>
      <c r="F25" s="647">
        <v>0</v>
      </c>
      <c r="G25" s="647">
        <v>0</v>
      </c>
      <c r="H25" s="647">
        <v>2677147</v>
      </c>
      <c r="I25" s="647">
        <v>0</v>
      </c>
      <c r="J25" s="648">
        <v>0</v>
      </c>
      <c r="K25" s="649">
        <f t="shared" si="1"/>
        <v>2677147</v>
      </c>
    </row>
    <row r="26" spans="2:11" s="643" customFormat="1" ht="71.25">
      <c r="B26" s="644"/>
      <c r="C26" s="644"/>
      <c r="D26" s="645" t="s">
        <v>410</v>
      </c>
      <c r="E26" s="646" t="s">
        <v>838</v>
      </c>
      <c r="F26" s="647">
        <f>3600000</f>
        <v>3600000</v>
      </c>
      <c r="G26" s="647">
        <v>630000</v>
      </c>
      <c r="H26" s="647">
        <v>0</v>
      </c>
      <c r="I26" s="647">
        <v>0</v>
      </c>
      <c r="J26" s="648">
        <v>0</v>
      </c>
      <c r="K26" s="649">
        <f t="shared" si="1"/>
        <v>4230000</v>
      </c>
    </row>
    <row r="27" spans="2:11" s="643" customFormat="1" ht="57.75" thickBot="1">
      <c r="B27" s="644"/>
      <c r="C27" s="644"/>
      <c r="D27" s="645" t="s">
        <v>411</v>
      </c>
      <c r="E27" s="646" t="s">
        <v>837</v>
      </c>
      <c r="F27" s="647">
        <f>6562063+2756937</f>
        <v>9319000</v>
      </c>
      <c r="G27" s="647">
        <f>1148361+482464</f>
        <v>1630825</v>
      </c>
      <c r="H27" s="647">
        <f>50000+2114762</f>
        <v>2164762</v>
      </c>
      <c r="I27" s="647">
        <v>0</v>
      </c>
      <c r="J27" s="648">
        <v>0</v>
      </c>
      <c r="K27" s="649">
        <f t="shared" si="1"/>
        <v>13114587</v>
      </c>
    </row>
    <row r="28" spans="1:14" s="654" customFormat="1" ht="24" customHeight="1" thickBot="1">
      <c r="A28" s="654">
        <v>999997</v>
      </c>
      <c r="B28" s="655"/>
      <c r="D28" s="656" t="s">
        <v>412</v>
      </c>
      <c r="E28" s="657" t="s">
        <v>367</v>
      </c>
      <c r="F28" s="658">
        <f aca="true" t="shared" si="2" ref="F28:K28">SUM(F17:F27)</f>
        <v>174114189</v>
      </c>
      <c r="G28" s="658">
        <f t="shared" si="2"/>
        <v>34193910</v>
      </c>
      <c r="H28" s="658">
        <f t="shared" si="2"/>
        <v>57463956</v>
      </c>
      <c r="I28" s="658">
        <f t="shared" si="2"/>
        <v>1174115</v>
      </c>
      <c r="J28" s="658">
        <f t="shared" si="2"/>
        <v>508000</v>
      </c>
      <c r="K28" s="659">
        <f t="shared" si="2"/>
        <v>267454170</v>
      </c>
      <c r="L28" s="660">
        <f>SUM(F28:J28)</f>
        <v>267454170</v>
      </c>
      <c r="M28" s="661"/>
      <c r="N28" s="661"/>
    </row>
    <row r="29" spans="1:11" s="544" customFormat="1" ht="39" customHeight="1">
      <c r="A29" s="513"/>
      <c r="B29" s="514"/>
      <c r="C29" s="514"/>
      <c r="D29" s="1042" t="s">
        <v>815</v>
      </c>
      <c r="E29" s="1043"/>
      <c r="F29" s="1043"/>
      <c r="G29" s="1043"/>
      <c r="H29" s="1043"/>
      <c r="I29" s="1043"/>
      <c r="J29" s="1043"/>
      <c r="K29" s="1044"/>
    </row>
    <row r="30" spans="2:11" s="643" customFormat="1" ht="31.5" customHeight="1">
      <c r="B30" s="644" t="s">
        <v>52</v>
      </c>
      <c r="C30" s="644"/>
      <c r="D30" s="645" t="s">
        <v>402</v>
      </c>
      <c r="E30" s="646" t="s">
        <v>546</v>
      </c>
      <c r="F30" s="648">
        <v>0</v>
      </c>
      <c r="G30" s="648">
        <v>0</v>
      </c>
      <c r="H30" s="648">
        <v>1082115</v>
      </c>
      <c r="I30" s="648">
        <v>0</v>
      </c>
      <c r="J30" s="648">
        <v>0</v>
      </c>
      <c r="K30" s="649">
        <f>SUM(F30:J30)</f>
        <v>1082115</v>
      </c>
    </row>
    <row r="31" spans="2:11" s="643" customFormat="1" ht="23.25" customHeight="1">
      <c r="B31" s="644" t="s">
        <v>53</v>
      </c>
      <c r="C31" s="644"/>
      <c r="D31" s="645" t="s">
        <v>403</v>
      </c>
      <c r="E31" s="646" t="s">
        <v>387</v>
      </c>
      <c r="F31" s="648">
        <v>2802000</v>
      </c>
      <c r="G31" s="648">
        <v>490350</v>
      </c>
      <c r="H31" s="648">
        <v>290700</v>
      </c>
      <c r="I31" s="648">
        <v>0</v>
      </c>
      <c r="J31" s="648">
        <v>0</v>
      </c>
      <c r="K31" s="649">
        <f>SUM(F31:J31)</f>
        <v>3583050</v>
      </c>
    </row>
    <row r="32" spans="2:11" s="643" customFormat="1" ht="33" customHeight="1">
      <c r="B32" s="644"/>
      <c r="C32" s="644"/>
      <c r="D32" s="645" t="s">
        <v>404</v>
      </c>
      <c r="E32" s="646" t="s">
        <v>781</v>
      </c>
      <c r="F32" s="648">
        <v>11931088</v>
      </c>
      <c r="G32" s="648">
        <v>2122958</v>
      </c>
      <c r="H32" s="648">
        <f>14446890-317500+144779</f>
        <v>14274169</v>
      </c>
      <c r="I32" s="648">
        <f>304800-177800</f>
        <v>127000</v>
      </c>
      <c r="J32" s="648">
        <v>578000</v>
      </c>
      <c r="K32" s="649">
        <f>SUM(F32:J32)</f>
        <v>29033215</v>
      </c>
    </row>
    <row r="33" spans="2:11" s="643" customFormat="1" ht="33" customHeight="1">
      <c r="B33" s="644"/>
      <c r="C33" s="644"/>
      <c r="D33" s="650" t="s">
        <v>405</v>
      </c>
      <c r="E33" s="651" t="s">
        <v>918</v>
      </c>
      <c r="F33" s="652">
        <f>1980314-775591</f>
        <v>1204723</v>
      </c>
      <c r="G33" s="652">
        <f>964502-377745</f>
        <v>586757</v>
      </c>
      <c r="H33" s="652">
        <f>7003586-2575544</f>
        <v>4428042</v>
      </c>
      <c r="I33" s="652">
        <v>0</v>
      </c>
      <c r="J33" s="652">
        <v>0</v>
      </c>
      <c r="K33" s="653">
        <f>SUM(F33:J33)</f>
        <v>6219522</v>
      </c>
    </row>
    <row r="34" spans="2:11" s="643" customFormat="1" ht="33" customHeight="1" thickBot="1">
      <c r="B34" s="644"/>
      <c r="C34" s="644"/>
      <c r="D34" s="650" t="s">
        <v>406</v>
      </c>
      <c r="E34" s="651" t="s">
        <v>835</v>
      </c>
      <c r="F34" s="652">
        <v>1800000</v>
      </c>
      <c r="G34" s="652">
        <v>315000</v>
      </c>
      <c r="H34" s="652">
        <v>3527681</v>
      </c>
      <c r="I34" s="652">
        <v>0</v>
      </c>
      <c r="J34" s="652">
        <v>0</v>
      </c>
      <c r="K34" s="653">
        <f>SUM(F34:J34)</f>
        <v>5642681</v>
      </c>
    </row>
    <row r="35" spans="1:14" s="654" customFormat="1" ht="24" customHeight="1" thickBot="1">
      <c r="A35" s="654">
        <v>999997</v>
      </c>
      <c r="B35" s="655"/>
      <c r="D35" s="656" t="s">
        <v>407</v>
      </c>
      <c r="E35" s="657" t="s">
        <v>367</v>
      </c>
      <c r="F35" s="658">
        <f aca="true" t="shared" si="3" ref="F35:K35">SUM(F29:F34)</f>
        <v>17737811</v>
      </c>
      <c r="G35" s="658">
        <f t="shared" si="3"/>
        <v>3515065</v>
      </c>
      <c r="H35" s="658">
        <f t="shared" si="3"/>
        <v>23602707</v>
      </c>
      <c r="I35" s="658">
        <f t="shared" si="3"/>
        <v>127000</v>
      </c>
      <c r="J35" s="658">
        <f t="shared" si="3"/>
        <v>578000</v>
      </c>
      <c r="K35" s="798">
        <f t="shared" si="3"/>
        <v>45560583</v>
      </c>
      <c r="L35" s="660">
        <f>SUM(F35:J35)</f>
        <v>45560583</v>
      </c>
      <c r="M35" s="661"/>
      <c r="N35" s="661"/>
    </row>
  </sheetData>
  <sheetProtection/>
  <mergeCells count="10">
    <mergeCell ref="D4:K4"/>
    <mergeCell ref="D17:K17"/>
    <mergeCell ref="D29:K29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9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185" customWidth="1"/>
    <col min="2" max="2" width="31.75390625" style="185" customWidth="1"/>
    <col min="3" max="3" width="14.375" style="185" customWidth="1"/>
    <col min="4" max="5" width="14.375" style="185" bestFit="1" customWidth="1"/>
    <col min="6" max="6" width="16.25390625" style="185" bestFit="1" customWidth="1"/>
    <col min="7" max="8" width="14.625" style="185" bestFit="1" customWidth="1"/>
    <col min="9" max="9" width="16.25390625" style="185" bestFit="1" customWidth="1"/>
    <col min="10" max="11" width="12.875" style="185" customWidth="1"/>
    <col min="12" max="12" width="15.00390625" style="185" customWidth="1"/>
    <col min="13" max="13" width="17.00390625" style="185" bestFit="1" customWidth="1"/>
    <col min="14" max="15" width="9.125" style="185" customWidth="1"/>
    <col min="16" max="16" width="12.875" style="185" bestFit="1" customWidth="1"/>
    <col min="17" max="16384" width="9.125" style="185" customWidth="1"/>
  </cols>
  <sheetData>
    <row r="1" spans="1:21" ht="12.75">
      <c r="A1" s="251"/>
      <c r="B1" s="252"/>
      <c r="C1" s="253"/>
      <c r="D1" s="253"/>
      <c r="E1" s="253"/>
      <c r="F1" s="253"/>
      <c r="G1" s="1073" t="s">
        <v>1052</v>
      </c>
      <c r="H1" s="1073"/>
      <c r="I1" s="1074"/>
      <c r="J1" s="1074"/>
      <c r="K1" s="1074"/>
      <c r="L1" s="1074"/>
      <c r="M1" s="1074"/>
      <c r="N1" s="252"/>
      <c r="O1" s="252"/>
      <c r="P1" s="252"/>
      <c r="Q1" s="252"/>
      <c r="R1" s="254"/>
      <c r="S1" s="254"/>
      <c r="T1" s="254"/>
      <c r="U1" s="252"/>
    </row>
    <row r="2" spans="1:21" ht="12.75">
      <c r="A2" s="251"/>
      <c r="B2" s="252"/>
      <c r="C2" s="253"/>
      <c r="D2" s="253"/>
      <c r="E2" s="253"/>
      <c r="F2" s="253"/>
      <c r="G2" s="255"/>
      <c r="H2" s="255"/>
      <c r="I2" s="256"/>
      <c r="J2" s="256"/>
      <c r="K2" s="256"/>
      <c r="L2" s="256"/>
      <c r="M2" s="256"/>
      <c r="N2" s="252"/>
      <c r="O2" s="252"/>
      <c r="P2" s="252"/>
      <c r="Q2" s="252"/>
      <c r="R2" s="254"/>
      <c r="S2" s="254"/>
      <c r="T2" s="254"/>
      <c r="U2" s="252"/>
    </row>
    <row r="3" spans="1:27" ht="15.75" customHeight="1">
      <c r="A3" s="1078" t="s">
        <v>957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ht="13.5" thickBot="1">
      <c r="A4" s="1078"/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27" ht="16.5" thickBot="1">
      <c r="A5" s="1066" t="s">
        <v>441</v>
      </c>
      <c r="B5" s="1063" t="s">
        <v>363</v>
      </c>
      <c r="C5" s="1069" t="s">
        <v>490</v>
      </c>
      <c r="D5" s="1069"/>
      <c r="E5" s="1069"/>
      <c r="F5" s="1069"/>
      <c r="G5" s="1069"/>
      <c r="H5" s="1069"/>
      <c r="I5" s="1069"/>
      <c r="J5" s="1069"/>
      <c r="K5" s="1069"/>
      <c r="L5" s="1069"/>
      <c r="M5" s="1070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9"/>
    </row>
    <row r="6" spans="1:13" ht="12.75" customHeight="1">
      <c r="A6" s="1067"/>
      <c r="B6" s="1064"/>
      <c r="C6" s="1079" t="s">
        <v>491</v>
      </c>
      <c r="D6" s="1054" t="s">
        <v>492</v>
      </c>
      <c r="E6" s="1055"/>
      <c r="F6" s="1056"/>
      <c r="G6" s="1054" t="s">
        <v>493</v>
      </c>
      <c r="H6" s="1055"/>
      <c r="I6" s="1056"/>
      <c r="J6" s="1054" t="s">
        <v>494</v>
      </c>
      <c r="K6" s="1055"/>
      <c r="L6" s="1056"/>
      <c r="M6" s="1075" t="s">
        <v>372</v>
      </c>
    </row>
    <row r="7" spans="1:13" ht="12.75" customHeight="1">
      <c r="A7" s="1067"/>
      <c r="B7" s="1064"/>
      <c r="C7" s="1080"/>
      <c r="D7" s="1057"/>
      <c r="E7" s="1058"/>
      <c r="F7" s="1059"/>
      <c r="G7" s="1057"/>
      <c r="H7" s="1058"/>
      <c r="I7" s="1059"/>
      <c r="J7" s="1057"/>
      <c r="K7" s="1058"/>
      <c r="L7" s="1059"/>
      <c r="M7" s="1076"/>
    </row>
    <row r="8" spans="1:13" ht="24" customHeight="1" thickBot="1">
      <c r="A8" s="1068"/>
      <c r="B8" s="1065"/>
      <c r="C8" s="1081"/>
      <c r="D8" s="260" t="s">
        <v>84</v>
      </c>
      <c r="E8" s="261" t="s">
        <v>85</v>
      </c>
      <c r="F8" s="262" t="s">
        <v>89</v>
      </c>
      <c r="G8" s="263" t="s">
        <v>84</v>
      </c>
      <c r="H8" s="261" t="s">
        <v>85</v>
      </c>
      <c r="I8" s="262" t="s">
        <v>89</v>
      </c>
      <c r="J8" s="263" t="s">
        <v>84</v>
      </c>
      <c r="K8" s="261" t="s">
        <v>85</v>
      </c>
      <c r="L8" s="262" t="s">
        <v>89</v>
      </c>
      <c r="M8" s="1077"/>
    </row>
    <row r="9" spans="1:13" ht="29.25" customHeight="1">
      <c r="A9" s="264" t="s">
        <v>402</v>
      </c>
      <c r="B9" s="265" t="s">
        <v>59</v>
      </c>
      <c r="C9" s="266" t="s">
        <v>725</v>
      </c>
      <c r="D9" s="267">
        <f>80745240-70000</f>
        <v>80675240</v>
      </c>
      <c r="E9" s="663"/>
      <c r="F9" s="269">
        <f>SUM(D9:E9)</f>
        <v>80675240</v>
      </c>
      <c r="G9" s="668"/>
      <c r="H9" s="663"/>
      <c r="I9" s="269">
        <f>SUM(G9:H9)</f>
        <v>0</v>
      </c>
      <c r="J9" s="271"/>
      <c r="K9" s="272"/>
      <c r="L9" s="269">
        <f>SUM(J9:K9)</f>
        <v>0</v>
      </c>
      <c r="M9" s="273">
        <f aca="true" t="shared" si="0" ref="M9:M49">SUM(F9+I9+L9)</f>
        <v>80675240</v>
      </c>
    </row>
    <row r="10" spans="1:13" ht="29.25" customHeight="1">
      <c r="A10" s="274" t="s">
        <v>403</v>
      </c>
      <c r="B10" s="276" t="s">
        <v>56</v>
      </c>
      <c r="C10" s="275" t="s">
        <v>715</v>
      </c>
      <c r="D10" s="267">
        <f>69965834-4779000</f>
        <v>65186834</v>
      </c>
      <c r="E10" s="268">
        <f>5000000+449520+8794813</f>
        <v>14244333</v>
      </c>
      <c r="F10" s="269">
        <f aca="true" t="shared" si="1" ref="F10:F49">SUM(D10:E10)</f>
        <v>79431167</v>
      </c>
      <c r="G10" s="270">
        <f>12645870-54000+500000</f>
        <v>13091870</v>
      </c>
      <c r="H10" s="268">
        <v>447341169</v>
      </c>
      <c r="I10" s="269">
        <f aca="true" t="shared" si="2" ref="I10:I49">SUM(G10:H10)</f>
        <v>460433039</v>
      </c>
      <c r="J10" s="271"/>
      <c r="K10" s="272"/>
      <c r="L10" s="269">
        <f aca="true" t="shared" si="3" ref="L10:L49">SUM(J10:K10)</f>
        <v>0</v>
      </c>
      <c r="M10" s="273">
        <f t="shared" si="0"/>
        <v>539864206</v>
      </c>
    </row>
    <row r="11" spans="1:13" ht="21.75" customHeight="1">
      <c r="A11" s="274" t="s">
        <v>404</v>
      </c>
      <c r="B11" s="291" t="s">
        <v>641</v>
      </c>
      <c r="C11" s="269" t="s">
        <v>782</v>
      </c>
      <c r="D11" s="278">
        <v>19299537</v>
      </c>
      <c r="E11" s="665"/>
      <c r="F11" s="269">
        <f t="shared" si="1"/>
        <v>19299537</v>
      </c>
      <c r="G11" s="669"/>
      <c r="H11" s="665"/>
      <c r="I11" s="269">
        <f t="shared" si="2"/>
        <v>0</v>
      </c>
      <c r="J11" s="281"/>
      <c r="K11" s="282"/>
      <c r="L11" s="269">
        <f t="shared" si="3"/>
        <v>0</v>
      </c>
      <c r="M11" s="273">
        <f t="shared" si="0"/>
        <v>19299537</v>
      </c>
    </row>
    <row r="12" spans="1:13" ht="29.25" customHeight="1">
      <c r="A12" s="274" t="s">
        <v>405</v>
      </c>
      <c r="B12" s="276" t="s">
        <v>64</v>
      </c>
      <c r="C12" s="269" t="s">
        <v>978</v>
      </c>
      <c r="D12" s="662"/>
      <c r="E12" s="663"/>
      <c r="F12" s="269">
        <f t="shared" si="1"/>
        <v>0</v>
      </c>
      <c r="G12" s="668"/>
      <c r="H12" s="663"/>
      <c r="I12" s="269">
        <f t="shared" si="2"/>
        <v>0</v>
      </c>
      <c r="J12" s="271">
        <v>12311385</v>
      </c>
      <c r="K12" s="272"/>
      <c r="L12" s="269">
        <f t="shared" si="3"/>
        <v>12311385</v>
      </c>
      <c r="M12" s="273">
        <f t="shared" si="0"/>
        <v>12311385</v>
      </c>
    </row>
    <row r="13" spans="1:13" ht="29.25" customHeight="1">
      <c r="A13" s="274" t="s">
        <v>406</v>
      </c>
      <c r="B13" s="276" t="s">
        <v>773</v>
      </c>
      <c r="C13" s="275" t="s">
        <v>979</v>
      </c>
      <c r="D13" s="267">
        <v>4016545</v>
      </c>
      <c r="E13" s="268"/>
      <c r="F13" s="269">
        <f t="shared" si="1"/>
        <v>4016545</v>
      </c>
      <c r="G13" s="668"/>
      <c r="H13" s="663"/>
      <c r="I13" s="269">
        <f t="shared" si="2"/>
        <v>0</v>
      </c>
      <c r="J13" s="271"/>
      <c r="K13" s="272"/>
      <c r="L13" s="269">
        <f t="shared" si="3"/>
        <v>0</v>
      </c>
      <c r="M13" s="273">
        <f t="shared" si="0"/>
        <v>4016545</v>
      </c>
    </row>
    <row r="14" spans="1:13" ht="29.25" customHeight="1">
      <c r="A14" s="274" t="s">
        <v>407</v>
      </c>
      <c r="B14" s="276" t="s">
        <v>774</v>
      </c>
      <c r="C14" s="275" t="s">
        <v>979</v>
      </c>
      <c r="D14" s="267">
        <v>13227888</v>
      </c>
      <c r="E14" s="663"/>
      <c r="F14" s="269">
        <f t="shared" si="1"/>
        <v>13227888</v>
      </c>
      <c r="G14" s="668"/>
      <c r="H14" s="663"/>
      <c r="I14" s="269">
        <f t="shared" si="2"/>
        <v>0</v>
      </c>
      <c r="J14" s="271"/>
      <c r="K14" s="272"/>
      <c r="L14" s="269">
        <f t="shared" si="3"/>
        <v>0</v>
      </c>
      <c r="M14" s="273">
        <f t="shared" si="0"/>
        <v>13227888</v>
      </c>
    </row>
    <row r="15" spans="1:13" ht="21.75" customHeight="1">
      <c r="A15" s="274" t="s">
        <v>408</v>
      </c>
      <c r="B15" s="291" t="s">
        <v>912</v>
      </c>
      <c r="C15" s="275" t="s">
        <v>716</v>
      </c>
      <c r="D15" s="664"/>
      <c r="E15" s="279">
        <f>25000000-20000000</f>
        <v>5000000</v>
      </c>
      <c r="F15" s="269">
        <f t="shared" si="1"/>
        <v>5000000</v>
      </c>
      <c r="G15" s="669"/>
      <c r="H15" s="279"/>
      <c r="I15" s="269">
        <f t="shared" si="2"/>
        <v>0</v>
      </c>
      <c r="J15" s="281"/>
      <c r="K15" s="282"/>
      <c r="L15" s="269">
        <f t="shared" si="3"/>
        <v>0</v>
      </c>
      <c r="M15" s="273">
        <f t="shared" si="0"/>
        <v>5000000</v>
      </c>
    </row>
    <row r="16" spans="1:13" ht="29.25" customHeight="1">
      <c r="A16" s="277" t="s">
        <v>409</v>
      </c>
      <c r="B16" s="276" t="s">
        <v>345</v>
      </c>
      <c r="C16" s="275" t="s">
        <v>716</v>
      </c>
      <c r="D16" s="267">
        <v>15377340</v>
      </c>
      <c r="E16" s="268">
        <v>363120</v>
      </c>
      <c r="F16" s="269">
        <f t="shared" si="1"/>
        <v>15740460</v>
      </c>
      <c r="G16" s="668"/>
      <c r="H16" s="663"/>
      <c r="I16" s="269">
        <f t="shared" si="2"/>
        <v>0</v>
      </c>
      <c r="J16" s="271"/>
      <c r="K16" s="272"/>
      <c r="L16" s="269">
        <f t="shared" si="3"/>
        <v>0</v>
      </c>
      <c r="M16" s="273">
        <f t="shared" si="0"/>
        <v>15740460</v>
      </c>
    </row>
    <row r="17" spans="1:13" ht="29.25" customHeight="1">
      <c r="A17" s="274" t="s">
        <v>410</v>
      </c>
      <c r="B17" s="276" t="s">
        <v>66</v>
      </c>
      <c r="C17" s="275" t="s">
        <v>717</v>
      </c>
      <c r="D17" s="267">
        <v>5249710</v>
      </c>
      <c r="E17" s="268">
        <v>101682090</v>
      </c>
      <c r="F17" s="269">
        <f t="shared" si="1"/>
        <v>106931800</v>
      </c>
      <c r="G17" s="668"/>
      <c r="H17" s="663"/>
      <c r="I17" s="269">
        <f t="shared" si="2"/>
        <v>0</v>
      </c>
      <c r="J17" s="271"/>
      <c r="K17" s="272"/>
      <c r="L17" s="269">
        <f t="shared" si="3"/>
        <v>0</v>
      </c>
      <c r="M17" s="273">
        <f t="shared" si="0"/>
        <v>106931800</v>
      </c>
    </row>
    <row r="18" spans="1:13" ht="29.25" customHeight="1">
      <c r="A18" s="274" t="s">
        <v>411</v>
      </c>
      <c r="B18" s="276" t="s">
        <v>840</v>
      </c>
      <c r="C18" s="275"/>
      <c r="D18" s="267"/>
      <c r="E18" s="268"/>
      <c r="F18" s="269">
        <f t="shared" si="1"/>
        <v>0</v>
      </c>
      <c r="G18" s="270">
        <v>4571244</v>
      </c>
      <c r="H18" s="268">
        <v>187978206</v>
      </c>
      <c r="I18" s="269">
        <f t="shared" si="2"/>
        <v>192549450</v>
      </c>
      <c r="J18" s="271"/>
      <c r="K18" s="272"/>
      <c r="L18" s="269">
        <f t="shared" si="3"/>
        <v>0</v>
      </c>
      <c r="M18" s="273">
        <f t="shared" si="0"/>
        <v>192549450</v>
      </c>
    </row>
    <row r="19" spans="1:13" ht="30.75" customHeight="1">
      <c r="A19" s="274" t="s">
        <v>412</v>
      </c>
      <c r="B19" s="276" t="s">
        <v>50</v>
      </c>
      <c r="C19" s="275" t="s">
        <v>718</v>
      </c>
      <c r="D19" s="278">
        <v>3416864</v>
      </c>
      <c r="E19" s="665"/>
      <c r="F19" s="269">
        <f t="shared" si="1"/>
        <v>3416864</v>
      </c>
      <c r="G19" s="669"/>
      <c r="H19" s="665"/>
      <c r="I19" s="269">
        <f t="shared" si="2"/>
        <v>0</v>
      </c>
      <c r="J19" s="281"/>
      <c r="K19" s="282"/>
      <c r="L19" s="269">
        <f t="shared" si="3"/>
        <v>0</v>
      </c>
      <c r="M19" s="273">
        <f t="shared" si="0"/>
        <v>3416864</v>
      </c>
    </row>
    <row r="20" spans="1:13" ht="31.5" customHeight="1">
      <c r="A20" s="274" t="s">
        <v>413</v>
      </c>
      <c r="B20" s="276" t="s">
        <v>379</v>
      </c>
      <c r="C20" s="275" t="s">
        <v>719</v>
      </c>
      <c r="D20" s="278">
        <v>9798424</v>
      </c>
      <c r="E20" s="279">
        <v>1000000</v>
      </c>
      <c r="F20" s="269">
        <f t="shared" si="1"/>
        <v>10798424</v>
      </c>
      <c r="G20" s="669"/>
      <c r="H20" s="665"/>
      <c r="I20" s="269">
        <f t="shared" si="2"/>
        <v>0</v>
      </c>
      <c r="J20" s="281"/>
      <c r="K20" s="282"/>
      <c r="L20" s="269">
        <f t="shared" si="3"/>
        <v>0</v>
      </c>
      <c r="M20" s="273">
        <f t="shared" si="0"/>
        <v>10798424</v>
      </c>
    </row>
    <row r="21" spans="1:13" ht="31.5" customHeight="1">
      <c r="A21" s="274" t="s">
        <v>414</v>
      </c>
      <c r="B21" s="276" t="s">
        <v>841</v>
      </c>
      <c r="C21" s="275" t="s">
        <v>980</v>
      </c>
      <c r="D21" s="278">
        <v>4276480</v>
      </c>
      <c r="E21" s="279">
        <f>1940000+5000000</f>
        <v>6940000</v>
      </c>
      <c r="F21" s="269">
        <f t="shared" si="1"/>
        <v>11216480</v>
      </c>
      <c r="G21" s="669"/>
      <c r="H21" s="665"/>
      <c r="I21" s="269">
        <f t="shared" si="2"/>
        <v>0</v>
      </c>
      <c r="J21" s="281"/>
      <c r="K21" s="282"/>
      <c r="L21" s="269">
        <f t="shared" si="3"/>
        <v>0</v>
      </c>
      <c r="M21" s="273">
        <f t="shared" si="0"/>
        <v>11216480</v>
      </c>
    </row>
    <row r="22" spans="1:13" ht="31.5" customHeight="1">
      <c r="A22" s="274" t="s">
        <v>415</v>
      </c>
      <c r="B22" s="276" t="s">
        <v>842</v>
      </c>
      <c r="C22" s="275" t="s">
        <v>717</v>
      </c>
      <c r="D22" s="278">
        <v>1377000</v>
      </c>
      <c r="E22" s="279">
        <v>21830061</v>
      </c>
      <c r="F22" s="269">
        <f t="shared" si="1"/>
        <v>23207061</v>
      </c>
      <c r="G22" s="669"/>
      <c r="H22" s="665"/>
      <c r="I22" s="269">
        <f t="shared" si="2"/>
        <v>0</v>
      </c>
      <c r="J22" s="281"/>
      <c r="K22" s="282"/>
      <c r="L22" s="269">
        <f t="shared" si="3"/>
        <v>0</v>
      </c>
      <c r="M22" s="273">
        <f t="shared" si="0"/>
        <v>23207061</v>
      </c>
    </row>
    <row r="23" spans="1:13" ht="31.5" customHeight="1">
      <c r="A23" s="274" t="s">
        <v>416</v>
      </c>
      <c r="B23" s="276" t="s">
        <v>913</v>
      </c>
      <c r="C23" s="275"/>
      <c r="D23" s="278"/>
      <c r="E23" s="279"/>
      <c r="F23" s="269">
        <f t="shared" si="1"/>
        <v>0</v>
      </c>
      <c r="G23" s="280">
        <f>1044000+164430+640554-254000</f>
        <v>1594984</v>
      </c>
      <c r="H23" s="279">
        <v>973100</v>
      </c>
      <c r="I23" s="269">
        <f t="shared" si="2"/>
        <v>2568084</v>
      </c>
      <c r="J23" s="281"/>
      <c r="K23" s="282"/>
      <c r="L23" s="269">
        <f t="shared" si="3"/>
        <v>0</v>
      </c>
      <c r="M23" s="273">
        <f t="shared" si="0"/>
        <v>2568084</v>
      </c>
    </row>
    <row r="24" spans="1:13" ht="31.5" customHeight="1">
      <c r="A24" s="274" t="s">
        <v>417</v>
      </c>
      <c r="B24" s="276" t="s">
        <v>843</v>
      </c>
      <c r="C24" s="286" t="s">
        <v>981</v>
      </c>
      <c r="D24" s="278">
        <f>609406+143206+4667808</f>
        <v>5420420</v>
      </c>
      <c r="E24" s="279">
        <f>19510500+91442680+863600-1730500</f>
        <v>110086280</v>
      </c>
      <c r="F24" s="269">
        <f t="shared" si="1"/>
        <v>115506700</v>
      </c>
      <c r="G24" s="669"/>
      <c r="H24" s="279"/>
      <c r="I24" s="269">
        <f t="shared" si="2"/>
        <v>0</v>
      </c>
      <c r="J24" s="281"/>
      <c r="K24" s="282"/>
      <c r="L24" s="269">
        <f t="shared" si="3"/>
        <v>0</v>
      </c>
      <c r="M24" s="273">
        <f t="shared" si="0"/>
        <v>115506700</v>
      </c>
    </row>
    <row r="25" spans="1:13" ht="21.75" customHeight="1">
      <c r="A25" s="274" t="s">
        <v>418</v>
      </c>
      <c r="B25" s="291" t="s">
        <v>776</v>
      </c>
      <c r="C25" s="286" t="s">
        <v>982</v>
      </c>
      <c r="D25" s="278">
        <v>416194</v>
      </c>
      <c r="E25" s="279">
        <v>6759599</v>
      </c>
      <c r="F25" s="269">
        <f t="shared" si="1"/>
        <v>7175793</v>
      </c>
      <c r="G25" s="669"/>
      <c r="H25" s="665"/>
      <c r="I25" s="269">
        <f t="shared" si="2"/>
        <v>0</v>
      </c>
      <c r="J25" s="281"/>
      <c r="K25" s="282"/>
      <c r="L25" s="269">
        <f t="shared" si="3"/>
        <v>0</v>
      </c>
      <c r="M25" s="273">
        <f t="shared" si="0"/>
        <v>7175793</v>
      </c>
    </row>
    <row r="26" spans="1:13" ht="21.75" customHeight="1">
      <c r="A26" s="274" t="s">
        <v>419</v>
      </c>
      <c r="B26" s="291" t="s">
        <v>382</v>
      </c>
      <c r="C26" s="286" t="s">
        <v>716</v>
      </c>
      <c r="D26" s="278">
        <v>24094440</v>
      </c>
      <c r="E26" s="279">
        <v>2794000</v>
      </c>
      <c r="F26" s="269">
        <f t="shared" si="1"/>
        <v>26888440</v>
      </c>
      <c r="G26" s="669"/>
      <c r="H26" s="665"/>
      <c r="I26" s="269">
        <f t="shared" si="2"/>
        <v>0</v>
      </c>
      <c r="J26" s="281"/>
      <c r="K26" s="282"/>
      <c r="L26" s="269">
        <f t="shared" si="3"/>
        <v>0</v>
      </c>
      <c r="M26" s="273">
        <f t="shared" si="0"/>
        <v>26888440</v>
      </c>
    </row>
    <row r="27" spans="1:13" ht="21.75" customHeight="1">
      <c r="A27" s="274" t="s">
        <v>420</v>
      </c>
      <c r="B27" s="291" t="s">
        <v>380</v>
      </c>
      <c r="C27" s="286" t="s">
        <v>716</v>
      </c>
      <c r="D27" s="278">
        <f>34917000-1444000</f>
        <v>33473000</v>
      </c>
      <c r="E27" s="279"/>
      <c r="F27" s="269">
        <f t="shared" si="1"/>
        <v>33473000</v>
      </c>
      <c r="G27" s="669"/>
      <c r="H27" s="665"/>
      <c r="I27" s="269">
        <f t="shared" si="2"/>
        <v>0</v>
      </c>
      <c r="J27" s="281"/>
      <c r="K27" s="282"/>
      <c r="L27" s="269">
        <f t="shared" si="3"/>
        <v>0</v>
      </c>
      <c r="M27" s="273">
        <f t="shared" si="0"/>
        <v>33473000</v>
      </c>
    </row>
    <row r="28" spans="1:13" ht="22.5" customHeight="1">
      <c r="A28" s="274" t="s">
        <v>421</v>
      </c>
      <c r="B28" s="291" t="s">
        <v>82</v>
      </c>
      <c r="C28" s="934" t="s">
        <v>983</v>
      </c>
      <c r="D28" s="278">
        <f>25000+3938+14028933-1454446+14018000-6364000-3280000+38197</f>
        <v>17015622</v>
      </c>
      <c r="E28" s="279">
        <f>3348220+2000000</f>
        <v>5348220</v>
      </c>
      <c r="F28" s="269">
        <f t="shared" si="1"/>
        <v>22363842</v>
      </c>
      <c r="G28" s="280">
        <v>1454446</v>
      </c>
      <c r="H28" s="665"/>
      <c r="I28" s="269">
        <f t="shared" si="2"/>
        <v>1454446</v>
      </c>
      <c r="J28" s="281"/>
      <c r="K28" s="282"/>
      <c r="L28" s="269">
        <f t="shared" si="3"/>
        <v>0</v>
      </c>
      <c r="M28" s="273">
        <f t="shared" si="0"/>
        <v>23818288</v>
      </c>
    </row>
    <row r="29" spans="1:13" ht="23.25" customHeight="1">
      <c r="A29" s="274" t="s">
        <v>422</v>
      </c>
      <c r="B29" s="291" t="s">
        <v>384</v>
      </c>
      <c r="C29" s="286" t="s">
        <v>984</v>
      </c>
      <c r="D29" s="278">
        <v>360000</v>
      </c>
      <c r="E29" s="665"/>
      <c r="F29" s="269">
        <f t="shared" si="1"/>
        <v>360000</v>
      </c>
      <c r="G29" s="669"/>
      <c r="H29" s="665"/>
      <c r="I29" s="269">
        <f t="shared" si="2"/>
        <v>0</v>
      </c>
      <c r="J29" s="281"/>
      <c r="K29" s="282"/>
      <c r="L29" s="269">
        <f t="shared" si="3"/>
        <v>0</v>
      </c>
      <c r="M29" s="273">
        <f t="shared" si="0"/>
        <v>360000</v>
      </c>
    </row>
    <row r="30" spans="1:13" ht="22.5" customHeight="1">
      <c r="A30" s="274" t="s">
        <v>423</v>
      </c>
      <c r="B30" s="291" t="s">
        <v>385</v>
      </c>
      <c r="C30" s="286" t="s">
        <v>984</v>
      </c>
      <c r="D30" s="278">
        <v>27644450</v>
      </c>
      <c r="E30" s="279"/>
      <c r="F30" s="269">
        <f t="shared" si="1"/>
        <v>27644450</v>
      </c>
      <c r="G30" s="669"/>
      <c r="H30" s="665"/>
      <c r="I30" s="269">
        <f t="shared" si="2"/>
        <v>0</v>
      </c>
      <c r="J30" s="281"/>
      <c r="K30" s="282"/>
      <c r="L30" s="269">
        <f t="shared" si="3"/>
        <v>0</v>
      </c>
      <c r="M30" s="273">
        <f t="shared" si="0"/>
        <v>27644450</v>
      </c>
    </row>
    <row r="31" spans="1:13" ht="22.5" customHeight="1">
      <c r="A31" s="274" t="s">
        <v>495</v>
      </c>
      <c r="B31" s="291" t="s">
        <v>386</v>
      </c>
      <c r="C31" s="286" t="s">
        <v>720</v>
      </c>
      <c r="D31" s="278">
        <v>120000</v>
      </c>
      <c r="E31" s="665"/>
      <c r="F31" s="269">
        <f t="shared" si="1"/>
        <v>120000</v>
      </c>
      <c r="G31" s="669"/>
      <c r="H31" s="665"/>
      <c r="I31" s="269">
        <f t="shared" si="2"/>
        <v>0</v>
      </c>
      <c r="J31" s="281"/>
      <c r="K31" s="282"/>
      <c r="L31" s="269">
        <f t="shared" si="3"/>
        <v>0</v>
      </c>
      <c r="M31" s="273">
        <f t="shared" si="0"/>
        <v>120000</v>
      </c>
    </row>
    <row r="32" spans="1:13" ht="29.25" customHeight="1">
      <c r="A32" s="274" t="s">
        <v>496</v>
      </c>
      <c r="B32" s="276" t="s">
        <v>727</v>
      </c>
      <c r="C32" s="275" t="s">
        <v>984</v>
      </c>
      <c r="D32" s="278">
        <f>27396716+4793101+2949420</f>
        <v>35139237</v>
      </c>
      <c r="E32" s="279">
        <v>190500</v>
      </c>
      <c r="F32" s="269">
        <f t="shared" si="1"/>
        <v>35329737</v>
      </c>
      <c r="G32" s="669"/>
      <c r="H32" s="665"/>
      <c r="I32" s="269">
        <f t="shared" si="2"/>
        <v>0</v>
      </c>
      <c r="J32" s="281"/>
      <c r="K32" s="282"/>
      <c r="L32" s="269">
        <f t="shared" si="3"/>
        <v>0</v>
      </c>
      <c r="M32" s="273">
        <f t="shared" si="0"/>
        <v>35329737</v>
      </c>
    </row>
    <row r="33" spans="1:13" ht="29.25" customHeight="1">
      <c r="A33" s="274" t="s">
        <v>497</v>
      </c>
      <c r="B33" s="283" t="s">
        <v>81</v>
      </c>
      <c r="C33" s="269" t="s">
        <v>721</v>
      </c>
      <c r="D33" s="278">
        <f>16949000+1500000</f>
        <v>18449000</v>
      </c>
      <c r="E33" s="665"/>
      <c r="F33" s="269">
        <f t="shared" si="1"/>
        <v>18449000</v>
      </c>
      <c r="G33" s="670"/>
      <c r="H33" s="279"/>
      <c r="I33" s="269">
        <f t="shared" si="2"/>
        <v>0</v>
      </c>
      <c r="J33" s="281"/>
      <c r="K33" s="282"/>
      <c r="L33" s="269">
        <f t="shared" si="3"/>
        <v>0</v>
      </c>
      <c r="M33" s="273">
        <f t="shared" si="0"/>
        <v>18449000</v>
      </c>
    </row>
    <row r="34" spans="1:13" ht="29.25" customHeight="1">
      <c r="A34" s="274" t="s">
        <v>470</v>
      </c>
      <c r="B34" s="283" t="s">
        <v>872</v>
      </c>
      <c r="C34" s="269"/>
      <c r="D34" s="278"/>
      <c r="E34" s="665"/>
      <c r="F34" s="269">
        <f t="shared" si="1"/>
        <v>0</v>
      </c>
      <c r="G34" s="802">
        <v>15000</v>
      </c>
      <c r="H34" s="279"/>
      <c r="I34" s="269">
        <f t="shared" si="2"/>
        <v>15000</v>
      </c>
      <c r="J34" s="281"/>
      <c r="K34" s="282"/>
      <c r="L34" s="269">
        <f t="shared" si="3"/>
        <v>0</v>
      </c>
      <c r="M34" s="273">
        <f t="shared" si="0"/>
        <v>15000</v>
      </c>
    </row>
    <row r="35" spans="1:13" ht="30.75" customHeight="1">
      <c r="A35" s="274" t="s">
        <v>498</v>
      </c>
      <c r="B35" s="298" t="s">
        <v>613</v>
      </c>
      <c r="C35" s="269"/>
      <c r="D35" s="664"/>
      <c r="E35" s="665"/>
      <c r="F35" s="269">
        <f t="shared" si="1"/>
        <v>0</v>
      </c>
      <c r="G35" s="285">
        <f>80000+38963+1830220</f>
        <v>1949183</v>
      </c>
      <c r="H35" s="279">
        <v>730250</v>
      </c>
      <c r="I35" s="269">
        <f t="shared" si="2"/>
        <v>2679433</v>
      </c>
      <c r="J35" s="281"/>
      <c r="K35" s="282"/>
      <c r="L35" s="269">
        <f t="shared" si="3"/>
        <v>0</v>
      </c>
      <c r="M35" s="273">
        <f t="shared" si="0"/>
        <v>2679433</v>
      </c>
    </row>
    <row r="36" spans="1:13" ht="23.25" customHeight="1">
      <c r="A36" s="274" t="s">
        <v>424</v>
      </c>
      <c r="B36" s="276" t="s">
        <v>83</v>
      </c>
      <c r="C36" s="290"/>
      <c r="D36" s="666"/>
      <c r="E36" s="667"/>
      <c r="F36" s="269">
        <f t="shared" si="1"/>
        <v>0</v>
      </c>
      <c r="G36" s="289">
        <v>73660</v>
      </c>
      <c r="H36" s="667"/>
      <c r="I36" s="269">
        <f t="shared" si="2"/>
        <v>73660</v>
      </c>
      <c r="J36" s="281"/>
      <c r="K36" s="282"/>
      <c r="L36" s="269">
        <f t="shared" si="3"/>
        <v>0</v>
      </c>
      <c r="M36" s="273">
        <f t="shared" si="0"/>
        <v>73660</v>
      </c>
    </row>
    <row r="37" spans="1:13" ht="23.25" customHeight="1">
      <c r="A37" s="274" t="s">
        <v>425</v>
      </c>
      <c r="B37" s="276" t="s">
        <v>873</v>
      </c>
      <c r="C37" s="290"/>
      <c r="D37" s="666"/>
      <c r="E37" s="667"/>
      <c r="F37" s="269">
        <f t="shared" si="1"/>
        <v>0</v>
      </c>
      <c r="G37" s="289">
        <v>12229669</v>
      </c>
      <c r="H37" s="288"/>
      <c r="I37" s="269">
        <f t="shared" si="2"/>
        <v>12229669</v>
      </c>
      <c r="J37" s="281"/>
      <c r="K37" s="282"/>
      <c r="L37" s="269">
        <f t="shared" si="3"/>
        <v>0</v>
      </c>
      <c r="M37" s="273">
        <f t="shared" si="0"/>
        <v>12229669</v>
      </c>
    </row>
    <row r="38" spans="1:13" ht="23.25" customHeight="1">
      <c r="A38" s="274" t="s">
        <v>426</v>
      </c>
      <c r="B38" s="276" t="s">
        <v>846</v>
      </c>
      <c r="C38" s="269" t="s">
        <v>726</v>
      </c>
      <c r="D38" s="666"/>
      <c r="E38" s="288">
        <v>31599998</v>
      </c>
      <c r="F38" s="269">
        <f t="shared" si="1"/>
        <v>31599998</v>
      </c>
      <c r="G38" s="289"/>
      <c r="H38" s="667"/>
      <c r="I38" s="269">
        <f t="shared" si="2"/>
        <v>0</v>
      </c>
      <c r="J38" s="281"/>
      <c r="K38" s="282"/>
      <c r="L38" s="269">
        <f t="shared" si="3"/>
        <v>0</v>
      </c>
      <c r="M38" s="273">
        <f t="shared" si="0"/>
        <v>31599998</v>
      </c>
    </row>
    <row r="39" spans="1:13" ht="23.25" customHeight="1">
      <c r="A39" s="274" t="s">
        <v>499</v>
      </c>
      <c r="B39" s="276" t="s">
        <v>847</v>
      </c>
      <c r="C39" s="290"/>
      <c r="D39" s="666"/>
      <c r="E39" s="288"/>
      <c r="F39" s="269">
        <f t="shared" si="1"/>
        <v>0</v>
      </c>
      <c r="G39" s="289">
        <v>12302209</v>
      </c>
      <c r="H39" s="667"/>
      <c r="I39" s="269">
        <f t="shared" si="2"/>
        <v>12302209</v>
      </c>
      <c r="J39" s="281"/>
      <c r="K39" s="282"/>
      <c r="L39" s="269">
        <f t="shared" si="3"/>
        <v>0</v>
      </c>
      <c r="M39" s="273">
        <f t="shared" si="0"/>
        <v>12302209</v>
      </c>
    </row>
    <row r="40" spans="1:13" ht="24" customHeight="1">
      <c r="A40" s="274" t="s">
        <v>427</v>
      </c>
      <c r="B40" s="276" t="s">
        <v>648</v>
      </c>
      <c r="C40" s="284" t="s">
        <v>985</v>
      </c>
      <c r="D40" s="287">
        <f>2543600+445130+57876511</f>
        <v>60865241</v>
      </c>
      <c r="E40" s="288">
        <v>74930</v>
      </c>
      <c r="F40" s="269">
        <f t="shared" si="1"/>
        <v>60940171</v>
      </c>
      <c r="G40" s="671"/>
      <c r="H40" s="667"/>
      <c r="I40" s="269">
        <f t="shared" si="2"/>
        <v>0</v>
      </c>
      <c r="J40" s="281"/>
      <c r="K40" s="282"/>
      <c r="L40" s="269">
        <f t="shared" si="3"/>
        <v>0</v>
      </c>
      <c r="M40" s="273">
        <f t="shared" si="0"/>
        <v>60940171</v>
      </c>
    </row>
    <row r="41" spans="1:13" ht="21.75" customHeight="1">
      <c r="A41" s="274" t="s">
        <v>444</v>
      </c>
      <c r="B41" s="291" t="s">
        <v>710</v>
      </c>
      <c r="C41" s="286"/>
      <c r="D41" s="664"/>
      <c r="E41" s="665"/>
      <c r="F41" s="269">
        <f t="shared" si="1"/>
        <v>0</v>
      </c>
      <c r="G41" s="280">
        <v>21650000</v>
      </c>
      <c r="H41" s="665"/>
      <c r="I41" s="269">
        <f t="shared" si="2"/>
        <v>21650000</v>
      </c>
      <c r="J41" s="281"/>
      <c r="K41" s="282"/>
      <c r="L41" s="269">
        <f t="shared" si="3"/>
        <v>0</v>
      </c>
      <c r="M41" s="273">
        <f t="shared" si="0"/>
        <v>21650000</v>
      </c>
    </row>
    <row r="42" spans="1:13" ht="24" customHeight="1">
      <c r="A42" s="274" t="s">
        <v>500</v>
      </c>
      <c r="B42" s="276" t="s">
        <v>650</v>
      </c>
      <c r="C42" s="284" t="s">
        <v>735</v>
      </c>
      <c r="D42" s="287">
        <v>1812600</v>
      </c>
      <c r="E42" s="667"/>
      <c r="F42" s="269">
        <f t="shared" si="1"/>
        <v>1812600</v>
      </c>
      <c r="G42" s="671"/>
      <c r="H42" s="667"/>
      <c r="I42" s="269">
        <f t="shared" si="2"/>
        <v>0</v>
      </c>
      <c r="J42" s="281"/>
      <c r="K42" s="282"/>
      <c r="L42" s="269">
        <f t="shared" si="3"/>
        <v>0</v>
      </c>
      <c r="M42" s="273">
        <f>SUM(F42+I42+L42)</f>
        <v>1812600</v>
      </c>
    </row>
    <row r="43" spans="1:13" ht="29.25" customHeight="1">
      <c r="A43" s="274" t="s">
        <v>501</v>
      </c>
      <c r="B43" s="291" t="s">
        <v>777</v>
      </c>
      <c r="C43" s="286"/>
      <c r="D43" s="664"/>
      <c r="E43" s="665"/>
      <c r="F43" s="269">
        <f t="shared" si="1"/>
        <v>0</v>
      </c>
      <c r="G43" s="280">
        <v>46804899</v>
      </c>
      <c r="H43" s="279"/>
      <c r="I43" s="269">
        <f t="shared" si="2"/>
        <v>46804899</v>
      </c>
      <c r="J43" s="281"/>
      <c r="K43" s="282"/>
      <c r="L43" s="269">
        <f t="shared" si="3"/>
        <v>0</v>
      </c>
      <c r="M43" s="273">
        <f t="shared" si="0"/>
        <v>46804899</v>
      </c>
    </row>
    <row r="44" spans="1:13" ht="21.75" customHeight="1">
      <c r="A44" s="274" t="s">
        <v>852</v>
      </c>
      <c r="B44" s="291" t="s">
        <v>466</v>
      </c>
      <c r="C44" s="286" t="s">
        <v>724</v>
      </c>
      <c r="D44" s="278">
        <v>4632000</v>
      </c>
      <c r="E44" s="665"/>
      <c r="F44" s="269">
        <f t="shared" si="1"/>
        <v>4632000</v>
      </c>
      <c r="G44" s="669"/>
      <c r="H44" s="665"/>
      <c r="I44" s="269">
        <f t="shared" si="2"/>
        <v>0</v>
      </c>
      <c r="J44" s="281"/>
      <c r="K44" s="282"/>
      <c r="L44" s="269">
        <f t="shared" si="3"/>
        <v>0</v>
      </c>
      <c r="M44" s="273">
        <f t="shared" si="0"/>
        <v>4632000</v>
      </c>
    </row>
    <row r="45" spans="1:13" ht="21.75" customHeight="1">
      <c r="A45" s="274" t="s">
        <v>853</v>
      </c>
      <c r="B45" s="291" t="s">
        <v>849</v>
      </c>
      <c r="C45" s="286" t="s">
        <v>874</v>
      </c>
      <c r="D45" s="278">
        <v>2286000</v>
      </c>
      <c r="E45" s="665"/>
      <c r="F45" s="269">
        <f t="shared" si="1"/>
        <v>2286000</v>
      </c>
      <c r="G45" s="669"/>
      <c r="H45" s="665"/>
      <c r="I45" s="269">
        <f t="shared" si="2"/>
        <v>0</v>
      </c>
      <c r="J45" s="281"/>
      <c r="K45" s="282"/>
      <c r="L45" s="269">
        <f t="shared" si="3"/>
        <v>0</v>
      </c>
      <c r="M45" s="273">
        <f t="shared" si="0"/>
        <v>2286000</v>
      </c>
    </row>
    <row r="46" spans="1:13" ht="26.25" customHeight="1">
      <c r="A46" s="274" t="s">
        <v>854</v>
      </c>
      <c r="B46" s="276" t="s">
        <v>614</v>
      </c>
      <c r="C46" s="269" t="s">
        <v>731</v>
      </c>
      <c r="D46" s="278">
        <v>3804900</v>
      </c>
      <c r="E46" s="665"/>
      <c r="F46" s="269">
        <f t="shared" si="1"/>
        <v>3804900</v>
      </c>
      <c r="G46" s="669"/>
      <c r="H46" s="665"/>
      <c r="I46" s="269">
        <f t="shared" si="2"/>
        <v>0</v>
      </c>
      <c r="J46" s="281"/>
      <c r="K46" s="282"/>
      <c r="L46" s="269">
        <f t="shared" si="3"/>
        <v>0</v>
      </c>
      <c r="M46" s="273">
        <f t="shared" si="0"/>
        <v>3804900</v>
      </c>
    </row>
    <row r="47" spans="1:13" ht="26.25" customHeight="1">
      <c r="A47" s="274" t="s">
        <v>855</v>
      </c>
      <c r="B47" s="276" t="s">
        <v>851</v>
      </c>
      <c r="C47" s="275"/>
      <c r="D47" s="278"/>
      <c r="E47" s="665"/>
      <c r="F47" s="269">
        <f t="shared" si="1"/>
        <v>0</v>
      </c>
      <c r="G47" s="280">
        <f>18342800+3773040+22523810+1586250+1321875</f>
        <v>47547775</v>
      </c>
      <c r="H47" s="279">
        <f>2460790+523290</f>
        <v>2984080</v>
      </c>
      <c r="I47" s="269">
        <f t="shared" si="2"/>
        <v>50531855</v>
      </c>
      <c r="J47" s="281"/>
      <c r="K47" s="281"/>
      <c r="L47" s="269">
        <f t="shared" si="3"/>
        <v>0</v>
      </c>
      <c r="M47" s="273">
        <f t="shared" si="0"/>
        <v>50531855</v>
      </c>
    </row>
    <row r="48" spans="1:13" s="245" customFormat="1" ht="27.75" customHeight="1">
      <c r="A48" s="274" t="s">
        <v>856</v>
      </c>
      <c r="B48" s="276" t="s">
        <v>383</v>
      </c>
      <c r="C48" s="275" t="s">
        <v>725</v>
      </c>
      <c r="D48" s="278">
        <v>2350000</v>
      </c>
      <c r="E48" s="279"/>
      <c r="F48" s="269">
        <f t="shared" si="1"/>
        <v>2350000</v>
      </c>
      <c r="G48" s="278">
        <v>200000</v>
      </c>
      <c r="H48" s="665"/>
      <c r="I48" s="269">
        <f t="shared" si="2"/>
        <v>200000</v>
      </c>
      <c r="J48" s="293"/>
      <c r="K48" s="293"/>
      <c r="L48" s="269">
        <f t="shared" si="3"/>
        <v>0</v>
      </c>
      <c r="M48" s="273">
        <f t="shared" si="0"/>
        <v>2550000</v>
      </c>
    </row>
    <row r="49" spans="1:13" ht="24.75" customHeight="1" thickBot="1">
      <c r="A49" s="274" t="s">
        <v>857</v>
      </c>
      <c r="B49" s="276" t="s">
        <v>611</v>
      </c>
      <c r="C49" s="295"/>
      <c r="D49" s="675"/>
      <c r="E49" s="676"/>
      <c r="F49" s="269">
        <f t="shared" si="1"/>
        <v>0</v>
      </c>
      <c r="G49" s="677">
        <v>8285000</v>
      </c>
      <c r="H49" s="676"/>
      <c r="I49" s="269">
        <f t="shared" si="2"/>
        <v>8285000</v>
      </c>
      <c r="J49" s="678"/>
      <c r="K49" s="678"/>
      <c r="L49" s="269">
        <f t="shared" si="3"/>
        <v>0</v>
      </c>
      <c r="M49" s="679">
        <f t="shared" si="0"/>
        <v>8285000</v>
      </c>
    </row>
    <row r="50" spans="1:16" s="939" customFormat="1" ht="23.25" customHeight="1" thickBot="1">
      <c r="A50" s="1051" t="s">
        <v>711</v>
      </c>
      <c r="B50" s="1052"/>
      <c r="C50" s="1053"/>
      <c r="D50" s="936">
        <f aca="true" t="shared" si="4" ref="D50:M50">SUM(D9:D49)</f>
        <v>459784966</v>
      </c>
      <c r="E50" s="937">
        <f t="shared" si="4"/>
        <v>307913131</v>
      </c>
      <c r="F50" s="938">
        <f t="shared" si="4"/>
        <v>767698097</v>
      </c>
      <c r="G50" s="937">
        <f t="shared" si="4"/>
        <v>171769939</v>
      </c>
      <c r="H50" s="937">
        <f t="shared" si="4"/>
        <v>640006805</v>
      </c>
      <c r="I50" s="938">
        <f t="shared" si="4"/>
        <v>811776744</v>
      </c>
      <c r="J50" s="937">
        <f t="shared" si="4"/>
        <v>12311385</v>
      </c>
      <c r="K50" s="937">
        <f t="shared" si="4"/>
        <v>0</v>
      </c>
      <c r="L50" s="938">
        <f t="shared" si="4"/>
        <v>12311385</v>
      </c>
      <c r="M50" s="938">
        <f t="shared" si="4"/>
        <v>1591786226</v>
      </c>
      <c r="P50" s="946">
        <f>SUM(L50,I50,F50)</f>
        <v>1591786226</v>
      </c>
    </row>
    <row r="51" spans="1:16" ht="30.75" customHeight="1">
      <c r="A51" s="277" t="s">
        <v>402</v>
      </c>
      <c r="B51" s="276" t="s">
        <v>59</v>
      </c>
      <c r="C51" s="266" t="s">
        <v>725</v>
      </c>
      <c r="D51" s="296">
        <f>91562414+16696818+26913440</f>
        <v>135172672</v>
      </c>
      <c r="E51" s="297">
        <v>1934590</v>
      </c>
      <c r="F51" s="269">
        <f>SUM(D51:E51)</f>
        <v>137107262</v>
      </c>
      <c r="G51" s="296"/>
      <c r="H51" s="297"/>
      <c r="I51" s="266">
        <f>SUM(G51:H51)</f>
        <v>0</v>
      </c>
      <c r="J51" s="296"/>
      <c r="K51" s="297"/>
      <c r="L51" s="266">
        <f>SUM(J51:K51)</f>
        <v>0</v>
      </c>
      <c r="M51" s="273">
        <f>SUM(L51,I51,F51)</f>
        <v>137107262</v>
      </c>
      <c r="P51" s="940"/>
    </row>
    <row r="52" spans="1:16" ht="30.75" customHeight="1">
      <c r="A52" s="277" t="s">
        <v>403</v>
      </c>
      <c r="B52" s="276" t="s">
        <v>986</v>
      </c>
      <c r="C52" s="275"/>
      <c r="D52" s="267"/>
      <c r="E52" s="268"/>
      <c r="F52" s="269">
        <f>SUM(D52:E52)</f>
        <v>0</v>
      </c>
      <c r="G52" s="267">
        <v>5569500</v>
      </c>
      <c r="H52" s="268"/>
      <c r="I52" s="269">
        <f>SUM(G52:H52)</f>
        <v>5569500</v>
      </c>
      <c r="J52" s="267"/>
      <c r="K52" s="268"/>
      <c r="L52" s="269">
        <f>SUM(J52:K52)</f>
        <v>0</v>
      </c>
      <c r="M52" s="273">
        <f>SUM(L52,I52,F52)</f>
        <v>5569500</v>
      </c>
      <c r="P52" s="940"/>
    </row>
    <row r="53" spans="1:16" ht="36.75" thickBot="1">
      <c r="A53" s="277" t="s">
        <v>404</v>
      </c>
      <c r="B53" s="935" t="s">
        <v>987</v>
      </c>
      <c r="C53" s="299"/>
      <c r="D53" s="278"/>
      <c r="E53" s="279"/>
      <c r="F53" s="269">
        <f>SUM(D53:E53)</f>
        <v>0</v>
      </c>
      <c r="G53" s="278">
        <v>2881247</v>
      </c>
      <c r="H53" s="279"/>
      <c r="I53" s="269">
        <f>SUM(G53:H53)</f>
        <v>2881247</v>
      </c>
      <c r="J53" s="278"/>
      <c r="K53" s="279"/>
      <c r="L53" s="269">
        <f>SUM(J53:K53)</f>
        <v>0</v>
      </c>
      <c r="M53" s="273">
        <f>SUM(L53,I53,F53)</f>
        <v>2881247</v>
      </c>
      <c r="P53" s="940"/>
    </row>
    <row r="54" spans="1:16" s="939" customFormat="1" ht="23.25" customHeight="1" thickBot="1">
      <c r="A54" s="1051" t="s">
        <v>502</v>
      </c>
      <c r="B54" s="1052"/>
      <c r="C54" s="1053"/>
      <c r="D54" s="936">
        <f aca="true" t="shared" si="5" ref="D54:M54">SUM(D51:D53)</f>
        <v>135172672</v>
      </c>
      <c r="E54" s="937">
        <f t="shared" si="5"/>
        <v>1934590</v>
      </c>
      <c r="F54" s="938">
        <f t="shared" si="5"/>
        <v>137107262</v>
      </c>
      <c r="G54" s="937">
        <f t="shared" si="5"/>
        <v>8450747</v>
      </c>
      <c r="H54" s="937">
        <f t="shared" si="5"/>
        <v>0</v>
      </c>
      <c r="I54" s="938">
        <f t="shared" si="5"/>
        <v>8450747</v>
      </c>
      <c r="J54" s="937">
        <f t="shared" si="5"/>
        <v>0</v>
      </c>
      <c r="K54" s="937">
        <f t="shared" si="5"/>
        <v>0</v>
      </c>
      <c r="L54" s="938">
        <f t="shared" si="5"/>
        <v>0</v>
      </c>
      <c r="M54" s="938">
        <f t="shared" si="5"/>
        <v>145558009</v>
      </c>
      <c r="P54" s="946">
        <f>SUM(L54,I54,F54)</f>
        <v>145558009</v>
      </c>
    </row>
    <row r="55" spans="1:16" ht="23.25" customHeight="1">
      <c r="A55" s="264" t="s">
        <v>402</v>
      </c>
      <c r="B55" s="301" t="s">
        <v>503</v>
      </c>
      <c r="C55" s="284" t="s">
        <v>730</v>
      </c>
      <c r="D55" s="302">
        <v>31853858</v>
      </c>
      <c r="E55" s="303"/>
      <c r="F55" s="300">
        <f aca="true" t="shared" si="6" ref="F55:F64">SUM(D55:E55)</f>
        <v>31853858</v>
      </c>
      <c r="G55" s="302"/>
      <c r="H55" s="303"/>
      <c r="I55" s="300">
        <f aca="true" t="shared" si="7" ref="I55:I64">SUM(G55:H55)</f>
        <v>0</v>
      </c>
      <c r="J55" s="302"/>
      <c r="K55" s="303"/>
      <c r="L55" s="300">
        <f aca="true" t="shared" si="8" ref="L55:L64">SUM(J55:K55)</f>
        <v>0</v>
      </c>
      <c r="M55" s="273">
        <f aca="true" t="shared" si="9" ref="M55:M64">SUM(L55,I55,F55)</f>
        <v>31853858</v>
      </c>
      <c r="P55" s="940"/>
    </row>
    <row r="56" spans="1:16" ht="23.25" customHeight="1">
      <c r="A56" s="277" t="s">
        <v>403</v>
      </c>
      <c r="B56" s="276" t="s">
        <v>875</v>
      </c>
      <c r="C56" s="1071" t="s">
        <v>726</v>
      </c>
      <c r="D56" s="287">
        <f>128705693+3215520+562716-330000-57750-1461600-255780</f>
        <v>130378799</v>
      </c>
      <c r="E56" s="288"/>
      <c r="F56" s="269">
        <f t="shared" si="6"/>
        <v>130378799</v>
      </c>
      <c r="G56" s="294"/>
      <c r="H56" s="292"/>
      <c r="I56" s="269">
        <f t="shared" si="7"/>
        <v>0</v>
      </c>
      <c r="J56" s="281"/>
      <c r="K56" s="281"/>
      <c r="L56" s="269">
        <f t="shared" si="8"/>
        <v>0</v>
      </c>
      <c r="M56" s="273">
        <f t="shared" si="9"/>
        <v>130378799</v>
      </c>
      <c r="P56" s="940"/>
    </row>
    <row r="57" spans="1:16" ht="23.25" customHeight="1">
      <c r="A57" s="274" t="s">
        <v>404</v>
      </c>
      <c r="B57" s="276" t="s">
        <v>917</v>
      </c>
      <c r="C57" s="1072"/>
      <c r="D57" s="287">
        <v>10508378</v>
      </c>
      <c r="E57" s="288">
        <f>309245+508000</f>
        <v>817245</v>
      </c>
      <c r="F57" s="269">
        <f t="shared" si="6"/>
        <v>11325623</v>
      </c>
      <c r="G57" s="294"/>
      <c r="H57" s="292"/>
      <c r="I57" s="269">
        <f t="shared" si="7"/>
        <v>0</v>
      </c>
      <c r="J57" s="281"/>
      <c r="K57" s="281"/>
      <c r="L57" s="269">
        <f t="shared" si="8"/>
        <v>0</v>
      </c>
      <c r="M57" s="273">
        <f t="shared" si="9"/>
        <v>11325623</v>
      </c>
      <c r="P57" s="940"/>
    </row>
    <row r="58" spans="1:16" ht="23.25" customHeight="1">
      <c r="A58" s="274" t="s">
        <v>405</v>
      </c>
      <c r="B58" s="276" t="s">
        <v>587</v>
      </c>
      <c r="C58" s="314" t="s">
        <v>617</v>
      </c>
      <c r="D58" s="287">
        <f>24097710+1249875+4222056+218728+4796826+91000+1125000-1245375+196875-217940</f>
        <v>34534755</v>
      </c>
      <c r="E58" s="288">
        <v>304800</v>
      </c>
      <c r="F58" s="269">
        <f t="shared" si="6"/>
        <v>34839555</v>
      </c>
      <c r="G58" s="294"/>
      <c r="H58" s="292"/>
      <c r="I58" s="269">
        <f t="shared" si="7"/>
        <v>0</v>
      </c>
      <c r="J58" s="281"/>
      <c r="K58" s="281"/>
      <c r="L58" s="269">
        <f t="shared" si="8"/>
        <v>0</v>
      </c>
      <c r="M58" s="273">
        <f t="shared" si="9"/>
        <v>34839555</v>
      </c>
      <c r="P58" s="940"/>
    </row>
    <row r="59" spans="1:16" ht="23.25" customHeight="1">
      <c r="A59" s="274" t="s">
        <v>406</v>
      </c>
      <c r="B59" s="276" t="s">
        <v>712</v>
      </c>
      <c r="C59" s="314" t="s">
        <v>732</v>
      </c>
      <c r="D59" s="287">
        <f>11177496+981000+1927326+171675+2955612+91000+1035000-976500+181125-170887</f>
        <v>17372847</v>
      </c>
      <c r="E59" s="288">
        <v>401320</v>
      </c>
      <c r="F59" s="269">
        <f t="shared" si="6"/>
        <v>17774167</v>
      </c>
      <c r="G59" s="294"/>
      <c r="H59" s="292"/>
      <c r="I59" s="269">
        <f t="shared" si="7"/>
        <v>0</v>
      </c>
      <c r="J59" s="281"/>
      <c r="K59" s="281"/>
      <c r="L59" s="269">
        <f t="shared" si="8"/>
        <v>0</v>
      </c>
      <c r="M59" s="273">
        <f t="shared" si="9"/>
        <v>17774167</v>
      </c>
      <c r="P59" s="940"/>
    </row>
    <row r="60" spans="1:16" ht="23.25" customHeight="1">
      <c r="A60" s="274" t="s">
        <v>407</v>
      </c>
      <c r="B60" s="276" t="s">
        <v>713</v>
      </c>
      <c r="C60" s="314" t="s">
        <v>733</v>
      </c>
      <c r="D60" s="289">
        <f>10053189+1759308+1190218+639450+111904</f>
        <v>13754069</v>
      </c>
      <c r="E60" s="288">
        <v>95250</v>
      </c>
      <c r="F60" s="269">
        <f t="shared" si="6"/>
        <v>13849319</v>
      </c>
      <c r="G60" s="289"/>
      <c r="H60" s="288"/>
      <c r="I60" s="269">
        <f t="shared" si="7"/>
        <v>0</v>
      </c>
      <c r="J60" s="281"/>
      <c r="K60" s="281"/>
      <c r="L60" s="269">
        <f t="shared" si="8"/>
        <v>0</v>
      </c>
      <c r="M60" s="273">
        <f t="shared" si="9"/>
        <v>13849319</v>
      </c>
      <c r="P60" s="940"/>
    </row>
    <row r="61" spans="1:16" ht="23.25" customHeight="1">
      <c r="A61" s="274" t="s">
        <v>408</v>
      </c>
      <c r="B61" s="276" t="s">
        <v>714</v>
      </c>
      <c r="C61" s="284" t="s">
        <v>730</v>
      </c>
      <c r="D61" s="289">
        <v>2677147</v>
      </c>
      <c r="E61" s="288"/>
      <c r="F61" s="269">
        <f t="shared" si="6"/>
        <v>2677147</v>
      </c>
      <c r="G61" s="289"/>
      <c r="H61" s="288"/>
      <c r="I61" s="269">
        <f t="shared" si="7"/>
        <v>0</v>
      </c>
      <c r="J61" s="281"/>
      <c r="K61" s="281"/>
      <c r="L61" s="269">
        <f t="shared" si="8"/>
        <v>0</v>
      </c>
      <c r="M61" s="273">
        <f t="shared" si="9"/>
        <v>2677147</v>
      </c>
      <c r="P61" s="940"/>
    </row>
    <row r="62" spans="1:16" ht="23.25" customHeight="1">
      <c r="A62" s="277" t="s">
        <v>409</v>
      </c>
      <c r="B62" s="301" t="s">
        <v>547</v>
      </c>
      <c r="C62" s="284" t="s">
        <v>734</v>
      </c>
      <c r="D62" s="803"/>
      <c r="E62" s="804"/>
      <c r="F62" s="269">
        <f t="shared" si="6"/>
        <v>0</v>
      </c>
      <c r="G62" s="677">
        <f>5287200+925260+1916238-781083</f>
        <v>7347615</v>
      </c>
      <c r="H62" s="804">
        <v>63500</v>
      </c>
      <c r="I62" s="269">
        <f t="shared" si="7"/>
        <v>7411115</v>
      </c>
      <c r="J62" s="678"/>
      <c r="K62" s="678"/>
      <c r="L62" s="269">
        <f t="shared" si="8"/>
        <v>0</v>
      </c>
      <c r="M62" s="273">
        <f t="shared" si="9"/>
        <v>7411115</v>
      </c>
      <c r="P62" s="940"/>
    </row>
    <row r="63" spans="1:16" ht="38.25" customHeight="1">
      <c r="A63" s="277" t="s">
        <v>410</v>
      </c>
      <c r="B63" s="276" t="s">
        <v>988</v>
      </c>
      <c r="C63" s="284"/>
      <c r="D63" s="803"/>
      <c r="E63" s="804"/>
      <c r="F63" s="269">
        <f t="shared" si="6"/>
        <v>0</v>
      </c>
      <c r="G63" s="677">
        <f>3600000+630000</f>
        <v>4230000</v>
      </c>
      <c r="H63" s="804"/>
      <c r="I63" s="269">
        <f t="shared" si="7"/>
        <v>4230000</v>
      </c>
      <c r="J63" s="678"/>
      <c r="K63" s="678"/>
      <c r="L63" s="269">
        <f t="shared" si="8"/>
        <v>0</v>
      </c>
      <c r="M63" s="273">
        <f t="shared" si="9"/>
        <v>4230000</v>
      </c>
      <c r="P63" s="940"/>
    </row>
    <row r="64" spans="1:16" ht="27" customHeight="1" thickBot="1">
      <c r="A64" s="805" t="s">
        <v>411</v>
      </c>
      <c r="B64" s="276" t="s">
        <v>989</v>
      </c>
      <c r="C64" s="284"/>
      <c r="D64" s="302"/>
      <c r="E64" s="303"/>
      <c r="F64" s="300">
        <f t="shared" si="6"/>
        <v>0</v>
      </c>
      <c r="G64" s="302">
        <f>6562063+1148361+50000+2756937+482464+2114762</f>
        <v>13114587</v>
      </c>
      <c r="H64" s="303"/>
      <c r="I64" s="300">
        <f t="shared" si="7"/>
        <v>13114587</v>
      </c>
      <c r="J64" s="302"/>
      <c r="K64" s="303"/>
      <c r="L64" s="300">
        <f t="shared" si="8"/>
        <v>0</v>
      </c>
      <c r="M64" s="273">
        <f t="shared" si="9"/>
        <v>13114587</v>
      </c>
      <c r="P64" s="940"/>
    </row>
    <row r="65" spans="1:16" s="945" customFormat="1" ht="27.75" customHeight="1" thickBot="1">
      <c r="A65" s="1060" t="s">
        <v>785</v>
      </c>
      <c r="B65" s="1061"/>
      <c r="C65" s="1062"/>
      <c r="D65" s="941">
        <f aca="true" t="shared" si="10" ref="D65:M65">SUM(D55:D64)</f>
        <v>241079853</v>
      </c>
      <c r="E65" s="942">
        <f t="shared" si="10"/>
        <v>1618615</v>
      </c>
      <c r="F65" s="943">
        <f t="shared" si="10"/>
        <v>242698468</v>
      </c>
      <c r="G65" s="941">
        <f t="shared" si="10"/>
        <v>24692202</v>
      </c>
      <c r="H65" s="942">
        <f t="shared" si="10"/>
        <v>63500</v>
      </c>
      <c r="I65" s="943">
        <f t="shared" si="10"/>
        <v>24755702</v>
      </c>
      <c r="J65" s="941">
        <f t="shared" si="10"/>
        <v>0</v>
      </c>
      <c r="K65" s="942">
        <f t="shared" si="10"/>
        <v>0</v>
      </c>
      <c r="L65" s="943">
        <f t="shared" si="10"/>
        <v>0</v>
      </c>
      <c r="M65" s="944">
        <f t="shared" si="10"/>
        <v>267454170</v>
      </c>
      <c r="P65" s="946">
        <f>SUM(L65,I65,F65)</f>
        <v>267454170</v>
      </c>
    </row>
    <row r="66" spans="1:16" ht="32.25" customHeight="1">
      <c r="A66" s="274" t="s">
        <v>402</v>
      </c>
      <c r="B66" s="283" t="s">
        <v>546</v>
      </c>
      <c r="C66" s="275" t="s">
        <v>722</v>
      </c>
      <c r="D66" s="278">
        <v>1082115</v>
      </c>
      <c r="E66" s="279"/>
      <c r="F66" s="269">
        <f>SUM(D66:E66)</f>
        <v>1082115</v>
      </c>
      <c r="G66" s="280"/>
      <c r="H66" s="279"/>
      <c r="I66" s="269">
        <f>SUM(G66:H66)</f>
        <v>0</v>
      </c>
      <c r="J66" s="281"/>
      <c r="K66" s="282"/>
      <c r="L66" s="269">
        <f>SUM(J66:K66)</f>
        <v>0</v>
      </c>
      <c r="M66" s="273">
        <f>SUM(F66+I66+L66)</f>
        <v>1082115</v>
      </c>
      <c r="P66" s="940"/>
    </row>
    <row r="67" spans="1:16" ht="22.5" customHeight="1">
      <c r="A67" s="274" t="s">
        <v>403</v>
      </c>
      <c r="B67" s="291" t="s">
        <v>387</v>
      </c>
      <c r="C67" s="286" t="s">
        <v>722</v>
      </c>
      <c r="D67" s="278">
        <v>3583050</v>
      </c>
      <c r="E67" s="279"/>
      <c r="F67" s="269">
        <f>SUM(D67:E67)</f>
        <v>3583050</v>
      </c>
      <c r="G67" s="280"/>
      <c r="H67" s="279"/>
      <c r="I67" s="269">
        <f>SUM(G67:H67)</f>
        <v>0</v>
      </c>
      <c r="J67" s="281"/>
      <c r="K67" s="282"/>
      <c r="L67" s="269">
        <f>SUM(J67:K67)</f>
        <v>0</v>
      </c>
      <c r="M67" s="273">
        <f>SUM(F67+I67+L67)</f>
        <v>3583050</v>
      </c>
      <c r="P67" s="940"/>
    </row>
    <row r="68" spans="1:16" ht="33.75" customHeight="1">
      <c r="A68" s="274" t="s">
        <v>404</v>
      </c>
      <c r="B68" s="276" t="s">
        <v>79</v>
      </c>
      <c r="C68" s="290" t="s">
        <v>723</v>
      </c>
      <c r="D68" s="287">
        <f>11931088+2122958+14446890-317500+144779</f>
        <v>28328215</v>
      </c>
      <c r="E68" s="288">
        <f>304800-177800+578000</f>
        <v>705000</v>
      </c>
      <c r="F68" s="269">
        <f>SUM(D68:E68)</f>
        <v>29033215</v>
      </c>
      <c r="G68" s="289"/>
      <c r="H68" s="288"/>
      <c r="I68" s="269">
        <f>SUM(G68:H68)</f>
        <v>0</v>
      </c>
      <c r="J68" s="281"/>
      <c r="K68" s="282"/>
      <c r="L68" s="269">
        <f>SUM(J68:K68)</f>
        <v>0</v>
      </c>
      <c r="M68" s="273">
        <f>SUM(F68+I68+L68)</f>
        <v>29033215</v>
      </c>
      <c r="P68" s="940"/>
    </row>
    <row r="69" spans="1:16" ht="33.75" customHeight="1">
      <c r="A69" s="274" t="s">
        <v>405</v>
      </c>
      <c r="B69" s="276" t="s">
        <v>381</v>
      </c>
      <c r="C69" s="290"/>
      <c r="D69" s="287"/>
      <c r="E69" s="288"/>
      <c r="F69" s="269">
        <f>SUM(D69:E69)</f>
        <v>0</v>
      </c>
      <c r="G69" s="289">
        <f>1980314+964502+7003586-775591-377745-2575544</f>
        <v>6219522</v>
      </c>
      <c r="H69" s="288"/>
      <c r="I69" s="269">
        <f>SUM(G69:H69)</f>
        <v>6219522</v>
      </c>
      <c r="J69" s="281"/>
      <c r="K69" s="282"/>
      <c r="L69" s="269">
        <f>SUM(J69:K69)</f>
        <v>0</v>
      </c>
      <c r="M69" s="273">
        <f>SUM(F69+I69+L69)</f>
        <v>6219522</v>
      </c>
      <c r="P69" s="940"/>
    </row>
    <row r="70" spans="1:16" ht="33.75" customHeight="1" thickBot="1">
      <c r="A70" s="274" t="s">
        <v>406</v>
      </c>
      <c r="B70" s="276" t="s">
        <v>958</v>
      </c>
      <c r="C70" s="290"/>
      <c r="D70" s="287"/>
      <c r="E70" s="288"/>
      <c r="F70" s="269">
        <f>SUM(D70:E70)</f>
        <v>0</v>
      </c>
      <c r="G70" s="289">
        <f>1800000+315000+3527681</f>
        <v>5642681</v>
      </c>
      <c r="H70" s="288"/>
      <c r="I70" s="269">
        <f>SUM(G70:H70)</f>
        <v>5642681</v>
      </c>
      <c r="J70" s="281"/>
      <c r="K70" s="282"/>
      <c r="L70" s="269">
        <f>SUM(J70:K70)</f>
        <v>0</v>
      </c>
      <c r="M70" s="273">
        <f>SUM(F70+I70+L70)</f>
        <v>5642681</v>
      </c>
      <c r="P70" s="940"/>
    </row>
    <row r="71" spans="1:16" s="945" customFormat="1" ht="27.75" customHeight="1" thickBot="1">
      <c r="A71" s="1060" t="s">
        <v>816</v>
      </c>
      <c r="B71" s="1061"/>
      <c r="C71" s="1062"/>
      <c r="D71" s="941">
        <f>SUM(D66:D70)</f>
        <v>32993380</v>
      </c>
      <c r="E71" s="942">
        <f aca="true" t="shared" si="11" ref="E71:K71">SUM(E66:E70)</f>
        <v>705000</v>
      </c>
      <c r="F71" s="943">
        <f t="shared" si="11"/>
        <v>33698380</v>
      </c>
      <c r="G71" s="941">
        <f t="shared" si="11"/>
        <v>11862203</v>
      </c>
      <c r="H71" s="942">
        <f t="shared" si="11"/>
        <v>0</v>
      </c>
      <c r="I71" s="943">
        <f t="shared" si="11"/>
        <v>11862203</v>
      </c>
      <c r="J71" s="941">
        <f t="shared" si="11"/>
        <v>0</v>
      </c>
      <c r="K71" s="942">
        <f t="shared" si="11"/>
        <v>0</v>
      </c>
      <c r="L71" s="943">
        <f>SUM(L66:L70)</f>
        <v>0</v>
      </c>
      <c r="M71" s="944">
        <f>SUM(M66:M70)</f>
        <v>45560583</v>
      </c>
      <c r="P71" s="946">
        <f>SUM(L71,I71,F71)</f>
        <v>45560583</v>
      </c>
    </row>
    <row r="72" spans="1:16" s="249" customFormat="1" ht="16.5" thickBot="1">
      <c r="A72" s="1048" t="s">
        <v>504</v>
      </c>
      <c r="B72" s="1049"/>
      <c r="C72" s="1050"/>
      <c r="D72" s="304">
        <f aca="true" t="shared" si="12" ref="D72:M72">D50+D54+D65+D71</f>
        <v>869030871</v>
      </c>
      <c r="E72" s="304">
        <f t="shared" si="12"/>
        <v>312171336</v>
      </c>
      <c r="F72" s="672">
        <f t="shared" si="12"/>
        <v>1181202207</v>
      </c>
      <c r="G72" s="304">
        <f t="shared" si="12"/>
        <v>216775091</v>
      </c>
      <c r="H72" s="304">
        <f t="shared" si="12"/>
        <v>640070305</v>
      </c>
      <c r="I72" s="305">
        <f t="shared" si="12"/>
        <v>856845396</v>
      </c>
      <c r="J72" s="512">
        <f t="shared" si="12"/>
        <v>12311385</v>
      </c>
      <c r="K72" s="673">
        <f t="shared" si="12"/>
        <v>0</v>
      </c>
      <c r="L72" s="674">
        <f t="shared" si="12"/>
        <v>12311385</v>
      </c>
      <c r="M72" s="306">
        <f t="shared" si="12"/>
        <v>2050358988</v>
      </c>
      <c r="P72" s="940">
        <f>SUM(L72,I72,F72)</f>
        <v>2050358988</v>
      </c>
    </row>
    <row r="74" spans="1:2" ht="12.75">
      <c r="A74" s="185" t="s">
        <v>505</v>
      </c>
      <c r="B74" s="185" t="s">
        <v>506</v>
      </c>
    </row>
    <row r="75" spans="1:2" ht="12.75">
      <c r="A75" s="185" t="s">
        <v>507</v>
      </c>
      <c r="B75" s="185" t="s">
        <v>508</v>
      </c>
    </row>
    <row r="76" spans="1:2" ht="12.75">
      <c r="A76" s="185" t="s">
        <v>509</v>
      </c>
      <c r="B76" s="185" t="s">
        <v>510</v>
      </c>
    </row>
    <row r="77" spans="1:2" ht="12.75">
      <c r="A77" s="185" t="s">
        <v>511</v>
      </c>
      <c r="B77" s="185" t="s">
        <v>512</v>
      </c>
    </row>
    <row r="78" spans="1:2" ht="12.75">
      <c r="A78" s="185" t="s">
        <v>783</v>
      </c>
      <c r="B78" s="185" t="s">
        <v>784</v>
      </c>
    </row>
    <row r="79" spans="1:2" ht="12.75">
      <c r="A79" s="185" t="s">
        <v>616</v>
      </c>
      <c r="B79" s="185" t="s">
        <v>615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72:C72"/>
    <mergeCell ref="A54:C54"/>
    <mergeCell ref="D6:F7"/>
    <mergeCell ref="A65:C65"/>
    <mergeCell ref="B5:B8"/>
    <mergeCell ref="A5:A8"/>
    <mergeCell ref="C5:M5"/>
    <mergeCell ref="A50:C50"/>
    <mergeCell ref="A71:C71"/>
    <mergeCell ref="C56:C5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3" r:id="rId1"/>
  <rowBreaks count="2" manualBreakCount="2">
    <brk id="29" max="12" man="1"/>
    <brk id="5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88"/>
  <sheetViews>
    <sheetView zoomScalePageLayoutView="0" workbookViewId="0" topLeftCell="R1">
      <pane ySplit="7" topLeftCell="A11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85" customWidth="1"/>
    <col min="3" max="3" width="19.125" style="185" customWidth="1"/>
    <col min="4" max="6" width="18.00390625" style="185" bestFit="1" customWidth="1"/>
    <col min="7" max="7" width="12.625" style="185" customWidth="1"/>
    <col min="8" max="8" width="18.875" style="185" customWidth="1"/>
    <col min="9" max="9" width="9.25390625" style="185" bestFit="1" customWidth="1"/>
    <col min="10" max="10" width="11.375" style="185" bestFit="1" customWidth="1"/>
    <col min="11" max="11" width="19.25390625" style="185" customWidth="1"/>
    <col min="12" max="12" width="9.75390625" style="185" customWidth="1"/>
    <col min="13" max="13" width="9.125" style="185" customWidth="1"/>
    <col min="14" max="14" width="12.625" style="185" customWidth="1"/>
    <col min="15" max="15" width="8.125" style="185" customWidth="1"/>
    <col min="16" max="16" width="10.375" style="185" bestFit="1" customWidth="1"/>
    <col min="17" max="17" width="14.00390625" style="185" bestFit="1" customWidth="1"/>
    <col min="18" max="20" width="9.125" style="185" customWidth="1"/>
    <col min="21" max="21" width="9.875" style="185" customWidth="1"/>
    <col min="22" max="22" width="13.125" style="185" customWidth="1"/>
    <col min="23" max="23" width="16.625" style="185" bestFit="1" customWidth="1"/>
    <col min="24" max="24" width="18.00390625" style="315" bestFit="1" customWidth="1"/>
    <col min="25" max="25" width="18.25390625" style="315" customWidth="1"/>
    <col min="26" max="26" width="18.75390625" style="315" customWidth="1"/>
    <col min="27" max="27" width="19.75390625" style="315" bestFit="1" customWidth="1"/>
    <col min="28" max="28" width="17.375" style="315" bestFit="1" customWidth="1"/>
    <col min="29" max="29" width="19.75390625" style="315" bestFit="1" customWidth="1"/>
    <col min="30" max="223" width="9.125" style="315" customWidth="1"/>
    <col min="224" max="16384" width="9.125" style="185" customWidth="1"/>
  </cols>
  <sheetData>
    <row r="1" spans="1:28" ht="15">
      <c r="A1" s="251"/>
      <c r="B1" s="252"/>
      <c r="C1" s="253"/>
      <c r="H1" s="252"/>
      <c r="I1" s="252"/>
      <c r="J1" s="252"/>
      <c r="K1" s="254"/>
      <c r="L1" s="254"/>
      <c r="M1" s="254"/>
      <c r="N1" s="252"/>
      <c r="T1" s="1143" t="s">
        <v>1053</v>
      </c>
      <c r="U1" s="1144"/>
      <c r="V1" s="1144"/>
      <c r="W1" s="1144"/>
      <c r="X1" s="1145"/>
      <c r="Y1" s="1145"/>
      <c r="Z1" s="1145"/>
      <c r="AA1" s="1145"/>
      <c r="AB1" s="1145"/>
    </row>
    <row r="2" spans="1:14" ht="12.75">
      <c r="A2" s="251"/>
      <c r="B2" s="252"/>
      <c r="C2" s="253"/>
      <c r="D2" s="255"/>
      <c r="E2" s="256"/>
      <c r="F2" s="256"/>
      <c r="G2" s="256"/>
      <c r="H2" s="252"/>
      <c r="I2" s="252"/>
      <c r="J2" s="252"/>
      <c r="K2" s="254"/>
      <c r="L2" s="254"/>
      <c r="M2" s="254"/>
      <c r="N2" s="252"/>
    </row>
    <row r="3" spans="1:29" ht="15.75" customHeight="1">
      <c r="A3" s="1117" t="s">
        <v>959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  <c r="U3" s="1117"/>
      <c r="V3" s="1117"/>
      <c r="W3" s="1117"/>
      <c r="X3" s="1117"/>
      <c r="Y3" s="1117"/>
      <c r="Z3" s="1117"/>
      <c r="AA3" s="1117"/>
      <c r="AB3" s="1117"/>
      <c r="AC3" s="1117"/>
    </row>
    <row r="4" spans="1:29" ht="15.7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</row>
    <row r="5" spans="1:29" ht="13.5" customHeight="1" thickBot="1">
      <c r="A5" s="509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</row>
    <row r="6" spans="1:223" s="316" customFormat="1" ht="15" customHeight="1" thickBot="1" thickTop="1">
      <c r="A6" s="1124" t="s">
        <v>86</v>
      </c>
      <c r="B6" s="1125"/>
      <c r="C6" s="1125"/>
      <c r="D6" s="1134" t="s">
        <v>364</v>
      </c>
      <c r="E6" s="1135"/>
      <c r="F6" s="1136"/>
      <c r="G6" s="1137" t="s">
        <v>513</v>
      </c>
      <c r="H6" s="1138"/>
      <c r="I6" s="1138"/>
      <c r="J6" s="1138"/>
      <c r="K6" s="1139"/>
      <c r="L6" s="1128" t="s">
        <v>514</v>
      </c>
      <c r="M6" s="1129"/>
      <c r="N6" s="1129"/>
      <c r="O6" s="1129"/>
      <c r="P6" s="1129"/>
      <c r="Q6" s="1130"/>
      <c r="R6" s="1128" t="s">
        <v>515</v>
      </c>
      <c r="S6" s="1129"/>
      <c r="T6" s="1129"/>
      <c r="U6" s="1129"/>
      <c r="V6" s="1129"/>
      <c r="W6" s="1129"/>
      <c r="X6" s="1146" t="s">
        <v>516</v>
      </c>
      <c r="Y6" s="1147"/>
      <c r="Z6" s="1147"/>
      <c r="AA6" s="1148" t="s">
        <v>87</v>
      </c>
      <c r="AB6" s="1149"/>
      <c r="AC6" s="1150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</row>
    <row r="7" spans="1:29" s="315" customFormat="1" ht="16.5" customHeight="1" thickBot="1">
      <c r="A7" s="1126"/>
      <c r="B7" s="1127"/>
      <c r="C7" s="1127"/>
      <c r="D7" s="477" t="s">
        <v>88</v>
      </c>
      <c r="E7" s="790" t="s">
        <v>85</v>
      </c>
      <c r="F7" s="318" t="s">
        <v>89</v>
      </c>
      <c r="G7" s="1140"/>
      <c r="H7" s="1141"/>
      <c r="I7" s="1141"/>
      <c r="J7" s="1141"/>
      <c r="K7" s="1142"/>
      <c r="L7" s="1131"/>
      <c r="M7" s="1132"/>
      <c r="N7" s="1132"/>
      <c r="O7" s="1132"/>
      <c r="P7" s="1132"/>
      <c r="Q7" s="1133"/>
      <c r="R7" s="1131"/>
      <c r="S7" s="1132"/>
      <c r="T7" s="1132"/>
      <c r="U7" s="1132"/>
      <c r="V7" s="1132"/>
      <c r="W7" s="1132"/>
      <c r="X7" s="317" t="s">
        <v>88</v>
      </c>
      <c r="Y7" s="477" t="s">
        <v>85</v>
      </c>
      <c r="Z7" s="777" t="s">
        <v>89</v>
      </c>
      <c r="AA7" s="317" t="s">
        <v>88</v>
      </c>
      <c r="AB7" s="477" t="s">
        <v>85</v>
      </c>
      <c r="AC7" s="318" t="s">
        <v>89</v>
      </c>
    </row>
    <row r="8" spans="1:29" s="333" customFormat="1" ht="26.25" customHeight="1">
      <c r="A8" s="319"/>
      <c r="B8" s="320"/>
      <c r="C8" s="321"/>
      <c r="D8" s="322"/>
      <c r="E8" s="320"/>
      <c r="F8" s="323"/>
      <c r="G8" s="1118" t="s">
        <v>517</v>
      </c>
      <c r="H8" s="1095"/>
      <c r="I8" s="1095"/>
      <c r="J8" s="506">
        <f>186857281-119812800</f>
        <v>67044481</v>
      </c>
      <c r="K8" s="1087">
        <f>SUM(J8:J17)</f>
        <v>167372158</v>
      </c>
      <c r="L8" s="1120"/>
      <c r="M8" s="1121"/>
      <c r="N8" s="1121"/>
      <c r="O8" s="1121"/>
      <c r="P8" s="325"/>
      <c r="Q8" s="1122">
        <f>SUM(P8:P17)</f>
        <v>51375825</v>
      </c>
      <c r="R8" s="1085" t="s">
        <v>234</v>
      </c>
      <c r="S8" s="1086"/>
      <c r="T8" s="1086"/>
      <c r="U8" s="1086"/>
      <c r="V8" s="506">
        <v>261700000</v>
      </c>
      <c r="W8" s="1104">
        <f>SUM(V8:V17)</f>
        <v>324214811</v>
      </c>
      <c r="X8" s="327"/>
      <c r="Y8" s="328"/>
      <c r="Z8" s="329"/>
      <c r="AA8" s="330"/>
      <c r="AB8" s="331"/>
      <c r="AC8" s="332"/>
    </row>
    <row r="9" spans="1:29" s="333" customFormat="1" ht="27" customHeight="1">
      <c r="A9" s="319"/>
      <c r="B9" s="320"/>
      <c r="C9" s="322"/>
      <c r="D9" s="322"/>
      <c r="E9" s="320"/>
      <c r="F9" s="323"/>
      <c r="G9" s="1119" t="s">
        <v>619</v>
      </c>
      <c r="H9" s="1101"/>
      <c r="I9" s="1101"/>
      <c r="J9" s="506">
        <v>1723560</v>
      </c>
      <c r="K9" s="1083"/>
      <c r="L9" s="1088" t="s">
        <v>518</v>
      </c>
      <c r="M9" s="1089"/>
      <c r="N9" s="1089"/>
      <c r="O9" s="1089"/>
      <c r="P9" s="506">
        <v>4572392</v>
      </c>
      <c r="Q9" s="1123"/>
      <c r="R9" s="1085" t="s">
        <v>108</v>
      </c>
      <c r="S9" s="1086"/>
      <c r="T9" s="1086"/>
      <c r="U9" s="1086"/>
      <c r="V9" s="506">
        <f>10142978+129870</f>
        <v>10272848</v>
      </c>
      <c r="W9" s="1105"/>
      <c r="X9" s="334"/>
      <c r="Y9" s="328"/>
      <c r="Z9" s="335"/>
      <c r="AA9" s="319"/>
      <c r="AB9" s="336"/>
      <c r="AC9" s="337"/>
    </row>
    <row r="10" spans="1:29" s="333" customFormat="1" ht="24.75" customHeight="1">
      <c r="A10" s="338"/>
      <c r="B10" s="339"/>
      <c r="C10" s="340" t="s">
        <v>492</v>
      </c>
      <c r="D10" s="341">
        <f>SUM('6. kiadások megbontása'!D50)</f>
        <v>459784966</v>
      </c>
      <c r="E10" s="342">
        <f>SUM('6. kiadások megbontása'!E50)</f>
        <v>307913131</v>
      </c>
      <c r="F10" s="343">
        <f>SUM(D10:E10)</f>
        <v>767698097</v>
      </c>
      <c r="G10" s="1119" t="s">
        <v>743</v>
      </c>
      <c r="H10" s="1101"/>
      <c r="I10" s="1101"/>
      <c r="J10" s="911">
        <v>49781200</v>
      </c>
      <c r="K10" s="1083"/>
      <c r="L10" s="1088" t="s">
        <v>964</v>
      </c>
      <c r="M10" s="1089"/>
      <c r="N10" s="1089"/>
      <c r="O10" s="1089"/>
      <c r="P10" s="506">
        <v>29559000</v>
      </c>
      <c r="Q10" s="1123"/>
      <c r="R10" s="795" t="s">
        <v>792</v>
      </c>
      <c r="S10" s="799"/>
      <c r="T10" s="799"/>
      <c r="U10" s="799"/>
      <c r="V10" s="506">
        <v>80000</v>
      </c>
      <c r="W10" s="1105"/>
      <c r="X10" s="344"/>
      <c r="Y10" s="345"/>
      <c r="Z10" s="335"/>
      <c r="AA10" s="346"/>
      <c r="AB10" s="347"/>
      <c r="AC10" s="348"/>
    </row>
    <row r="11" spans="1:29" s="333" customFormat="1" ht="16.5" customHeight="1">
      <c r="A11" s="349"/>
      <c r="B11" s="350"/>
      <c r="C11" s="351"/>
      <c r="D11" s="351"/>
      <c r="E11" s="320"/>
      <c r="F11" s="323"/>
      <c r="G11" s="1097" t="s">
        <v>548</v>
      </c>
      <c r="H11" s="1097"/>
      <c r="I11" s="1097"/>
      <c r="J11" s="506">
        <v>48822917</v>
      </c>
      <c r="K11" s="1083"/>
      <c r="L11" s="795" t="s">
        <v>877</v>
      </c>
      <c r="M11" s="796"/>
      <c r="N11" s="796"/>
      <c r="O11" s="796"/>
      <c r="P11" s="506">
        <v>4016545</v>
      </c>
      <c r="Q11" s="1123"/>
      <c r="R11" s="795" t="s">
        <v>275</v>
      </c>
      <c r="S11" s="799"/>
      <c r="T11" s="799"/>
      <c r="U11" s="799"/>
      <c r="V11" s="506">
        <f>731000+15000</f>
        <v>746000</v>
      </c>
      <c r="W11" s="1105"/>
      <c r="X11" s="344"/>
      <c r="Y11" s="345"/>
      <c r="Z11" s="335"/>
      <c r="AA11" s="346"/>
      <c r="AB11" s="347"/>
      <c r="AC11" s="348"/>
    </row>
    <row r="12" spans="1:29" s="333" customFormat="1" ht="18.75" customHeight="1">
      <c r="A12" s="349"/>
      <c r="B12" s="350"/>
      <c r="C12" s="351"/>
      <c r="D12" s="351"/>
      <c r="E12" s="320"/>
      <c r="F12" s="323"/>
      <c r="G12" s="1119"/>
      <c r="H12" s="1101"/>
      <c r="I12" s="1101"/>
      <c r="J12" s="324"/>
      <c r="K12" s="1083"/>
      <c r="L12" s="1085" t="s">
        <v>878</v>
      </c>
      <c r="M12" s="1086"/>
      <c r="N12" s="1086"/>
      <c r="O12" s="1086"/>
      <c r="P12" s="503">
        <v>13227888</v>
      </c>
      <c r="Q12" s="1123"/>
      <c r="R12" s="795" t="s">
        <v>740</v>
      </c>
      <c r="S12" s="799"/>
      <c r="T12" s="799"/>
      <c r="U12" s="799"/>
      <c r="V12" s="506">
        <f>2666578+556176+599440</f>
        <v>3822194</v>
      </c>
      <c r="W12" s="1105"/>
      <c r="X12" s="344"/>
      <c r="Y12" s="345"/>
      <c r="Z12" s="335"/>
      <c r="AA12" s="346"/>
      <c r="AB12" s="347"/>
      <c r="AC12" s="348"/>
    </row>
    <row r="13" spans="1:29" s="333" customFormat="1" ht="15.75" customHeight="1">
      <c r="A13" s="349"/>
      <c r="B13" s="350"/>
      <c r="C13" s="351"/>
      <c r="D13" s="351"/>
      <c r="E13" s="320"/>
      <c r="F13" s="323"/>
      <c r="G13" s="1097"/>
      <c r="H13" s="1097"/>
      <c r="I13" s="1097"/>
      <c r="J13" s="324"/>
      <c r="K13" s="1083"/>
      <c r="L13" s="1085"/>
      <c r="M13" s="1086"/>
      <c r="N13" s="1086"/>
      <c r="O13" s="1086"/>
      <c r="P13" s="503"/>
      <c r="Q13" s="1123"/>
      <c r="R13" s="795" t="s">
        <v>790</v>
      </c>
      <c r="S13" s="796"/>
      <c r="T13" s="796"/>
      <c r="U13" s="796"/>
      <c r="V13" s="756">
        <v>7524890</v>
      </c>
      <c r="W13" s="1105"/>
      <c r="X13" s="344"/>
      <c r="Y13" s="345"/>
      <c r="Z13" s="335"/>
      <c r="AA13" s="346"/>
      <c r="AB13" s="347"/>
      <c r="AC13" s="348"/>
    </row>
    <row r="14" spans="1:29" s="333" customFormat="1" ht="15.75" customHeight="1">
      <c r="A14" s="349"/>
      <c r="B14" s="350"/>
      <c r="C14" s="351"/>
      <c r="D14" s="351"/>
      <c r="E14" s="320"/>
      <c r="F14" s="323"/>
      <c r="G14" s="326"/>
      <c r="H14" s="326"/>
      <c r="I14" s="326"/>
      <c r="J14" s="324"/>
      <c r="K14" s="1083"/>
      <c r="L14" s="795"/>
      <c r="M14" s="796"/>
      <c r="N14" s="796"/>
      <c r="O14" s="796"/>
      <c r="P14" s="506"/>
      <c r="Q14" s="1123"/>
      <c r="R14" s="1085" t="s">
        <v>963</v>
      </c>
      <c r="S14" s="1086"/>
      <c r="T14" s="1086"/>
      <c r="U14" s="1086"/>
      <c r="V14" s="756">
        <v>635000</v>
      </c>
      <c r="W14" s="1105"/>
      <c r="X14" s="344"/>
      <c r="Y14" s="345"/>
      <c r="Z14" s="335"/>
      <c r="AA14" s="346"/>
      <c r="AB14" s="347"/>
      <c r="AC14" s="348"/>
    </row>
    <row r="15" spans="1:29" s="333" customFormat="1" ht="16.5" customHeight="1">
      <c r="A15" s="349"/>
      <c r="B15" s="350"/>
      <c r="C15" s="351"/>
      <c r="D15" s="351"/>
      <c r="E15" s="320"/>
      <c r="F15" s="352"/>
      <c r="G15" s="1097"/>
      <c r="H15" s="1097"/>
      <c r="I15" s="1097"/>
      <c r="J15" s="324"/>
      <c r="K15" s="1083"/>
      <c r="L15" s="1096"/>
      <c r="M15" s="1097"/>
      <c r="N15" s="1097"/>
      <c r="O15" s="1097"/>
      <c r="Q15" s="1123"/>
      <c r="R15" s="1085" t="s">
        <v>741</v>
      </c>
      <c r="S15" s="1086"/>
      <c r="T15" s="1086"/>
      <c r="U15" s="1086"/>
      <c r="V15" s="756">
        <v>500</v>
      </c>
      <c r="W15" s="1105"/>
      <c r="X15" s="354">
        <f>SUM(W8,Q8,K8)</f>
        <v>542962794</v>
      </c>
      <c r="Y15" s="355">
        <f>SUM(W18+Q18+K18)</f>
        <v>304515745</v>
      </c>
      <c r="Z15" s="356">
        <f>SUM(Y15,X15)</f>
        <v>847478539</v>
      </c>
      <c r="AA15" s="354">
        <f>X15-D10</f>
        <v>83177828</v>
      </c>
      <c r="AB15" s="355">
        <f>Y15-E10</f>
        <v>-3397386</v>
      </c>
      <c r="AC15" s="357">
        <f>SUM(AA15:AB15)</f>
        <v>79780442</v>
      </c>
    </row>
    <row r="16" spans="1:29" s="315" customFormat="1" ht="17.25" customHeight="1">
      <c r="A16" s="358"/>
      <c r="B16" s="359"/>
      <c r="C16" s="360"/>
      <c r="D16" s="360"/>
      <c r="E16" s="361"/>
      <c r="F16" s="362"/>
      <c r="G16" s="1119"/>
      <c r="H16" s="1101"/>
      <c r="I16" s="1101"/>
      <c r="J16" s="324"/>
      <c r="K16" s="1083"/>
      <c r="L16" s="1096"/>
      <c r="M16" s="1097"/>
      <c r="N16" s="1097"/>
      <c r="O16" s="1097"/>
      <c r="P16" s="353"/>
      <c r="Q16" s="1123"/>
      <c r="R16" s="1085" t="s">
        <v>742</v>
      </c>
      <c r="S16" s="1086"/>
      <c r="T16" s="1086"/>
      <c r="U16" s="1086"/>
      <c r="V16" s="756">
        <v>39431147</v>
      </c>
      <c r="W16" s="1105"/>
      <c r="X16" s="344"/>
      <c r="Y16" s="345"/>
      <c r="Z16" s="335"/>
      <c r="AA16" s="346"/>
      <c r="AB16" s="347"/>
      <c r="AC16" s="348"/>
    </row>
    <row r="17" spans="1:29" s="315" customFormat="1" ht="16.5" customHeight="1" thickBot="1">
      <c r="A17" s="358"/>
      <c r="B17" s="359"/>
      <c r="C17" s="360"/>
      <c r="D17" s="360"/>
      <c r="E17" s="361"/>
      <c r="F17" s="362"/>
      <c r="G17" s="1119"/>
      <c r="H17" s="1101"/>
      <c r="I17" s="1101"/>
      <c r="J17" s="324"/>
      <c r="K17" s="1083"/>
      <c r="L17" s="1100"/>
      <c r="M17" s="1101"/>
      <c r="N17" s="1101"/>
      <c r="O17" s="1101"/>
      <c r="P17" s="324"/>
      <c r="Q17" s="1123"/>
      <c r="R17" s="1085" t="s">
        <v>796</v>
      </c>
      <c r="S17" s="1086"/>
      <c r="T17" s="1086"/>
      <c r="U17" s="1086"/>
      <c r="V17" s="911">
        <v>2232</v>
      </c>
      <c r="W17" s="1105"/>
      <c r="X17" s="344"/>
      <c r="Y17" s="345"/>
      <c r="Z17" s="335"/>
      <c r="AA17" s="346"/>
      <c r="AB17" s="347"/>
      <c r="AC17" s="348"/>
    </row>
    <row r="18" spans="1:29" s="315" customFormat="1" ht="26.25" customHeight="1">
      <c r="A18" s="358"/>
      <c r="B18" s="359"/>
      <c r="C18" s="360"/>
      <c r="D18" s="360"/>
      <c r="E18" s="361"/>
      <c r="F18" s="362"/>
      <c r="G18" s="366"/>
      <c r="H18" s="367"/>
      <c r="I18" s="367"/>
      <c r="J18" s="368"/>
      <c r="K18" s="1087"/>
      <c r="L18" s="1094"/>
      <c r="M18" s="1095"/>
      <c r="N18" s="1095"/>
      <c r="O18" s="1095"/>
      <c r="P18" s="753"/>
      <c r="Q18" s="1115">
        <f>SUM(P18:P19)</f>
        <v>267460</v>
      </c>
      <c r="R18" s="1108" t="s">
        <v>91</v>
      </c>
      <c r="S18" s="1109"/>
      <c r="T18" s="1109"/>
      <c r="U18" s="1109"/>
      <c r="V18" s="507">
        <f>44406964+1500000+1000000</f>
        <v>46906964</v>
      </c>
      <c r="W18" s="1104">
        <f>SUM(V18:V19)</f>
        <v>304248285</v>
      </c>
      <c r="X18" s="344"/>
      <c r="Y18" s="345"/>
      <c r="Z18" s="335"/>
      <c r="AA18" s="346"/>
      <c r="AB18" s="347"/>
      <c r="AC18" s="348"/>
    </row>
    <row r="19" spans="1:29" s="315" customFormat="1" ht="18.75" customHeight="1" thickBot="1">
      <c r="A19" s="358"/>
      <c r="B19" s="359"/>
      <c r="C19" s="360"/>
      <c r="D19" s="360"/>
      <c r="E19" s="361"/>
      <c r="F19" s="362"/>
      <c r="G19" s="364"/>
      <c r="H19" s="365"/>
      <c r="I19" s="365"/>
      <c r="J19" s="370"/>
      <c r="K19" s="1083"/>
      <c r="L19" s="1096" t="s">
        <v>960</v>
      </c>
      <c r="M19" s="1097"/>
      <c r="N19" s="1097"/>
      <c r="O19" s="1097"/>
      <c r="P19" s="353">
        <v>267460</v>
      </c>
      <c r="Q19" s="1116"/>
      <c r="R19" s="1088" t="s">
        <v>737</v>
      </c>
      <c r="S19" s="1089"/>
      <c r="T19" s="1089"/>
      <c r="U19" s="1089"/>
      <c r="V19" s="505">
        <f>257341321</f>
        <v>257341321</v>
      </c>
      <c r="W19" s="1105"/>
      <c r="X19" s="344"/>
      <c r="Y19" s="345"/>
      <c r="Z19" s="335"/>
      <c r="AA19" s="346"/>
      <c r="AB19" s="347"/>
      <c r="AC19" s="348"/>
    </row>
    <row r="20" spans="1:29" s="315" customFormat="1" ht="18" customHeight="1" thickTop="1">
      <c r="A20" s="510"/>
      <c r="B20" s="371"/>
      <c r="C20" s="372"/>
      <c r="D20" s="372"/>
      <c r="E20" s="373"/>
      <c r="F20" s="374"/>
      <c r="G20" s="1170"/>
      <c r="H20" s="1171"/>
      <c r="I20" s="1171"/>
      <c r="J20" s="511"/>
      <c r="K20" s="1082">
        <f>SUM(J20:J21)</f>
        <v>0</v>
      </c>
      <c r="L20" s="1162" t="s">
        <v>519</v>
      </c>
      <c r="M20" s="1163"/>
      <c r="N20" s="1163"/>
      <c r="O20" s="1163"/>
      <c r="P20" s="754"/>
      <c r="Q20" s="1082">
        <f>SUM(P20:P21)</f>
        <v>0</v>
      </c>
      <c r="R20" s="376"/>
      <c r="S20" s="377"/>
      <c r="T20" s="377"/>
      <c r="U20" s="377"/>
      <c r="V20" s="378"/>
      <c r="W20" s="379"/>
      <c r="X20" s="380"/>
      <c r="Y20" s="381"/>
      <c r="Z20" s="382"/>
      <c r="AA20" s="383"/>
      <c r="AB20" s="384"/>
      <c r="AC20" s="385"/>
    </row>
    <row r="21" spans="1:223" s="483" customFormat="1" ht="19.5" customHeight="1" thickBot="1">
      <c r="A21" s="780"/>
      <c r="B21" s="1178" t="s">
        <v>92</v>
      </c>
      <c r="C21" s="1179"/>
      <c r="D21" s="781">
        <f>SUM('6. kiadások megbontása'!J50)</f>
        <v>12311385</v>
      </c>
      <c r="E21" s="782">
        <f>SUM('6. kiadások megbontása'!K50)</f>
        <v>0</v>
      </c>
      <c r="F21" s="783">
        <f>SUM(D21:E21)</f>
        <v>12311385</v>
      </c>
      <c r="G21" s="1112"/>
      <c r="H21" s="1113"/>
      <c r="I21" s="1113"/>
      <c r="J21" s="784"/>
      <c r="K21" s="1114"/>
      <c r="L21" s="1110" t="s">
        <v>620</v>
      </c>
      <c r="M21" s="1111"/>
      <c r="N21" s="1111"/>
      <c r="O21" s="1111"/>
      <c r="P21" s="755"/>
      <c r="Q21" s="1114"/>
      <c r="R21" s="1110"/>
      <c r="S21" s="1111"/>
      <c r="T21" s="1111"/>
      <c r="U21" s="1111"/>
      <c r="V21" s="785"/>
      <c r="W21" s="786">
        <f>SUM(V21)</f>
        <v>0</v>
      </c>
      <c r="X21" s="787">
        <f>SUM(W21,Q20,K20)</f>
        <v>0</v>
      </c>
      <c r="Y21" s="788">
        <v>0</v>
      </c>
      <c r="Z21" s="789">
        <f>SUM(X21:Y21)</f>
        <v>0</v>
      </c>
      <c r="AA21" s="787">
        <f>X21-D21</f>
        <v>-12311385</v>
      </c>
      <c r="AB21" s="788">
        <f>Y21-E21</f>
        <v>0</v>
      </c>
      <c r="AC21" s="386">
        <f>SUM(AA21:AB21)</f>
        <v>-12311385</v>
      </c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498"/>
      <c r="CQ21" s="498"/>
      <c r="CR21" s="498"/>
      <c r="CS21" s="498"/>
      <c r="CT21" s="498"/>
      <c r="CU21" s="498"/>
      <c r="CV21" s="498"/>
      <c r="CW21" s="498"/>
      <c r="CX21" s="498"/>
      <c r="CY21" s="498"/>
      <c r="CZ21" s="498"/>
      <c r="DA21" s="498"/>
      <c r="DB21" s="498"/>
      <c r="DC21" s="498"/>
      <c r="DD21" s="498"/>
      <c r="DE21" s="498"/>
      <c r="DF21" s="498"/>
      <c r="DG21" s="498"/>
      <c r="DH21" s="498"/>
      <c r="DI21" s="498"/>
      <c r="DJ21" s="498"/>
      <c r="DK21" s="498"/>
      <c r="DL21" s="498"/>
      <c r="DM21" s="498"/>
      <c r="DN21" s="498"/>
      <c r="DO21" s="498"/>
      <c r="DP21" s="498"/>
      <c r="DQ21" s="498"/>
      <c r="DR21" s="498"/>
      <c r="DS21" s="498"/>
      <c r="DT21" s="498"/>
      <c r="DU21" s="498"/>
      <c r="DV21" s="498"/>
      <c r="DW21" s="498"/>
      <c r="DX21" s="498"/>
      <c r="DY21" s="498"/>
      <c r="DZ21" s="498"/>
      <c r="EA21" s="498"/>
      <c r="EB21" s="498"/>
      <c r="EC21" s="498"/>
      <c r="ED21" s="498"/>
      <c r="EE21" s="498"/>
      <c r="EF21" s="498"/>
      <c r="EG21" s="498"/>
      <c r="EH21" s="498"/>
      <c r="EI21" s="498"/>
      <c r="EJ21" s="498"/>
      <c r="EK21" s="498"/>
      <c r="EL21" s="498"/>
      <c r="EM21" s="498"/>
      <c r="EN21" s="498"/>
      <c r="EO21" s="498"/>
      <c r="EP21" s="498"/>
      <c r="EQ21" s="498"/>
      <c r="ER21" s="498"/>
      <c r="ES21" s="498"/>
      <c r="ET21" s="498"/>
      <c r="EU21" s="498"/>
      <c r="EV21" s="498"/>
      <c r="EW21" s="498"/>
      <c r="EX21" s="498"/>
      <c r="EY21" s="498"/>
      <c r="EZ21" s="498"/>
      <c r="FA21" s="498"/>
      <c r="FB21" s="498"/>
      <c r="FC21" s="498"/>
      <c r="FD21" s="498"/>
      <c r="FE21" s="498"/>
      <c r="FF21" s="498"/>
      <c r="FG21" s="498"/>
      <c r="FH21" s="498"/>
      <c r="FI21" s="498"/>
      <c r="FJ21" s="498"/>
      <c r="FK21" s="498"/>
      <c r="FL21" s="498"/>
      <c r="FM21" s="498"/>
      <c r="FN21" s="498"/>
      <c r="FO21" s="498"/>
      <c r="FP21" s="498"/>
      <c r="FQ21" s="498"/>
      <c r="FR21" s="498"/>
      <c r="FS21" s="498"/>
      <c r="FT21" s="498"/>
      <c r="FU21" s="498"/>
      <c r="FV21" s="498"/>
      <c r="FW21" s="498"/>
      <c r="FX21" s="498"/>
      <c r="FY21" s="498"/>
      <c r="FZ21" s="498"/>
      <c r="GA21" s="498"/>
      <c r="GB21" s="498"/>
      <c r="GC21" s="498"/>
      <c r="GD21" s="498"/>
      <c r="GE21" s="498"/>
      <c r="GF21" s="498"/>
      <c r="GG21" s="498"/>
      <c r="GH21" s="498"/>
      <c r="GI21" s="498"/>
      <c r="GJ21" s="498"/>
      <c r="GK21" s="498"/>
      <c r="GL21" s="498"/>
      <c r="GM21" s="498"/>
      <c r="GN21" s="498"/>
      <c r="GO21" s="498"/>
      <c r="GP21" s="498"/>
      <c r="GQ21" s="498"/>
      <c r="GR21" s="498"/>
      <c r="GS21" s="498"/>
      <c r="GT21" s="498"/>
      <c r="GU21" s="498"/>
      <c r="GV21" s="498"/>
      <c r="GW21" s="498"/>
      <c r="GX21" s="498"/>
      <c r="GY21" s="498"/>
      <c r="GZ21" s="498"/>
      <c r="HA21" s="498"/>
      <c r="HB21" s="498"/>
      <c r="HC21" s="498"/>
      <c r="HD21" s="498"/>
      <c r="HE21" s="498"/>
      <c r="HF21" s="498"/>
      <c r="HG21" s="498"/>
      <c r="HH21" s="498"/>
      <c r="HI21" s="498"/>
      <c r="HJ21" s="498"/>
      <c r="HK21" s="498"/>
      <c r="HL21" s="498"/>
      <c r="HM21" s="498"/>
      <c r="HN21" s="498"/>
      <c r="HO21" s="498"/>
    </row>
    <row r="22" spans="1:29" ht="24.75" customHeight="1" thickTop="1">
      <c r="A22" s="402"/>
      <c r="B22" s="361"/>
      <c r="C22" s="388"/>
      <c r="D22" s="389"/>
      <c r="E22" s="389"/>
      <c r="F22" s="362"/>
      <c r="G22" s="364"/>
      <c r="H22" s="365"/>
      <c r="I22" s="365"/>
      <c r="J22" s="390"/>
      <c r="K22" s="1082">
        <f>SUM(J22:J25)</f>
        <v>0</v>
      </c>
      <c r="L22" s="1085" t="s">
        <v>107</v>
      </c>
      <c r="M22" s="1086"/>
      <c r="N22" s="1086"/>
      <c r="O22" s="1086"/>
      <c r="P22" s="324">
        <v>2100000</v>
      </c>
      <c r="Q22" s="1082">
        <f>SUM(P22:P25)</f>
        <v>49100349</v>
      </c>
      <c r="R22" s="1088" t="s">
        <v>738</v>
      </c>
      <c r="S22" s="1089"/>
      <c r="T22" s="1089"/>
      <c r="U22" s="1089"/>
      <c r="V22" s="505">
        <v>9000000</v>
      </c>
      <c r="W22" s="1180">
        <f>SUM(V22:V25)</f>
        <v>116526923</v>
      </c>
      <c r="X22" s="391"/>
      <c r="Y22" s="392"/>
      <c r="Z22" s="393"/>
      <c r="AA22" s="391"/>
      <c r="AB22" s="392"/>
      <c r="AC22" s="374"/>
    </row>
    <row r="23" spans="1:29" ht="24.75" customHeight="1">
      <c r="A23" s="402"/>
      <c r="B23" s="361"/>
      <c r="C23" s="388"/>
      <c r="D23" s="389"/>
      <c r="E23" s="361"/>
      <c r="F23" s="362"/>
      <c r="G23" s="364"/>
      <c r="H23" s="365"/>
      <c r="I23" s="365"/>
      <c r="J23" s="390"/>
      <c r="K23" s="1083"/>
      <c r="L23" s="1100" t="s">
        <v>791</v>
      </c>
      <c r="M23" s="1101"/>
      <c r="N23" s="1101"/>
      <c r="O23" s="1101"/>
      <c r="P23" s="324">
        <v>40118910</v>
      </c>
      <c r="Q23" s="1083"/>
      <c r="R23" s="1088" t="s">
        <v>740</v>
      </c>
      <c r="S23" s="1089"/>
      <c r="T23" s="1089"/>
      <c r="U23" s="1089"/>
      <c r="V23" s="505"/>
      <c r="W23" s="1116"/>
      <c r="X23" s="822"/>
      <c r="Y23" s="389"/>
      <c r="Z23" s="361"/>
      <c r="AA23" s="402"/>
      <c r="AB23" s="389"/>
      <c r="AC23" s="362"/>
    </row>
    <row r="24" spans="1:29" ht="24.75" customHeight="1">
      <c r="A24" s="402"/>
      <c r="B24" s="361"/>
      <c r="C24" s="388"/>
      <c r="D24" s="389"/>
      <c r="E24" s="361"/>
      <c r="F24" s="362"/>
      <c r="G24" s="364"/>
      <c r="H24" s="365"/>
      <c r="I24" s="365"/>
      <c r="J24" s="390"/>
      <c r="K24" s="1083"/>
      <c r="L24" s="1100" t="s">
        <v>961</v>
      </c>
      <c r="M24" s="1101"/>
      <c r="N24" s="1101"/>
      <c r="O24" s="1101"/>
      <c r="P24" s="324">
        <v>1092680</v>
      </c>
      <c r="Q24" s="1083"/>
      <c r="R24" s="1085" t="s">
        <v>742</v>
      </c>
      <c r="S24" s="1086"/>
      <c r="T24" s="1086"/>
      <c r="U24" s="1086"/>
      <c r="V24" s="904">
        <f>92795675+2881248+4230000</f>
        <v>99906923</v>
      </c>
      <c r="W24" s="1116"/>
      <c r="X24" s="822"/>
      <c r="Y24" s="389"/>
      <c r="Z24" s="361"/>
      <c r="AA24" s="402"/>
      <c r="AB24" s="389"/>
      <c r="AC24" s="362"/>
    </row>
    <row r="25" spans="1:29" ht="34.5" customHeight="1" thickBot="1">
      <c r="A25" s="1159" t="s">
        <v>493</v>
      </c>
      <c r="B25" s="1160"/>
      <c r="C25" s="1161"/>
      <c r="D25" s="394">
        <f>SUM('6. kiadások megbontása'!G50)</f>
        <v>171769939</v>
      </c>
      <c r="E25" s="342">
        <f>SUM('6. kiadások megbontása'!H50)</f>
        <v>640006805</v>
      </c>
      <c r="F25" s="343">
        <f>SUM(D25:E25)</f>
        <v>811776744</v>
      </c>
      <c r="G25" s="395"/>
      <c r="H25" s="326"/>
      <c r="I25" s="326"/>
      <c r="J25" s="353"/>
      <c r="K25" s="1084"/>
      <c r="L25" s="1100" t="s">
        <v>965</v>
      </c>
      <c r="M25" s="1101"/>
      <c r="N25" s="1101"/>
      <c r="O25" s="1101"/>
      <c r="P25" s="324">
        <v>5788759</v>
      </c>
      <c r="Q25" s="1084"/>
      <c r="R25" s="1090" t="s">
        <v>739</v>
      </c>
      <c r="S25" s="1091"/>
      <c r="T25" s="1091"/>
      <c r="U25" s="1091"/>
      <c r="V25" s="504">
        <v>7620000</v>
      </c>
      <c r="W25" s="1181"/>
      <c r="X25" s="396">
        <f>SUM(W22,Q22,K22)</f>
        <v>165627272</v>
      </c>
      <c r="Y25" s="355">
        <f>SUM(Q26,W26,K26)</f>
        <v>645276555</v>
      </c>
      <c r="Z25" s="356">
        <f>SUM(X25:Y25)</f>
        <v>810903827</v>
      </c>
      <c r="AA25" s="354">
        <f>X25-D25</f>
        <v>-6142667</v>
      </c>
      <c r="AB25" s="355">
        <f>Y25-E25</f>
        <v>5269750</v>
      </c>
      <c r="AC25" s="357">
        <f>SUM(AA25:AB25)</f>
        <v>-872917</v>
      </c>
    </row>
    <row r="26" spans="1:29" ht="29.25" customHeight="1">
      <c r="A26" s="338"/>
      <c r="B26" s="339"/>
      <c r="C26" s="340"/>
      <c r="D26" s="394"/>
      <c r="E26" s="342"/>
      <c r="F26" s="343"/>
      <c r="G26" s="628"/>
      <c r="H26" s="629"/>
      <c r="I26" s="629"/>
      <c r="J26" s="369"/>
      <c r="K26" s="1087">
        <f>SUM(J26)</f>
        <v>0</v>
      </c>
      <c r="L26" s="1094" t="s">
        <v>962</v>
      </c>
      <c r="M26" s="1095"/>
      <c r="N26" s="1095"/>
      <c r="O26" s="1095"/>
      <c r="P26" s="753">
        <v>6000000</v>
      </c>
      <c r="Q26" s="1087">
        <f>SUM(P26:P27)</f>
        <v>6000000</v>
      </c>
      <c r="R26" s="1088" t="s">
        <v>737</v>
      </c>
      <c r="S26" s="1089"/>
      <c r="T26" s="1089"/>
      <c r="U26" s="1089"/>
      <c r="V26" s="905">
        <f>639276554+1</f>
        <v>639276555</v>
      </c>
      <c r="W26" s="1151">
        <f>SUM(V26:V27)</f>
        <v>639276555</v>
      </c>
      <c r="X26" s="397"/>
      <c r="Y26" s="355"/>
      <c r="Z26" s="356"/>
      <c r="AA26" s="354"/>
      <c r="AB26" s="355"/>
      <c r="AC26" s="357"/>
    </row>
    <row r="27" spans="1:29" ht="27.75" customHeight="1" thickBot="1">
      <c r="A27" s="338"/>
      <c r="B27" s="339"/>
      <c r="C27" s="340"/>
      <c r="D27" s="394"/>
      <c r="E27" s="342"/>
      <c r="F27" s="343"/>
      <c r="G27" s="395"/>
      <c r="H27" s="326"/>
      <c r="I27" s="326"/>
      <c r="J27" s="353"/>
      <c r="K27" s="1083"/>
      <c r="L27" s="1090" t="s">
        <v>789</v>
      </c>
      <c r="M27" s="1091"/>
      <c r="N27" s="1091"/>
      <c r="O27" s="1091"/>
      <c r="P27" s="680">
        <v>0</v>
      </c>
      <c r="Q27" s="1083"/>
      <c r="R27" s="484"/>
      <c r="S27" s="627"/>
      <c r="T27" s="627"/>
      <c r="U27" s="627"/>
      <c r="V27" s="505"/>
      <c r="W27" s="1152"/>
      <c r="X27" s="397"/>
      <c r="Y27" s="355"/>
      <c r="Z27" s="356"/>
      <c r="AA27" s="354"/>
      <c r="AB27" s="355"/>
      <c r="AC27" s="357"/>
    </row>
    <row r="28" spans="1:223" s="483" customFormat="1" ht="33.75" customHeight="1" thickBot="1">
      <c r="A28" s="1164" t="s">
        <v>993</v>
      </c>
      <c r="B28" s="1165"/>
      <c r="C28" s="1166"/>
      <c r="D28" s="758">
        <f>SUM(D9:D27)</f>
        <v>643866290</v>
      </c>
      <c r="E28" s="759">
        <f>SUM(E8:E27)</f>
        <v>947919936</v>
      </c>
      <c r="F28" s="760">
        <f>SUM(F8:F27)</f>
        <v>1591786226</v>
      </c>
      <c r="G28" s="761"/>
      <c r="H28" s="1167" t="s">
        <v>93</v>
      </c>
      <c r="I28" s="1168"/>
      <c r="J28" s="1169"/>
      <c r="K28" s="762">
        <f>SUM(K8:K27)</f>
        <v>167372158</v>
      </c>
      <c r="L28" s="491"/>
      <c r="M28" s="1098" t="s">
        <v>94</v>
      </c>
      <c r="N28" s="1098"/>
      <c r="O28" s="1098"/>
      <c r="P28" s="1099"/>
      <c r="Q28" s="762">
        <f>SUM(Q8:Q27)</f>
        <v>106743634</v>
      </c>
      <c r="R28" s="493"/>
      <c r="S28" s="1098" t="s">
        <v>95</v>
      </c>
      <c r="T28" s="1098"/>
      <c r="U28" s="1098"/>
      <c r="V28" s="1099"/>
      <c r="W28" s="763">
        <f>SUM(W8:W27)</f>
        <v>1384266574</v>
      </c>
      <c r="X28" s="764">
        <f>SUM(X8:X27)</f>
        <v>708590066</v>
      </c>
      <c r="Y28" s="765">
        <f>SUM(Y8:Y27)</f>
        <v>949792300</v>
      </c>
      <c r="Z28" s="766">
        <f>SUM(X28:Y28)</f>
        <v>1658382366</v>
      </c>
      <c r="AA28" s="767">
        <f>SUM(AA11:AA27)</f>
        <v>64723776</v>
      </c>
      <c r="AB28" s="768">
        <f>SUM(AB10:AB27)</f>
        <v>1872364</v>
      </c>
      <c r="AC28" s="489">
        <f>SUM(AA28:AB28)</f>
        <v>66596140</v>
      </c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498"/>
      <c r="CQ28" s="498"/>
      <c r="CR28" s="498"/>
      <c r="CS28" s="498"/>
      <c r="CT28" s="498"/>
      <c r="CU28" s="498"/>
      <c r="CV28" s="498"/>
      <c r="CW28" s="498"/>
      <c r="CX28" s="498"/>
      <c r="CY28" s="498"/>
      <c r="CZ28" s="498"/>
      <c r="DA28" s="498"/>
      <c r="DB28" s="498"/>
      <c r="DC28" s="498"/>
      <c r="DD28" s="498"/>
      <c r="DE28" s="498"/>
      <c r="DF28" s="498"/>
      <c r="DG28" s="498"/>
      <c r="DH28" s="498"/>
      <c r="DI28" s="498"/>
      <c r="DJ28" s="498"/>
      <c r="DK28" s="498"/>
      <c r="DL28" s="498"/>
      <c r="DM28" s="498"/>
      <c r="DN28" s="498"/>
      <c r="DO28" s="498"/>
      <c r="DP28" s="498"/>
      <c r="DQ28" s="498"/>
      <c r="DR28" s="498"/>
      <c r="DS28" s="498"/>
      <c r="DT28" s="498"/>
      <c r="DU28" s="498"/>
      <c r="DV28" s="498"/>
      <c r="DW28" s="498"/>
      <c r="DX28" s="498"/>
      <c r="DY28" s="498"/>
      <c r="DZ28" s="498"/>
      <c r="EA28" s="498"/>
      <c r="EB28" s="498"/>
      <c r="EC28" s="498"/>
      <c r="ED28" s="498"/>
      <c r="EE28" s="498"/>
      <c r="EF28" s="498"/>
      <c r="EG28" s="498"/>
      <c r="EH28" s="498"/>
      <c r="EI28" s="498"/>
      <c r="EJ28" s="498"/>
      <c r="EK28" s="498"/>
      <c r="EL28" s="498"/>
      <c r="EM28" s="498"/>
      <c r="EN28" s="498"/>
      <c r="EO28" s="498"/>
      <c r="EP28" s="498"/>
      <c r="EQ28" s="498"/>
      <c r="ER28" s="498"/>
      <c r="ES28" s="498"/>
      <c r="ET28" s="498"/>
      <c r="EU28" s="498"/>
      <c r="EV28" s="498"/>
      <c r="EW28" s="498"/>
      <c r="EX28" s="498"/>
      <c r="EY28" s="498"/>
      <c r="EZ28" s="498"/>
      <c r="FA28" s="498"/>
      <c r="FB28" s="498"/>
      <c r="FC28" s="498"/>
      <c r="FD28" s="498"/>
      <c r="FE28" s="498"/>
      <c r="FF28" s="498"/>
      <c r="FG28" s="498"/>
      <c r="FH28" s="498"/>
      <c r="FI28" s="498"/>
      <c r="FJ28" s="498"/>
      <c r="FK28" s="498"/>
      <c r="FL28" s="498"/>
      <c r="FM28" s="498"/>
      <c r="FN28" s="498"/>
      <c r="FO28" s="498"/>
      <c r="FP28" s="498"/>
      <c r="FQ28" s="498"/>
      <c r="FR28" s="498"/>
      <c r="FS28" s="498"/>
      <c r="FT28" s="498"/>
      <c r="FU28" s="498"/>
      <c r="FV28" s="498"/>
      <c r="FW28" s="498"/>
      <c r="FX28" s="498"/>
      <c r="FY28" s="498"/>
      <c r="FZ28" s="498"/>
      <c r="GA28" s="498"/>
      <c r="GB28" s="498"/>
      <c r="GC28" s="498"/>
      <c r="GD28" s="498"/>
      <c r="GE28" s="498"/>
      <c r="GF28" s="498"/>
      <c r="GG28" s="498"/>
      <c r="GH28" s="498"/>
      <c r="GI28" s="498"/>
      <c r="GJ28" s="498"/>
      <c r="GK28" s="498"/>
      <c r="GL28" s="498"/>
      <c r="GM28" s="498"/>
      <c r="GN28" s="498"/>
      <c r="GO28" s="498"/>
      <c r="GP28" s="498"/>
      <c r="GQ28" s="498"/>
      <c r="GR28" s="498"/>
      <c r="GS28" s="498"/>
      <c r="GT28" s="498"/>
      <c r="GU28" s="498"/>
      <c r="GV28" s="498"/>
      <c r="GW28" s="498"/>
      <c r="GX28" s="498"/>
      <c r="GY28" s="498"/>
      <c r="GZ28" s="498"/>
      <c r="HA28" s="498"/>
      <c r="HB28" s="498"/>
      <c r="HC28" s="498"/>
      <c r="HD28" s="498"/>
      <c r="HE28" s="498"/>
      <c r="HF28" s="498"/>
      <c r="HG28" s="498"/>
      <c r="HH28" s="498"/>
      <c r="HI28" s="498"/>
      <c r="HJ28" s="498"/>
      <c r="HK28" s="498"/>
      <c r="HL28" s="498"/>
      <c r="HM28" s="498"/>
      <c r="HN28" s="498"/>
      <c r="HO28" s="498"/>
    </row>
    <row r="29" spans="1:29" ht="27.75" customHeight="1" thickBot="1" thickTop="1">
      <c r="A29" s="1183" t="s">
        <v>990</v>
      </c>
      <c r="B29" s="1184"/>
      <c r="C29" s="1185"/>
      <c r="D29" s="1134" t="s">
        <v>364</v>
      </c>
      <c r="E29" s="1135"/>
      <c r="F29" s="1136"/>
      <c r="G29" s="1137" t="s">
        <v>513</v>
      </c>
      <c r="H29" s="1135"/>
      <c r="I29" s="1135"/>
      <c r="J29" s="1135"/>
      <c r="K29" s="1172"/>
      <c r="L29" s="1128" t="s">
        <v>514</v>
      </c>
      <c r="M29" s="1135"/>
      <c r="N29" s="1135"/>
      <c r="O29" s="1135"/>
      <c r="P29" s="1135"/>
      <c r="Q29" s="1172"/>
      <c r="R29" s="1128" t="s">
        <v>515</v>
      </c>
      <c r="S29" s="1135"/>
      <c r="T29" s="1135"/>
      <c r="U29" s="1135"/>
      <c r="V29" s="1135"/>
      <c r="W29" s="1136"/>
      <c r="X29" s="1177" t="s">
        <v>516</v>
      </c>
      <c r="Y29" s="1147"/>
      <c r="Z29" s="1147"/>
      <c r="AA29" s="1148" t="s">
        <v>87</v>
      </c>
      <c r="AB29" s="1149"/>
      <c r="AC29" s="1150"/>
    </row>
    <row r="30" spans="1:223" s="398" customFormat="1" ht="18.75" customHeight="1" thickBot="1" thickTop="1">
      <c r="A30" s="1186"/>
      <c r="B30" s="1187"/>
      <c r="C30" s="1188"/>
      <c r="D30" s="479" t="s">
        <v>88</v>
      </c>
      <c r="E30" s="791" t="s">
        <v>85</v>
      </c>
      <c r="F30" s="318" t="s">
        <v>89</v>
      </c>
      <c r="G30" s="1189"/>
      <c r="H30" s="1174"/>
      <c r="I30" s="1174"/>
      <c r="J30" s="1190"/>
      <c r="K30" s="1175"/>
      <c r="L30" s="1173"/>
      <c r="M30" s="1174"/>
      <c r="N30" s="1174"/>
      <c r="O30" s="1174"/>
      <c r="P30" s="1174"/>
      <c r="Q30" s="1175"/>
      <c r="R30" s="1173"/>
      <c r="S30" s="1174"/>
      <c r="T30" s="1174"/>
      <c r="U30" s="1174"/>
      <c r="V30" s="1174"/>
      <c r="W30" s="1176"/>
      <c r="X30" s="776" t="s">
        <v>88</v>
      </c>
      <c r="Y30" s="779" t="s">
        <v>85</v>
      </c>
      <c r="Z30" s="318" t="s">
        <v>89</v>
      </c>
      <c r="AA30" s="770" t="s">
        <v>88</v>
      </c>
      <c r="AB30" s="479" t="s">
        <v>85</v>
      </c>
      <c r="AC30" s="318" t="s">
        <v>89</v>
      </c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  <c r="FL30" s="315"/>
      <c r="FM30" s="315"/>
      <c r="FN30" s="315"/>
      <c r="FO30" s="315"/>
      <c r="FP30" s="315"/>
      <c r="FQ30" s="315"/>
      <c r="FR30" s="315"/>
      <c r="FS30" s="315"/>
      <c r="FT30" s="315"/>
      <c r="FU30" s="315"/>
      <c r="FV30" s="315"/>
      <c r="FW30" s="315"/>
      <c r="FX30" s="315"/>
      <c r="FY30" s="315"/>
      <c r="FZ30" s="315"/>
      <c r="GA30" s="315"/>
      <c r="GB30" s="315"/>
      <c r="GC30" s="315"/>
      <c r="GD30" s="315"/>
      <c r="GE30" s="315"/>
      <c r="GF30" s="315"/>
      <c r="GG30" s="315"/>
      <c r="GH30" s="315"/>
      <c r="GI30" s="315"/>
      <c r="GJ30" s="315"/>
      <c r="GK30" s="315"/>
      <c r="GL30" s="315"/>
      <c r="GM30" s="315"/>
      <c r="GN30" s="315"/>
      <c r="GO30" s="315"/>
      <c r="GP30" s="315"/>
      <c r="GQ30" s="315"/>
      <c r="GR30" s="315"/>
      <c r="GS30" s="315"/>
      <c r="GT30" s="315"/>
      <c r="GU30" s="315"/>
      <c r="GV30" s="315"/>
      <c r="GW30" s="315"/>
      <c r="GX30" s="315"/>
      <c r="GY30" s="315"/>
      <c r="GZ30" s="315"/>
      <c r="HA30" s="315"/>
      <c r="HB30" s="315"/>
      <c r="HC30" s="315"/>
      <c r="HD30" s="315"/>
      <c r="HE30" s="315"/>
      <c r="HF30" s="315"/>
      <c r="HG30" s="315"/>
      <c r="HH30" s="315"/>
      <c r="HI30" s="315"/>
      <c r="HJ30" s="315"/>
      <c r="HK30" s="315"/>
      <c r="HL30" s="315"/>
      <c r="HM30" s="315"/>
      <c r="HN30" s="315"/>
      <c r="HO30" s="315"/>
    </row>
    <row r="31" spans="1:29" ht="12.75" customHeight="1">
      <c r="A31" s="319"/>
      <c r="B31" s="361"/>
      <c r="C31" s="361"/>
      <c r="D31" s="389"/>
      <c r="E31" s="361"/>
      <c r="F31" s="323"/>
      <c r="G31" s="1153" t="s">
        <v>474</v>
      </c>
      <c r="H31" s="1154"/>
      <c r="I31" s="1154"/>
      <c r="J31" s="1157">
        <f>119812800+22486700</f>
        <v>142299500</v>
      </c>
      <c r="K31" s="1191">
        <f>SUM(J31:J34)</f>
        <v>142299500</v>
      </c>
      <c r="L31" s="1092"/>
      <c r="M31" s="1093"/>
      <c r="N31" s="1093"/>
      <c r="O31" s="1093"/>
      <c r="P31" s="1102"/>
      <c r="Q31" s="1087">
        <f>SUM(P31:P34)</f>
        <v>0</v>
      </c>
      <c r="R31" s="1108" t="s">
        <v>818</v>
      </c>
      <c r="S31" s="1109"/>
      <c r="T31" s="1109"/>
      <c r="U31" s="1109"/>
      <c r="V31" s="1102">
        <v>250000</v>
      </c>
      <c r="W31" s="1104">
        <f>SUM(V31:V34)</f>
        <v>5805209</v>
      </c>
      <c r="X31" s="399"/>
      <c r="Y31" s="400"/>
      <c r="Z31" s="401"/>
      <c r="AA31" s="319"/>
      <c r="AB31" s="336"/>
      <c r="AC31" s="337"/>
    </row>
    <row r="32" spans="1:29" ht="12.75" customHeight="1">
      <c r="A32" s="402"/>
      <c r="B32" s="359"/>
      <c r="C32" s="359"/>
      <c r="D32" s="403"/>
      <c r="E32" s="361"/>
      <c r="F32" s="362"/>
      <c r="G32" s="1155"/>
      <c r="H32" s="1156"/>
      <c r="I32" s="1156"/>
      <c r="J32" s="1158"/>
      <c r="K32" s="1083"/>
      <c r="L32" s="1088"/>
      <c r="M32" s="1089"/>
      <c r="N32" s="1089"/>
      <c r="O32" s="1089"/>
      <c r="P32" s="1103"/>
      <c r="Q32" s="1083"/>
      <c r="R32" s="1085"/>
      <c r="S32" s="1086"/>
      <c r="T32" s="1086"/>
      <c r="U32" s="1086"/>
      <c r="V32" s="1103"/>
      <c r="W32" s="1105"/>
      <c r="X32" s="404"/>
      <c r="Y32" s="345"/>
      <c r="Z32" s="335"/>
      <c r="AA32" s="346"/>
      <c r="AB32" s="347"/>
      <c r="AC32" s="348"/>
    </row>
    <row r="33" spans="1:29" ht="24.75" customHeight="1">
      <c r="A33" s="402"/>
      <c r="B33" s="1160" t="s">
        <v>492</v>
      </c>
      <c r="C33" s="1161"/>
      <c r="D33" s="394">
        <f>SUM('6. kiadások megbontása'!D54)</f>
        <v>135172672</v>
      </c>
      <c r="E33" s="342">
        <f>SUM('6. kiadások megbontása'!E54)</f>
        <v>1934590</v>
      </c>
      <c r="F33" s="343">
        <f>SUM(D33:E33)</f>
        <v>137107262</v>
      </c>
      <c r="G33" s="326"/>
      <c r="H33" s="326"/>
      <c r="I33" s="326"/>
      <c r="J33" s="488"/>
      <c r="K33" s="1083"/>
      <c r="L33" s="1088"/>
      <c r="M33" s="1089"/>
      <c r="N33" s="1089"/>
      <c r="O33" s="1089"/>
      <c r="P33" s="503"/>
      <c r="Q33" s="1083"/>
      <c r="R33" s="1085" t="s">
        <v>520</v>
      </c>
      <c r="S33" s="1086"/>
      <c r="T33" s="1086"/>
      <c r="U33" s="1086"/>
      <c r="V33" s="501">
        <v>5537349</v>
      </c>
      <c r="W33" s="1105"/>
      <c r="X33" s="404">
        <f>SUM(W31,Q31,K31)</f>
        <v>148104709</v>
      </c>
      <c r="Y33" s="345">
        <v>0</v>
      </c>
      <c r="Z33" s="356">
        <f>SUM(Y33,X33)</f>
        <v>148104709</v>
      </c>
      <c r="AA33" s="354">
        <f>X33-D33</f>
        <v>12932037</v>
      </c>
      <c r="AB33" s="355">
        <f>Y33-E33</f>
        <v>-1934590</v>
      </c>
      <c r="AC33" s="348">
        <f>SUM(AA33:AB33)</f>
        <v>10997447</v>
      </c>
    </row>
    <row r="34" spans="1:29" ht="20.25" customHeight="1">
      <c r="A34" s="402"/>
      <c r="B34" s="359"/>
      <c r="C34" s="359"/>
      <c r="D34" s="405"/>
      <c r="E34" s="406"/>
      <c r="F34" s="407"/>
      <c r="G34" s="326"/>
      <c r="H34" s="326"/>
      <c r="I34" s="326"/>
      <c r="J34" s="408"/>
      <c r="K34" s="1083"/>
      <c r="L34" s="1088"/>
      <c r="M34" s="1089"/>
      <c r="N34" s="1089"/>
      <c r="O34" s="1089"/>
      <c r="P34" s="503"/>
      <c r="Q34" s="1083"/>
      <c r="R34" s="1085" t="s">
        <v>793</v>
      </c>
      <c r="S34" s="1086"/>
      <c r="T34" s="1086"/>
      <c r="U34" s="1086"/>
      <c r="V34" s="911">
        <v>17860</v>
      </c>
      <c r="W34" s="1105"/>
      <c r="X34" s="404"/>
      <c r="Y34" s="345"/>
      <c r="Z34" s="335"/>
      <c r="AA34" s="346"/>
      <c r="AB34" s="347"/>
      <c r="AC34" s="348"/>
    </row>
    <row r="35" spans="1:29" ht="20.25" customHeight="1" thickBot="1">
      <c r="A35" s="1228" t="s">
        <v>493</v>
      </c>
      <c r="B35" s="1229"/>
      <c r="C35" s="1230"/>
      <c r="D35" s="820">
        <f>'6. kiadások megbontása'!G54</f>
        <v>8450747</v>
      </c>
      <c r="E35" s="806"/>
      <c r="F35" s="821">
        <f>SUM(D35:E35)</f>
        <v>8450747</v>
      </c>
      <c r="G35" s="807"/>
      <c r="H35" s="807"/>
      <c r="I35" s="807"/>
      <c r="J35" s="808"/>
      <c r="K35" s="809"/>
      <c r="L35" s="810"/>
      <c r="M35" s="811"/>
      <c r="N35" s="811"/>
      <c r="O35" s="811"/>
      <c r="P35" s="812"/>
      <c r="Q35" s="809"/>
      <c r="R35" s="1106" t="s">
        <v>742</v>
      </c>
      <c r="S35" s="1107"/>
      <c r="T35" s="1107"/>
      <c r="U35" s="1107"/>
      <c r="V35" s="813">
        <v>789210</v>
      </c>
      <c r="W35" s="814">
        <f>SUM(V35)</f>
        <v>789210</v>
      </c>
      <c r="X35" s="815">
        <f>W35</f>
        <v>789210</v>
      </c>
      <c r="Y35" s="816"/>
      <c r="Z35" s="819">
        <f>SUM(Y35,X35)</f>
        <v>789210</v>
      </c>
      <c r="AA35" s="817"/>
      <c r="AB35" s="818"/>
      <c r="AC35" s="819"/>
    </row>
    <row r="36" spans="1:223" s="483" customFormat="1" ht="33.75" customHeight="1" thickBot="1">
      <c r="A36" s="1164" t="s">
        <v>992</v>
      </c>
      <c r="B36" s="1165"/>
      <c r="C36" s="1166"/>
      <c r="D36" s="758">
        <f>SUM(D31:D35)</f>
        <v>143623419</v>
      </c>
      <c r="E36" s="759">
        <f>SUM(E31:E35)</f>
        <v>1934590</v>
      </c>
      <c r="F36" s="760">
        <f>SUM(F31:F35)</f>
        <v>145558009</v>
      </c>
      <c r="G36" s="761"/>
      <c r="H36" s="1167" t="s">
        <v>93</v>
      </c>
      <c r="I36" s="1168"/>
      <c r="J36" s="1169"/>
      <c r="K36" s="762">
        <f>SUM(K31:K34)</f>
        <v>142299500</v>
      </c>
      <c r="L36" s="491"/>
      <c r="M36" s="1098" t="s">
        <v>94</v>
      </c>
      <c r="N36" s="1098"/>
      <c r="O36" s="1098"/>
      <c r="P36" s="1099"/>
      <c r="Q36" s="762">
        <f>SUM(Q31:Q34)</f>
        <v>0</v>
      </c>
      <c r="R36" s="493"/>
      <c r="S36" s="1098" t="s">
        <v>95</v>
      </c>
      <c r="T36" s="1098"/>
      <c r="U36" s="1098"/>
      <c r="V36" s="1099"/>
      <c r="W36" s="763">
        <f>SUM(W31:W35)</f>
        <v>6594419</v>
      </c>
      <c r="X36" s="764">
        <f>SUM(X31:X35)</f>
        <v>148893919</v>
      </c>
      <c r="Y36" s="765">
        <v>0</v>
      </c>
      <c r="Z36" s="766">
        <f>SUM(X36:Y36)</f>
        <v>148893919</v>
      </c>
      <c r="AA36" s="767">
        <f>X36-D36</f>
        <v>5270500</v>
      </c>
      <c r="AB36" s="768">
        <f>Y36-E36</f>
        <v>-1934590</v>
      </c>
      <c r="AC36" s="489">
        <f>SUM(AA36:AB36)</f>
        <v>3335910</v>
      </c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8"/>
      <c r="BL36" s="498"/>
      <c r="BM36" s="498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498"/>
      <c r="CQ36" s="498"/>
      <c r="CR36" s="498"/>
      <c r="CS36" s="498"/>
      <c r="CT36" s="498"/>
      <c r="CU36" s="498"/>
      <c r="CV36" s="498"/>
      <c r="CW36" s="498"/>
      <c r="CX36" s="498"/>
      <c r="CY36" s="498"/>
      <c r="CZ36" s="498"/>
      <c r="DA36" s="498"/>
      <c r="DB36" s="498"/>
      <c r="DC36" s="498"/>
      <c r="DD36" s="498"/>
      <c r="DE36" s="498"/>
      <c r="DF36" s="498"/>
      <c r="DG36" s="498"/>
      <c r="DH36" s="498"/>
      <c r="DI36" s="498"/>
      <c r="DJ36" s="498"/>
      <c r="DK36" s="498"/>
      <c r="DL36" s="498"/>
      <c r="DM36" s="498"/>
      <c r="DN36" s="498"/>
      <c r="DO36" s="498"/>
      <c r="DP36" s="498"/>
      <c r="DQ36" s="498"/>
      <c r="DR36" s="498"/>
      <c r="DS36" s="498"/>
      <c r="DT36" s="498"/>
      <c r="DU36" s="498"/>
      <c r="DV36" s="498"/>
      <c r="DW36" s="498"/>
      <c r="DX36" s="498"/>
      <c r="DY36" s="498"/>
      <c r="DZ36" s="498"/>
      <c r="EA36" s="498"/>
      <c r="EB36" s="498"/>
      <c r="EC36" s="498"/>
      <c r="ED36" s="498"/>
      <c r="EE36" s="498"/>
      <c r="EF36" s="498"/>
      <c r="EG36" s="498"/>
      <c r="EH36" s="498"/>
      <c r="EI36" s="498"/>
      <c r="EJ36" s="498"/>
      <c r="EK36" s="498"/>
      <c r="EL36" s="498"/>
      <c r="EM36" s="498"/>
      <c r="EN36" s="498"/>
      <c r="EO36" s="498"/>
      <c r="EP36" s="498"/>
      <c r="EQ36" s="498"/>
      <c r="ER36" s="498"/>
      <c r="ES36" s="498"/>
      <c r="ET36" s="498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498"/>
      <c r="FF36" s="498"/>
      <c r="FG36" s="498"/>
      <c r="FH36" s="498"/>
      <c r="FI36" s="498"/>
      <c r="FJ36" s="498"/>
      <c r="FK36" s="498"/>
      <c r="FL36" s="498"/>
      <c r="FM36" s="498"/>
      <c r="FN36" s="498"/>
      <c r="FO36" s="498"/>
      <c r="FP36" s="498"/>
      <c r="FQ36" s="498"/>
      <c r="FR36" s="498"/>
      <c r="FS36" s="498"/>
      <c r="FT36" s="498"/>
      <c r="FU36" s="498"/>
      <c r="FV36" s="498"/>
      <c r="FW36" s="498"/>
      <c r="FX36" s="498"/>
      <c r="FY36" s="498"/>
      <c r="FZ36" s="498"/>
      <c r="GA36" s="498"/>
      <c r="GB36" s="498"/>
      <c r="GC36" s="498"/>
      <c r="GD36" s="498"/>
      <c r="GE36" s="498"/>
      <c r="GF36" s="498"/>
      <c r="GG36" s="498"/>
      <c r="GH36" s="498"/>
      <c r="GI36" s="498"/>
      <c r="GJ36" s="498"/>
      <c r="GK36" s="498"/>
      <c r="GL36" s="498"/>
      <c r="GM36" s="498"/>
      <c r="GN36" s="498"/>
      <c r="GO36" s="498"/>
      <c r="GP36" s="498"/>
      <c r="GQ36" s="498"/>
      <c r="GR36" s="498"/>
      <c r="GS36" s="498"/>
      <c r="GT36" s="498"/>
      <c r="GU36" s="498"/>
      <c r="GV36" s="498"/>
      <c r="GW36" s="498"/>
      <c r="GX36" s="498"/>
      <c r="GY36" s="498"/>
      <c r="GZ36" s="498"/>
      <c r="HA36" s="498"/>
      <c r="HB36" s="498"/>
      <c r="HC36" s="498"/>
      <c r="HD36" s="498"/>
      <c r="HE36" s="498"/>
      <c r="HF36" s="498"/>
      <c r="HG36" s="498"/>
      <c r="HH36" s="498"/>
      <c r="HI36" s="498"/>
      <c r="HJ36" s="498"/>
      <c r="HK36" s="498"/>
      <c r="HL36" s="498"/>
      <c r="HM36" s="498"/>
      <c r="HN36" s="498"/>
      <c r="HO36" s="498"/>
    </row>
    <row r="37" spans="1:29" ht="27.75" customHeight="1" thickBot="1" thickTop="1">
      <c r="A37" s="1183" t="s">
        <v>815</v>
      </c>
      <c r="B37" s="1184"/>
      <c r="C37" s="1185"/>
      <c r="D37" s="1134" t="s">
        <v>364</v>
      </c>
      <c r="E37" s="1135"/>
      <c r="F37" s="1136"/>
      <c r="G37" s="1137" t="s">
        <v>513</v>
      </c>
      <c r="H37" s="1135"/>
      <c r="I37" s="1135"/>
      <c r="J37" s="1135"/>
      <c r="K37" s="1172"/>
      <c r="L37" s="1128" t="s">
        <v>514</v>
      </c>
      <c r="M37" s="1135"/>
      <c r="N37" s="1135"/>
      <c r="O37" s="1135"/>
      <c r="P37" s="1135"/>
      <c r="Q37" s="1172"/>
      <c r="R37" s="1128" t="s">
        <v>515</v>
      </c>
      <c r="S37" s="1135"/>
      <c r="T37" s="1135"/>
      <c r="U37" s="1135"/>
      <c r="V37" s="1135"/>
      <c r="W37" s="1136"/>
      <c r="X37" s="1177" t="s">
        <v>516</v>
      </c>
      <c r="Y37" s="1147"/>
      <c r="Z37" s="1147"/>
      <c r="AA37" s="1148" t="s">
        <v>87</v>
      </c>
      <c r="AB37" s="1149"/>
      <c r="AC37" s="1150"/>
    </row>
    <row r="38" spans="1:223" s="398" customFormat="1" ht="18.75" customHeight="1" thickBot="1" thickTop="1">
      <c r="A38" s="1186"/>
      <c r="B38" s="1187"/>
      <c r="C38" s="1188"/>
      <c r="D38" s="479" t="s">
        <v>88</v>
      </c>
      <c r="E38" s="791" t="s">
        <v>85</v>
      </c>
      <c r="F38" s="318" t="s">
        <v>89</v>
      </c>
      <c r="G38" s="1189"/>
      <c r="H38" s="1174"/>
      <c r="I38" s="1174"/>
      <c r="J38" s="1190"/>
      <c r="K38" s="1175"/>
      <c r="L38" s="1173"/>
      <c r="M38" s="1174"/>
      <c r="N38" s="1174"/>
      <c r="O38" s="1174"/>
      <c r="P38" s="1174"/>
      <c r="Q38" s="1175"/>
      <c r="R38" s="1173"/>
      <c r="S38" s="1174"/>
      <c r="T38" s="1174"/>
      <c r="U38" s="1174"/>
      <c r="V38" s="1174"/>
      <c r="W38" s="1174"/>
      <c r="X38" s="778" t="s">
        <v>88</v>
      </c>
      <c r="Y38" s="779" t="s">
        <v>85</v>
      </c>
      <c r="Z38" s="318" t="s">
        <v>89</v>
      </c>
      <c r="AA38" s="770" t="s">
        <v>88</v>
      </c>
      <c r="AB38" s="479" t="s">
        <v>85</v>
      </c>
      <c r="AC38" s="318" t="s">
        <v>89</v>
      </c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  <c r="FL38" s="315"/>
      <c r="FM38" s="315"/>
      <c r="FN38" s="315"/>
      <c r="FO38" s="315"/>
      <c r="FP38" s="315"/>
      <c r="FQ38" s="315"/>
      <c r="FR38" s="315"/>
      <c r="FS38" s="315"/>
      <c r="FT38" s="315"/>
      <c r="FU38" s="315"/>
      <c r="FV38" s="315"/>
      <c r="FW38" s="315"/>
      <c r="FX38" s="315"/>
      <c r="FY38" s="315"/>
      <c r="FZ38" s="315"/>
      <c r="GA38" s="315"/>
      <c r="GB38" s="315"/>
      <c r="GC38" s="315"/>
      <c r="GD38" s="315"/>
      <c r="GE38" s="315"/>
      <c r="GF38" s="315"/>
      <c r="GG38" s="315"/>
      <c r="GH38" s="315"/>
      <c r="GI38" s="315"/>
      <c r="GJ38" s="315"/>
      <c r="GK38" s="315"/>
      <c r="GL38" s="315"/>
      <c r="GM38" s="315"/>
      <c r="GN38" s="315"/>
      <c r="GO38" s="315"/>
      <c r="GP38" s="315"/>
      <c r="GQ38" s="315"/>
      <c r="GR38" s="315"/>
      <c r="GS38" s="315"/>
      <c r="GT38" s="315"/>
      <c r="GU38" s="315"/>
      <c r="GV38" s="315"/>
      <c r="GW38" s="315"/>
      <c r="GX38" s="315"/>
      <c r="GY38" s="315"/>
      <c r="GZ38" s="315"/>
      <c r="HA38" s="315"/>
      <c r="HB38" s="315"/>
      <c r="HC38" s="315"/>
      <c r="HD38" s="315"/>
      <c r="HE38" s="315"/>
      <c r="HF38" s="315"/>
      <c r="HG38" s="315"/>
      <c r="HH38" s="315"/>
      <c r="HI38" s="315"/>
      <c r="HJ38" s="315"/>
      <c r="HK38" s="315"/>
      <c r="HL38" s="315"/>
      <c r="HM38" s="315"/>
      <c r="HN38" s="315"/>
      <c r="HO38" s="315"/>
    </row>
    <row r="39" spans="1:29" ht="26.25" customHeight="1">
      <c r="A39" s="319"/>
      <c r="B39" s="361"/>
      <c r="C39" s="361"/>
      <c r="D39" s="389"/>
      <c r="E39" s="361"/>
      <c r="F39" s="323"/>
      <c r="G39" s="1119" t="s">
        <v>537</v>
      </c>
      <c r="H39" s="1101"/>
      <c r="I39" s="1101"/>
      <c r="J39" s="487">
        <v>10821150</v>
      </c>
      <c r="K39" s="1087">
        <f>SUM(J39:J41)</f>
        <v>10821150</v>
      </c>
      <c r="L39" s="1094" t="s">
        <v>1045</v>
      </c>
      <c r="M39" s="1095"/>
      <c r="N39" s="1095"/>
      <c r="O39" s="1095"/>
      <c r="P39" s="1102">
        <v>2576000</v>
      </c>
      <c r="Q39" s="1087">
        <f>SUM(P39:P41)</f>
        <v>2576000</v>
      </c>
      <c r="R39" s="1085" t="s">
        <v>794</v>
      </c>
      <c r="S39" s="1086"/>
      <c r="T39" s="1086"/>
      <c r="U39" s="1086"/>
      <c r="V39" s="506">
        <v>114300</v>
      </c>
      <c r="W39" s="1115">
        <f>SUM(V39:V41)</f>
        <v>7114520</v>
      </c>
      <c r="X39" s="774"/>
      <c r="Y39" s="400"/>
      <c r="Z39" s="401"/>
      <c r="AA39" s="319"/>
      <c r="AB39" s="336"/>
      <c r="AC39" s="337"/>
    </row>
    <row r="40" spans="1:29" ht="19.5" customHeight="1">
      <c r="A40" s="402"/>
      <c r="B40" s="1160" t="s">
        <v>492</v>
      </c>
      <c r="C40" s="1161"/>
      <c r="D40" s="394">
        <f>SUM('6. kiadások megbontása'!D71)</f>
        <v>32993380</v>
      </c>
      <c r="E40" s="342">
        <f>SUM('6. kiadások megbontása'!E71)</f>
        <v>705000</v>
      </c>
      <c r="F40" s="343">
        <f>SUM(D40:E40)</f>
        <v>33698380</v>
      </c>
      <c r="G40" s="1214"/>
      <c r="H40" s="1097"/>
      <c r="I40" s="1097"/>
      <c r="J40" s="488"/>
      <c r="K40" s="1083"/>
      <c r="L40" s="1100"/>
      <c r="M40" s="1101"/>
      <c r="N40" s="1101"/>
      <c r="O40" s="1101"/>
      <c r="P40" s="1103"/>
      <c r="Q40" s="1083"/>
      <c r="R40" s="1085" t="s">
        <v>795</v>
      </c>
      <c r="S40" s="1086"/>
      <c r="T40" s="1086"/>
      <c r="U40" s="1086"/>
      <c r="V40" s="506">
        <f>5470400+536221+144779</f>
        <v>6151400</v>
      </c>
      <c r="W40" s="1116"/>
      <c r="X40" s="773">
        <f>SUM(W39,Q39,K39)</f>
        <v>20511670</v>
      </c>
      <c r="Y40" s="345">
        <v>0</v>
      </c>
      <c r="Z40" s="356">
        <f>SUM(Y40,X40)</f>
        <v>20511670</v>
      </c>
      <c r="AA40" s="354">
        <f>X40-D40</f>
        <v>-12481710</v>
      </c>
      <c r="AB40" s="355">
        <f>Y40-E40</f>
        <v>-705000</v>
      </c>
      <c r="AC40" s="348">
        <f>SUM(AA40:AB40)</f>
        <v>-13186710</v>
      </c>
    </row>
    <row r="41" spans="1:29" ht="17.25" customHeight="1" thickBot="1">
      <c r="A41" s="402"/>
      <c r="B41" s="359"/>
      <c r="C41" s="359"/>
      <c r="D41" s="405"/>
      <c r="E41" s="406"/>
      <c r="F41" s="407"/>
      <c r="G41" s="326"/>
      <c r="H41" s="326"/>
      <c r="I41" s="326"/>
      <c r="J41" s="408"/>
      <c r="K41" s="1083"/>
      <c r="L41" s="499"/>
      <c r="M41" s="500"/>
      <c r="N41" s="500"/>
      <c r="O41" s="500"/>
      <c r="P41" s="502"/>
      <c r="Q41" s="1083"/>
      <c r="R41" s="1085" t="s">
        <v>797</v>
      </c>
      <c r="S41" s="1086"/>
      <c r="T41" s="1086"/>
      <c r="U41" s="1086"/>
      <c r="V41" s="506">
        <v>848820</v>
      </c>
      <c r="W41" s="1116"/>
      <c r="X41" s="775"/>
      <c r="Y41" s="345"/>
      <c r="Z41" s="335"/>
      <c r="AA41" s="346"/>
      <c r="AB41" s="347"/>
      <c r="AC41" s="348"/>
    </row>
    <row r="42" spans="1:29" ht="15.75">
      <c r="A42" s="431"/>
      <c r="B42" s="432"/>
      <c r="C42" s="490"/>
      <c r="D42" s="433"/>
      <c r="E42" s="434"/>
      <c r="F42" s="435"/>
      <c r="G42" s="1231"/>
      <c r="H42" s="1121"/>
      <c r="I42" s="1121"/>
      <c r="J42" s="436"/>
      <c r="K42" s="1087">
        <f>SUM(J42:J44)</f>
        <v>0</v>
      </c>
      <c r="L42" s="1094" t="s">
        <v>879</v>
      </c>
      <c r="M42" s="1095"/>
      <c r="N42" s="1095"/>
      <c r="O42" s="1095"/>
      <c r="P42" s="436"/>
      <c r="Q42" s="801"/>
      <c r="R42" s="1094" t="s">
        <v>966</v>
      </c>
      <c r="S42" s="1095"/>
      <c r="T42" s="1095"/>
      <c r="U42" s="1095"/>
      <c r="V42" s="437"/>
      <c r="W42" s="1087">
        <f>SUM(V42:V44)</f>
        <v>5642681</v>
      </c>
      <c r="X42" s="438"/>
      <c r="Y42" s="439"/>
      <c r="Z42" s="440"/>
      <c r="AA42" s="441"/>
      <c r="AB42" s="442"/>
      <c r="AC42" s="443"/>
    </row>
    <row r="43" spans="1:29" ht="27" customHeight="1" thickBot="1">
      <c r="A43" s="1159" t="s">
        <v>493</v>
      </c>
      <c r="B43" s="1160"/>
      <c r="C43" s="1161"/>
      <c r="D43" s="394">
        <f>SUM('6. kiadások megbontása'!G71)</f>
        <v>11862203</v>
      </c>
      <c r="E43" s="342">
        <f>SUM('6. kiadások megbontása'!H71)</f>
        <v>0</v>
      </c>
      <c r="F43" s="343">
        <f>SUM(D43:E43)</f>
        <v>11862203</v>
      </c>
      <c r="G43" s="364"/>
      <c r="H43" s="365"/>
      <c r="I43" s="365"/>
      <c r="J43" s="444"/>
      <c r="K43" s="1083"/>
      <c r="L43" s="1090"/>
      <c r="M43" s="1091"/>
      <c r="N43" s="1091"/>
      <c r="O43" s="1091"/>
      <c r="P43" s="324"/>
      <c r="Q43" s="800">
        <f>SUM(P43)</f>
        <v>0</v>
      </c>
      <c r="R43" s="1100"/>
      <c r="S43" s="1101"/>
      <c r="T43" s="1101"/>
      <c r="U43" s="1101"/>
      <c r="V43" s="324">
        <v>5642681</v>
      </c>
      <c r="W43" s="1116"/>
      <c r="X43" s="773">
        <f>SUM(K43+Q43+W42)</f>
        <v>5642681</v>
      </c>
      <c r="Y43" s="345">
        <f>Q44</f>
        <v>0</v>
      </c>
      <c r="Z43" s="356">
        <f>SUM(X43:Y43)</f>
        <v>5642681</v>
      </c>
      <c r="AA43" s="428">
        <f>X43-D43</f>
        <v>-6219522</v>
      </c>
      <c r="AB43" s="355">
        <f>Y43-E43</f>
        <v>0</v>
      </c>
      <c r="AC43" s="357">
        <f>SUM(AA43:AB43)</f>
        <v>-6219522</v>
      </c>
    </row>
    <row r="44" spans="1:29" ht="27" customHeight="1" thickBot="1">
      <c r="A44" s="338"/>
      <c r="B44" s="429"/>
      <c r="C44" s="429"/>
      <c r="D44" s="405"/>
      <c r="E44" s="406"/>
      <c r="F44" s="445"/>
      <c r="G44" s="446"/>
      <c r="H44" s="447"/>
      <c r="I44" s="447"/>
      <c r="J44" s="448"/>
      <c r="K44" s="1084"/>
      <c r="L44" s="1094" t="s">
        <v>880</v>
      </c>
      <c r="M44" s="1095"/>
      <c r="N44" s="1095"/>
      <c r="O44" s="1095"/>
      <c r="P44" s="753"/>
      <c r="Q44" s="800">
        <f>SUM(P44)</f>
        <v>0</v>
      </c>
      <c r="R44" s="906"/>
      <c r="S44" s="907"/>
      <c r="T44" s="907"/>
      <c r="U44" s="907"/>
      <c r="V44" s="908"/>
      <c r="W44" s="1084"/>
      <c r="X44" s="449"/>
      <c r="Y44" s="450"/>
      <c r="Z44" s="409"/>
      <c r="AA44" s="451"/>
      <c r="AB44" s="452"/>
      <c r="AC44" s="453"/>
    </row>
    <row r="45" spans="1:223" s="483" customFormat="1" ht="33.75" customHeight="1" thickBot="1">
      <c r="A45" s="1164" t="s">
        <v>991</v>
      </c>
      <c r="B45" s="1165"/>
      <c r="C45" s="1166"/>
      <c r="D45" s="758">
        <f>SUM(D39:D44)</f>
        <v>44855583</v>
      </c>
      <c r="E45" s="759">
        <f>SUM(E39:E44)</f>
        <v>705000</v>
      </c>
      <c r="F45" s="760">
        <f>SUM(F39:F44)</f>
        <v>45560583</v>
      </c>
      <c r="G45" s="761"/>
      <c r="H45" s="1167" t="s">
        <v>93</v>
      </c>
      <c r="I45" s="1168"/>
      <c r="J45" s="1169"/>
      <c r="K45" s="762">
        <f>SUM(K42+K39)</f>
        <v>10821150</v>
      </c>
      <c r="L45" s="491"/>
      <c r="M45" s="1098" t="s">
        <v>94</v>
      </c>
      <c r="N45" s="1098"/>
      <c r="O45" s="1098"/>
      <c r="P45" s="1099"/>
      <c r="Q45" s="762">
        <f>SUM(Q39:Q44)</f>
        <v>2576000</v>
      </c>
      <c r="R45" s="493"/>
      <c r="S45" s="1098" t="s">
        <v>95</v>
      </c>
      <c r="T45" s="1098"/>
      <c r="U45" s="1098"/>
      <c r="V45" s="1099"/>
      <c r="W45" s="763">
        <f>SUM(W39:W44)</f>
        <v>12757201</v>
      </c>
      <c r="X45" s="764">
        <f>SUM(X39:X44)</f>
        <v>26154351</v>
      </c>
      <c r="Y45" s="765">
        <f>SUM(Y39:Y44)</f>
        <v>0</v>
      </c>
      <c r="Z45" s="766">
        <f>SUM(X45:Y45)</f>
        <v>26154351</v>
      </c>
      <c r="AA45" s="767">
        <f>X45-D45</f>
        <v>-18701232</v>
      </c>
      <c r="AB45" s="768">
        <f>Y45-E45</f>
        <v>-705000</v>
      </c>
      <c r="AC45" s="489">
        <f>SUM(AA45:AB45)</f>
        <v>-19406232</v>
      </c>
      <c r="AD45" s="498"/>
      <c r="AE45" s="498"/>
      <c r="AF45" s="498"/>
      <c r="AG45" s="498"/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498"/>
      <c r="AW45" s="498"/>
      <c r="AX45" s="498"/>
      <c r="AY45" s="498"/>
      <c r="AZ45" s="498"/>
      <c r="BA45" s="498"/>
      <c r="BB45" s="498"/>
      <c r="BC45" s="498"/>
      <c r="BD45" s="498"/>
      <c r="BE45" s="498"/>
      <c r="BF45" s="498"/>
      <c r="BG45" s="498"/>
      <c r="BH45" s="498"/>
      <c r="BI45" s="498"/>
      <c r="BJ45" s="498"/>
      <c r="BK45" s="498"/>
      <c r="BL45" s="498"/>
      <c r="BM45" s="498"/>
      <c r="BN45" s="498"/>
      <c r="BO45" s="498"/>
      <c r="BP45" s="498"/>
      <c r="BQ45" s="498"/>
      <c r="BR45" s="498"/>
      <c r="BS45" s="498"/>
      <c r="BT45" s="498"/>
      <c r="BU45" s="498"/>
      <c r="BV45" s="498"/>
      <c r="BW45" s="498"/>
      <c r="BX45" s="498"/>
      <c r="BY45" s="498"/>
      <c r="BZ45" s="498"/>
      <c r="CA45" s="498"/>
      <c r="CB45" s="498"/>
      <c r="CC45" s="498"/>
      <c r="CD45" s="498"/>
      <c r="CE45" s="498"/>
      <c r="CF45" s="498"/>
      <c r="CG45" s="498"/>
      <c r="CH45" s="498"/>
      <c r="CI45" s="498"/>
      <c r="CJ45" s="498"/>
      <c r="CK45" s="498"/>
      <c r="CL45" s="498"/>
      <c r="CM45" s="498"/>
      <c r="CN45" s="498"/>
      <c r="CO45" s="498"/>
      <c r="CP45" s="498"/>
      <c r="CQ45" s="498"/>
      <c r="CR45" s="498"/>
      <c r="CS45" s="498"/>
      <c r="CT45" s="498"/>
      <c r="CU45" s="498"/>
      <c r="CV45" s="498"/>
      <c r="CW45" s="498"/>
      <c r="CX45" s="498"/>
      <c r="CY45" s="498"/>
      <c r="CZ45" s="498"/>
      <c r="DA45" s="498"/>
      <c r="DB45" s="498"/>
      <c r="DC45" s="498"/>
      <c r="DD45" s="498"/>
      <c r="DE45" s="498"/>
      <c r="DF45" s="498"/>
      <c r="DG45" s="498"/>
      <c r="DH45" s="498"/>
      <c r="DI45" s="498"/>
      <c r="DJ45" s="498"/>
      <c r="DK45" s="498"/>
      <c r="DL45" s="498"/>
      <c r="DM45" s="498"/>
      <c r="DN45" s="498"/>
      <c r="DO45" s="498"/>
      <c r="DP45" s="498"/>
      <c r="DQ45" s="498"/>
      <c r="DR45" s="498"/>
      <c r="DS45" s="498"/>
      <c r="DT45" s="498"/>
      <c r="DU45" s="498"/>
      <c r="DV45" s="498"/>
      <c r="DW45" s="498"/>
      <c r="DX45" s="498"/>
      <c r="DY45" s="498"/>
      <c r="DZ45" s="498"/>
      <c r="EA45" s="498"/>
      <c r="EB45" s="498"/>
      <c r="EC45" s="498"/>
      <c r="ED45" s="498"/>
      <c r="EE45" s="498"/>
      <c r="EF45" s="498"/>
      <c r="EG45" s="498"/>
      <c r="EH45" s="498"/>
      <c r="EI45" s="498"/>
      <c r="EJ45" s="498"/>
      <c r="EK45" s="498"/>
      <c r="EL45" s="498"/>
      <c r="EM45" s="498"/>
      <c r="EN45" s="498"/>
      <c r="EO45" s="498"/>
      <c r="EP45" s="498"/>
      <c r="EQ45" s="498"/>
      <c r="ER45" s="498"/>
      <c r="ES45" s="498"/>
      <c r="ET45" s="498"/>
      <c r="EU45" s="498"/>
      <c r="EV45" s="498"/>
      <c r="EW45" s="498"/>
      <c r="EX45" s="498"/>
      <c r="EY45" s="498"/>
      <c r="EZ45" s="498"/>
      <c r="FA45" s="498"/>
      <c r="FB45" s="498"/>
      <c r="FC45" s="498"/>
      <c r="FD45" s="498"/>
      <c r="FE45" s="498"/>
      <c r="FF45" s="498"/>
      <c r="FG45" s="498"/>
      <c r="FH45" s="498"/>
      <c r="FI45" s="498"/>
      <c r="FJ45" s="498"/>
      <c r="FK45" s="498"/>
      <c r="FL45" s="498"/>
      <c r="FM45" s="498"/>
      <c r="FN45" s="498"/>
      <c r="FO45" s="498"/>
      <c r="FP45" s="498"/>
      <c r="FQ45" s="498"/>
      <c r="FR45" s="498"/>
      <c r="FS45" s="498"/>
      <c r="FT45" s="498"/>
      <c r="FU45" s="498"/>
      <c r="FV45" s="498"/>
      <c r="FW45" s="498"/>
      <c r="FX45" s="498"/>
      <c r="FY45" s="498"/>
      <c r="FZ45" s="498"/>
      <c r="GA45" s="498"/>
      <c r="GB45" s="498"/>
      <c r="GC45" s="498"/>
      <c r="GD45" s="498"/>
      <c r="GE45" s="498"/>
      <c r="GF45" s="498"/>
      <c r="GG45" s="498"/>
      <c r="GH45" s="498"/>
      <c r="GI45" s="498"/>
      <c r="GJ45" s="498"/>
      <c r="GK45" s="498"/>
      <c r="GL45" s="498"/>
      <c r="GM45" s="498"/>
      <c r="GN45" s="498"/>
      <c r="GO45" s="498"/>
      <c r="GP45" s="498"/>
      <c r="GQ45" s="498"/>
      <c r="GR45" s="498"/>
      <c r="GS45" s="498"/>
      <c r="GT45" s="498"/>
      <c r="GU45" s="498"/>
      <c r="GV45" s="498"/>
      <c r="GW45" s="498"/>
      <c r="GX45" s="498"/>
      <c r="GY45" s="498"/>
      <c r="GZ45" s="498"/>
      <c r="HA45" s="498"/>
      <c r="HB45" s="498"/>
      <c r="HC45" s="498"/>
      <c r="HD45" s="498"/>
      <c r="HE45" s="498"/>
      <c r="HF45" s="498"/>
      <c r="HG45" s="498"/>
      <c r="HH45" s="498"/>
      <c r="HI45" s="498"/>
      <c r="HJ45" s="498"/>
      <c r="HK45" s="498"/>
      <c r="HL45" s="498"/>
      <c r="HM45" s="498"/>
      <c r="HN45" s="498"/>
      <c r="HO45" s="498"/>
    </row>
    <row r="46" spans="1:29" ht="17.25" thickBot="1" thickTop="1">
      <c r="A46" s="410"/>
      <c r="B46" s="411"/>
      <c r="C46" s="411"/>
      <c r="D46" s="412"/>
      <c r="E46" s="413"/>
      <c r="F46" s="414"/>
      <c r="G46" s="413"/>
      <c r="H46" s="413"/>
      <c r="I46" s="415"/>
      <c r="J46" s="415"/>
      <c r="K46" s="416"/>
      <c r="L46" s="417"/>
      <c r="M46" s="413"/>
      <c r="N46" s="413"/>
      <c r="O46" s="413"/>
      <c r="P46" s="413"/>
      <c r="Q46" s="416"/>
      <c r="R46" s="413"/>
      <c r="S46" s="413"/>
      <c r="T46" s="413"/>
      <c r="U46" s="413"/>
      <c r="V46" s="413"/>
      <c r="W46" s="418"/>
      <c r="X46" s="419"/>
      <c r="Y46" s="420"/>
      <c r="Z46" s="421"/>
      <c r="AA46" s="410"/>
      <c r="AB46" s="422"/>
      <c r="AC46" s="423"/>
    </row>
    <row r="47" spans="1:29" ht="14.25" thickBot="1" thickTop="1">
      <c r="A47" s="1124" t="s">
        <v>758</v>
      </c>
      <c r="B47" s="1125"/>
      <c r="C47" s="1125"/>
      <c r="D47" s="1134" t="s">
        <v>364</v>
      </c>
      <c r="E47" s="1135"/>
      <c r="F47" s="1136"/>
      <c r="G47" s="1137" t="s">
        <v>513</v>
      </c>
      <c r="H47" s="1196"/>
      <c r="I47" s="1196"/>
      <c r="J47" s="1196"/>
      <c r="K47" s="1197"/>
      <c r="L47" s="1128" t="s">
        <v>514</v>
      </c>
      <c r="M47" s="1129"/>
      <c r="N47" s="1129"/>
      <c r="O47" s="1129"/>
      <c r="P47" s="1129"/>
      <c r="Q47" s="1130"/>
      <c r="R47" s="1128" t="s">
        <v>515</v>
      </c>
      <c r="S47" s="1129"/>
      <c r="T47" s="1129"/>
      <c r="U47" s="1129"/>
      <c r="V47" s="1129"/>
      <c r="W47" s="1220"/>
      <c r="X47" s="1177" t="s">
        <v>516</v>
      </c>
      <c r="Y47" s="1147"/>
      <c r="Z47" s="1147"/>
      <c r="AA47" s="1148" t="s">
        <v>87</v>
      </c>
      <c r="AB47" s="1149"/>
      <c r="AC47" s="1150"/>
    </row>
    <row r="48" spans="1:223" s="684" customFormat="1" ht="32.25" customHeight="1" thickBot="1">
      <c r="A48" s="1126"/>
      <c r="B48" s="1127"/>
      <c r="C48" s="1127"/>
      <c r="D48" s="479" t="s">
        <v>88</v>
      </c>
      <c r="E48" s="791" t="s">
        <v>85</v>
      </c>
      <c r="F48" s="318" t="s">
        <v>89</v>
      </c>
      <c r="G48" s="1198"/>
      <c r="H48" s="1199"/>
      <c r="I48" s="1199"/>
      <c r="J48" s="1199"/>
      <c r="K48" s="1200"/>
      <c r="L48" s="1131"/>
      <c r="M48" s="1132"/>
      <c r="N48" s="1132"/>
      <c r="O48" s="1132"/>
      <c r="P48" s="1132"/>
      <c r="Q48" s="1133"/>
      <c r="R48" s="1131"/>
      <c r="S48" s="1132"/>
      <c r="T48" s="1132"/>
      <c r="U48" s="1132"/>
      <c r="V48" s="1132"/>
      <c r="W48" s="1221"/>
      <c r="X48" s="776" t="s">
        <v>88</v>
      </c>
      <c r="Y48" s="479" t="s">
        <v>85</v>
      </c>
      <c r="Z48" s="777" t="s">
        <v>89</v>
      </c>
      <c r="AA48" s="478" t="s">
        <v>88</v>
      </c>
      <c r="AB48" s="479" t="s">
        <v>85</v>
      </c>
      <c r="AC48" s="318" t="s">
        <v>89</v>
      </c>
      <c r="AD48" s="769"/>
      <c r="AE48" s="769"/>
      <c r="AF48" s="769"/>
      <c r="AG48" s="769"/>
      <c r="AH48" s="769"/>
      <c r="AI48" s="769"/>
      <c r="AJ48" s="769"/>
      <c r="AK48" s="769"/>
      <c r="AL48" s="769"/>
      <c r="AM48" s="769"/>
      <c r="AN48" s="769"/>
      <c r="AO48" s="769"/>
      <c r="AP48" s="769"/>
      <c r="AQ48" s="769"/>
      <c r="AR48" s="769"/>
      <c r="AS48" s="769"/>
      <c r="AT48" s="769"/>
      <c r="AU48" s="769"/>
      <c r="AV48" s="769"/>
      <c r="AW48" s="769"/>
      <c r="AX48" s="769"/>
      <c r="AY48" s="769"/>
      <c r="AZ48" s="769"/>
      <c r="BA48" s="769"/>
      <c r="BB48" s="769"/>
      <c r="BC48" s="769"/>
      <c r="BD48" s="769"/>
      <c r="BE48" s="769"/>
      <c r="BF48" s="769"/>
      <c r="BG48" s="769"/>
      <c r="BH48" s="769"/>
      <c r="BI48" s="769"/>
      <c r="BJ48" s="769"/>
      <c r="BK48" s="769"/>
      <c r="BL48" s="769"/>
      <c r="BM48" s="769"/>
      <c r="BN48" s="769"/>
      <c r="BO48" s="769"/>
      <c r="BP48" s="769"/>
      <c r="BQ48" s="769"/>
      <c r="BR48" s="769"/>
      <c r="BS48" s="769"/>
      <c r="BT48" s="769"/>
      <c r="BU48" s="769"/>
      <c r="BV48" s="769"/>
      <c r="BW48" s="769"/>
      <c r="BX48" s="769"/>
      <c r="BY48" s="769"/>
      <c r="BZ48" s="769"/>
      <c r="CA48" s="769"/>
      <c r="CB48" s="769"/>
      <c r="CC48" s="769"/>
      <c r="CD48" s="769"/>
      <c r="CE48" s="769"/>
      <c r="CF48" s="769"/>
      <c r="CG48" s="769"/>
      <c r="CH48" s="769"/>
      <c r="CI48" s="769"/>
      <c r="CJ48" s="769"/>
      <c r="CK48" s="769"/>
      <c r="CL48" s="769"/>
      <c r="CM48" s="769"/>
      <c r="CN48" s="769"/>
      <c r="CO48" s="769"/>
      <c r="CP48" s="769"/>
      <c r="CQ48" s="769"/>
      <c r="CR48" s="769"/>
      <c r="CS48" s="769"/>
      <c r="CT48" s="769"/>
      <c r="CU48" s="769"/>
      <c r="CV48" s="769"/>
      <c r="CW48" s="769"/>
      <c r="CX48" s="769"/>
      <c r="CY48" s="769"/>
      <c r="CZ48" s="769"/>
      <c r="DA48" s="769"/>
      <c r="DB48" s="769"/>
      <c r="DC48" s="769"/>
      <c r="DD48" s="769"/>
      <c r="DE48" s="769"/>
      <c r="DF48" s="769"/>
      <c r="DG48" s="769"/>
      <c r="DH48" s="769"/>
      <c r="DI48" s="769"/>
      <c r="DJ48" s="769"/>
      <c r="DK48" s="769"/>
      <c r="DL48" s="769"/>
      <c r="DM48" s="769"/>
      <c r="DN48" s="769"/>
      <c r="DO48" s="769"/>
      <c r="DP48" s="769"/>
      <c r="DQ48" s="769"/>
      <c r="DR48" s="769"/>
      <c r="DS48" s="769"/>
      <c r="DT48" s="769"/>
      <c r="DU48" s="769"/>
      <c r="DV48" s="769"/>
      <c r="DW48" s="769"/>
      <c r="DX48" s="769"/>
      <c r="DY48" s="769"/>
      <c r="DZ48" s="769"/>
      <c r="EA48" s="769"/>
      <c r="EB48" s="769"/>
      <c r="EC48" s="769"/>
      <c r="ED48" s="769"/>
      <c r="EE48" s="769"/>
      <c r="EF48" s="769"/>
      <c r="EG48" s="769"/>
      <c r="EH48" s="769"/>
      <c r="EI48" s="769"/>
      <c r="EJ48" s="769"/>
      <c r="EK48" s="769"/>
      <c r="EL48" s="769"/>
      <c r="EM48" s="769"/>
      <c r="EN48" s="769"/>
      <c r="EO48" s="769"/>
      <c r="EP48" s="769"/>
      <c r="EQ48" s="769"/>
      <c r="ER48" s="769"/>
      <c r="ES48" s="769"/>
      <c r="ET48" s="769"/>
      <c r="EU48" s="769"/>
      <c r="EV48" s="769"/>
      <c r="EW48" s="769"/>
      <c r="EX48" s="769"/>
      <c r="EY48" s="769"/>
      <c r="EZ48" s="769"/>
      <c r="FA48" s="769"/>
      <c r="FB48" s="769"/>
      <c r="FC48" s="769"/>
      <c r="FD48" s="769"/>
      <c r="FE48" s="769"/>
      <c r="FF48" s="769"/>
      <c r="FG48" s="769"/>
      <c r="FH48" s="769"/>
      <c r="FI48" s="769"/>
      <c r="FJ48" s="769"/>
      <c r="FK48" s="769"/>
      <c r="FL48" s="769"/>
      <c r="FM48" s="769"/>
      <c r="FN48" s="769"/>
      <c r="FO48" s="769"/>
      <c r="FP48" s="769"/>
      <c r="FQ48" s="769"/>
      <c r="FR48" s="769"/>
      <c r="FS48" s="769"/>
      <c r="FT48" s="769"/>
      <c r="FU48" s="769"/>
      <c r="FV48" s="769"/>
      <c r="FW48" s="769"/>
      <c r="FX48" s="769"/>
      <c r="FY48" s="769"/>
      <c r="FZ48" s="769"/>
      <c r="GA48" s="769"/>
      <c r="GB48" s="769"/>
      <c r="GC48" s="769"/>
      <c r="GD48" s="769"/>
      <c r="GE48" s="769"/>
      <c r="GF48" s="769"/>
      <c r="GG48" s="769"/>
      <c r="GH48" s="769"/>
      <c r="GI48" s="769"/>
      <c r="GJ48" s="769"/>
      <c r="GK48" s="769"/>
      <c r="GL48" s="769"/>
      <c r="GM48" s="769"/>
      <c r="GN48" s="769"/>
      <c r="GO48" s="769"/>
      <c r="GP48" s="769"/>
      <c r="GQ48" s="769"/>
      <c r="GR48" s="769"/>
      <c r="GS48" s="769"/>
      <c r="GT48" s="769"/>
      <c r="GU48" s="769"/>
      <c r="GV48" s="769"/>
      <c r="GW48" s="769"/>
      <c r="GX48" s="769"/>
      <c r="GY48" s="769"/>
      <c r="GZ48" s="769"/>
      <c r="HA48" s="769"/>
      <c r="HB48" s="769"/>
      <c r="HC48" s="769"/>
      <c r="HD48" s="769"/>
      <c r="HE48" s="769"/>
      <c r="HF48" s="769"/>
      <c r="HG48" s="769"/>
      <c r="HH48" s="769"/>
      <c r="HI48" s="769"/>
      <c r="HJ48" s="769"/>
      <c r="HK48" s="769"/>
      <c r="HL48" s="769"/>
      <c r="HM48" s="769"/>
      <c r="HN48" s="769"/>
      <c r="HO48" s="769"/>
    </row>
    <row r="49" spans="1:29" ht="25.5" customHeight="1">
      <c r="A49" s="402"/>
      <c r="B49" s="361"/>
      <c r="C49" s="361"/>
      <c r="D49" s="389"/>
      <c r="E49" s="361"/>
      <c r="F49" s="362"/>
      <c r="G49" s="1195" t="s">
        <v>480</v>
      </c>
      <c r="H49" s="1086"/>
      <c r="I49" s="1086"/>
      <c r="J49" s="503">
        <v>17434600</v>
      </c>
      <c r="K49" s="1087">
        <f>SUM(J49:J56)</f>
        <v>184900326</v>
      </c>
      <c r="L49" s="1118"/>
      <c r="M49" s="1095"/>
      <c r="N49" s="1095"/>
      <c r="O49" s="1095"/>
      <c r="P49" s="503"/>
      <c r="Q49" s="1224">
        <f>SUM(P49:P56)</f>
        <v>0</v>
      </c>
      <c r="R49" s="1088" t="s">
        <v>521</v>
      </c>
      <c r="S49" s="1089"/>
      <c r="T49" s="1089"/>
      <c r="U49" s="1089"/>
      <c r="V49" s="506">
        <v>1411725</v>
      </c>
      <c r="W49" s="1104">
        <f>SUM(V49:V56)</f>
        <v>11502324</v>
      </c>
      <c r="X49" s="361"/>
      <c r="Y49" s="389"/>
      <c r="Z49" s="425"/>
      <c r="AA49" s="402"/>
      <c r="AB49" s="389"/>
      <c r="AC49" s="337"/>
    </row>
    <row r="50" spans="1:29" ht="25.5" customHeight="1" thickBot="1">
      <c r="A50" s="402"/>
      <c r="B50" s="361"/>
      <c r="C50" s="388"/>
      <c r="D50" s="389"/>
      <c r="E50" s="361"/>
      <c r="F50" s="362"/>
      <c r="G50" s="1182" t="s">
        <v>618</v>
      </c>
      <c r="H50" s="1089"/>
      <c r="I50" s="1089"/>
      <c r="J50" s="503">
        <v>94595400</v>
      </c>
      <c r="K50" s="1083"/>
      <c r="L50" s="1222"/>
      <c r="M50" s="1223"/>
      <c r="N50" s="1223"/>
      <c r="O50" s="1223"/>
      <c r="P50" s="363"/>
      <c r="Q50" s="1225"/>
      <c r="R50" s="1088" t="s">
        <v>787</v>
      </c>
      <c r="S50" s="1089"/>
      <c r="T50" s="1089"/>
      <c r="U50" s="1089"/>
      <c r="V50" s="910">
        <v>10077968</v>
      </c>
      <c r="W50" s="1105"/>
      <c r="X50" s="324"/>
      <c r="Y50" s="347"/>
      <c r="Z50" s="335"/>
      <c r="AA50" s="346"/>
      <c r="AB50" s="347"/>
      <c r="AC50" s="348"/>
    </row>
    <row r="51" spans="1:29" ht="30" customHeight="1">
      <c r="A51" s="402"/>
      <c r="B51" s="361"/>
      <c r="C51" s="388"/>
      <c r="D51" s="389"/>
      <c r="E51" s="361"/>
      <c r="F51" s="362"/>
      <c r="G51" s="1182" t="s">
        <v>536</v>
      </c>
      <c r="H51" s="1089"/>
      <c r="I51" s="1089"/>
      <c r="J51" s="506">
        <v>6068200</v>
      </c>
      <c r="K51" s="1083"/>
      <c r="L51" s="485"/>
      <c r="M51" s="486"/>
      <c r="N51" s="486"/>
      <c r="O51" s="486"/>
      <c r="P51" s="363"/>
      <c r="Q51" s="1225"/>
      <c r="R51" s="1092" t="s">
        <v>901</v>
      </c>
      <c r="S51" s="1093"/>
      <c r="T51" s="1093"/>
      <c r="U51" s="1093"/>
      <c r="V51" s="909">
        <v>12631</v>
      </c>
      <c r="W51" s="1105"/>
      <c r="X51" s="324"/>
      <c r="Y51" s="347"/>
      <c r="Z51" s="335"/>
      <c r="AA51" s="346"/>
      <c r="AB51" s="347"/>
      <c r="AC51" s="348"/>
    </row>
    <row r="52" spans="1:29" ht="26.25" customHeight="1">
      <c r="A52" s="1159" t="s">
        <v>492</v>
      </c>
      <c r="B52" s="1206"/>
      <c r="C52" s="1207"/>
      <c r="D52" s="394">
        <f>SUM('6. kiadások megbontása'!D65)</f>
        <v>241079853</v>
      </c>
      <c r="E52" s="342">
        <f>SUM('6. kiadások megbontása'!E65)</f>
        <v>1618615</v>
      </c>
      <c r="F52" s="343">
        <f>SUM(D52:E52)</f>
        <v>242698468</v>
      </c>
      <c r="G52" s="1182" t="s">
        <v>744</v>
      </c>
      <c r="H52" s="1089"/>
      <c r="I52" s="1089"/>
      <c r="J52" s="904">
        <v>23648884</v>
      </c>
      <c r="K52" s="1083"/>
      <c r="L52" s="387"/>
      <c r="M52" s="361"/>
      <c r="N52" s="361"/>
      <c r="O52" s="361"/>
      <c r="P52" s="361"/>
      <c r="Q52" s="1225"/>
      <c r="R52" s="1100"/>
      <c r="S52" s="1101"/>
      <c r="T52" s="1101"/>
      <c r="U52" s="1101"/>
      <c r="V52" s="324"/>
      <c r="W52" s="1105"/>
      <c r="X52" s="427">
        <f>SUM(W49+Q49+K49)</f>
        <v>196402650</v>
      </c>
      <c r="Y52" s="355">
        <v>0</v>
      </c>
      <c r="Z52" s="356">
        <f>SUM(X52:Y52)</f>
        <v>196402650</v>
      </c>
      <c r="AA52" s="428">
        <f>X52-D52</f>
        <v>-44677203</v>
      </c>
      <c r="AB52" s="355">
        <f>Y52-E52</f>
        <v>-1618615</v>
      </c>
      <c r="AC52" s="357">
        <f>SUM(AA52:AB52)</f>
        <v>-46295818</v>
      </c>
    </row>
    <row r="53" spans="1:29" ht="29.25" customHeight="1">
      <c r="A53" s="338"/>
      <c r="B53" s="429"/>
      <c r="C53" s="630"/>
      <c r="D53" s="394"/>
      <c r="E53" s="342"/>
      <c r="F53" s="343"/>
      <c r="G53" s="1182" t="s">
        <v>746</v>
      </c>
      <c r="H53" s="1089"/>
      <c r="I53" s="1089"/>
      <c r="J53" s="506">
        <f>3740000+18150000+418000</f>
        <v>22308000</v>
      </c>
      <c r="K53" s="1083"/>
      <c r="L53" s="387"/>
      <c r="M53" s="361"/>
      <c r="N53" s="361"/>
      <c r="O53" s="361"/>
      <c r="P53" s="430"/>
      <c r="Q53" s="1225"/>
      <c r="R53" s="1100"/>
      <c r="S53" s="1101"/>
      <c r="T53" s="1101"/>
      <c r="U53" s="1101"/>
      <c r="V53" s="426"/>
      <c r="W53" s="1105"/>
      <c r="X53" s="404"/>
      <c r="Y53" s="345"/>
      <c r="Z53" s="356"/>
      <c r="AA53" s="354"/>
      <c r="AB53" s="355"/>
      <c r="AC53" s="348"/>
    </row>
    <row r="54" spans="1:29" ht="29.25" customHeight="1">
      <c r="A54" s="338"/>
      <c r="B54" s="429"/>
      <c r="C54" s="630"/>
      <c r="D54" s="394"/>
      <c r="E54" s="342"/>
      <c r="F54" s="343"/>
      <c r="G54" s="1182" t="s">
        <v>830</v>
      </c>
      <c r="H54" s="1089"/>
      <c r="I54" s="1089"/>
      <c r="J54" s="506">
        <v>7303142</v>
      </c>
      <c r="K54" s="1083"/>
      <c r="L54" s="387"/>
      <c r="M54" s="361"/>
      <c r="N54" s="361"/>
      <c r="O54" s="361"/>
      <c r="P54" s="430"/>
      <c r="Q54" s="1225"/>
      <c r="R54" s="484"/>
      <c r="S54" s="627"/>
      <c r="T54" s="627"/>
      <c r="U54" s="627"/>
      <c r="V54" s="426"/>
      <c r="W54" s="1105"/>
      <c r="X54" s="404"/>
      <c r="Y54" s="345"/>
      <c r="Z54" s="356"/>
      <c r="AA54" s="354"/>
      <c r="AB54" s="355"/>
      <c r="AC54" s="348"/>
    </row>
    <row r="55" spans="1:29" ht="29.25" customHeight="1">
      <c r="A55" s="338"/>
      <c r="B55" s="429"/>
      <c r="C55" s="630"/>
      <c r="D55" s="394"/>
      <c r="E55" s="342"/>
      <c r="F55" s="343"/>
      <c r="G55" s="1182" t="s">
        <v>788</v>
      </c>
      <c r="H55" s="1089"/>
      <c r="I55" s="1089"/>
      <c r="J55" s="503">
        <v>11944000</v>
      </c>
      <c r="K55" s="1083"/>
      <c r="L55" s="387"/>
      <c r="M55" s="361"/>
      <c r="N55" s="361"/>
      <c r="O55" s="361"/>
      <c r="P55" s="430"/>
      <c r="Q55" s="1225"/>
      <c r="R55" s="484"/>
      <c r="S55" s="627"/>
      <c r="T55" s="627"/>
      <c r="U55" s="627"/>
      <c r="V55" s="426"/>
      <c r="W55" s="1105"/>
      <c r="X55" s="404"/>
      <c r="Y55" s="345"/>
      <c r="Z55" s="356"/>
      <c r="AA55" s="354"/>
      <c r="AB55" s="355"/>
      <c r="AC55" s="348"/>
    </row>
    <row r="56" spans="1:29" ht="29.25" customHeight="1" thickBot="1">
      <c r="A56" s="338"/>
      <c r="B56" s="429"/>
      <c r="C56" s="630"/>
      <c r="D56" s="394"/>
      <c r="E56" s="342"/>
      <c r="F56" s="343"/>
      <c r="G56" s="1182" t="s">
        <v>876</v>
      </c>
      <c r="H56" s="1089"/>
      <c r="I56" s="1089"/>
      <c r="J56" s="910">
        <v>1598100</v>
      </c>
      <c r="K56" s="1083"/>
      <c r="L56" s="387"/>
      <c r="M56" s="361"/>
      <c r="N56" s="361"/>
      <c r="O56" s="361"/>
      <c r="P56" s="430"/>
      <c r="Q56" s="1225"/>
      <c r="R56" s="484"/>
      <c r="S56" s="627"/>
      <c r="T56" s="627"/>
      <c r="U56" s="627"/>
      <c r="V56" s="426"/>
      <c r="W56" s="1105"/>
      <c r="X56" s="404"/>
      <c r="Y56" s="345"/>
      <c r="Z56" s="356"/>
      <c r="AA56" s="354"/>
      <c r="AB56" s="355"/>
      <c r="AC56" s="348"/>
    </row>
    <row r="57" spans="1:29" ht="29.25" customHeight="1">
      <c r="A57" s="431"/>
      <c r="B57" s="432"/>
      <c r="C57" s="490"/>
      <c r="D57" s="433"/>
      <c r="E57" s="434"/>
      <c r="F57" s="435"/>
      <c r="G57" s="955"/>
      <c r="H57" s="954"/>
      <c r="I57" s="954"/>
      <c r="J57" s="909"/>
      <c r="K57" s="877"/>
      <c r="L57" s="1118" t="s">
        <v>1042</v>
      </c>
      <c r="M57" s="1095"/>
      <c r="N57" s="1095"/>
      <c r="O57" s="1095"/>
      <c r="P57" s="436">
        <v>5354163</v>
      </c>
      <c r="Q57" s="1226">
        <f>SUM(P57:P58)</f>
        <v>12765278</v>
      </c>
      <c r="R57" s="951"/>
      <c r="S57" s="952"/>
      <c r="T57" s="952"/>
      <c r="U57" s="952"/>
      <c r="V57" s="959"/>
      <c r="W57" s="878"/>
      <c r="X57" s="960"/>
      <c r="Y57" s="439"/>
      <c r="Z57" s="440"/>
      <c r="AA57" s="441"/>
      <c r="AB57" s="442"/>
      <c r="AC57" s="443"/>
    </row>
    <row r="58" spans="1:29" ht="27.75" customHeight="1" thickBot="1">
      <c r="A58" s="1192" t="s">
        <v>493</v>
      </c>
      <c r="B58" s="1193"/>
      <c r="C58" s="1194"/>
      <c r="D58" s="956">
        <f>SUM('6. kiadások megbontása'!G65)</f>
        <v>24692202</v>
      </c>
      <c r="E58" s="956">
        <f>SUM('6. kiadások megbontása'!H65)</f>
        <v>63500</v>
      </c>
      <c r="F58" s="957">
        <f>SUM(D58:E58)</f>
        <v>24755702</v>
      </c>
      <c r="G58" s="1182"/>
      <c r="H58" s="1089"/>
      <c r="I58" s="1089"/>
      <c r="J58" s="503"/>
      <c r="K58" s="950">
        <f>SUM(J58:J58)</f>
        <v>0</v>
      </c>
      <c r="L58" s="1214" t="s">
        <v>819</v>
      </c>
      <c r="M58" s="1097"/>
      <c r="N58" s="1097"/>
      <c r="O58" s="1097"/>
      <c r="P58" s="502">
        <v>7411115</v>
      </c>
      <c r="Q58" s="1227"/>
      <c r="R58" s="1090" t="s">
        <v>967</v>
      </c>
      <c r="S58" s="1091"/>
      <c r="T58" s="1091"/>
      <c r="U58" s="1091"/>
      <c r="V58" s="502">
        <v>7760424</v>
      </c>
      <c r="W58" s="953">
        <f>SUM(V58:V58)</f>
        <v>7760424</v>
      </c>
      <c r="X58" s="958">
        <f>SUM(K58+Q57+W58)</f>
        <v>20525702</v>
      </c>
      <c r="Y58" s="345">
        <v>0</v>
      </c>
      <c r="Z58" s="348">
        <f>SUM(X58:Y58)</f>
        <v>20525702</v>
      </c>
      <c r="AA58" s="773">
        <f>X58-D58</f>
        <v>-4166500</v>
      </c>
      <c r="AB58" s="345">
        <f>Y58-E58</f>
        <v>-63500</v>
      </c>
      <c r="AC58" s="386">
        <f>SUM(AA58:AB58)</f>
        <v>-4230000</v>
      </c>
    </row>
    <row r="59" spans="1:223" s="483" customFormat="1" ht="44.25" customHeight="1" thickBot="1" thickTop="1">
      <c r="A59" s="1208" t="s">
        <v>820</v>
      </c>
      <c r="B59" s="1209"/>
      <c r="C59" s="1210"/>
      <c r="D59" s="879">
        <f>SUM(D50:D58)</f>
        <v>265772055</v>
      </c>
      <c r="E59" s="880">
        <f>SUM(E50:E58)</f>
        <v>1682115</v>
      </c>
      <c r="F59" s="881">
        <f>SUM(D59:E59)</f>
        <v>267454170</v>
      </c>
      <c r="G59" s="757"/>
      <c r="H59" s="1167" t="s">
        <v>93</v>
      </c>
      <c r="I59" s="1168"/>
      <c r="J59" s="1169"/>
      <c r="K59" s="492">
        <f>SUM(K49:K58)</f>
        <v>184900326</v>
      </c>
      <c r="L59" s="491"/>
      <c r="M59" s="1098" t="s">
        <v>94</v>
      </c>
      <c r="N59" s="1098"/>
      <c r="O59" s="1098"/>
      <c r="P59" s="1099"/>
      <c r="Q59" s="492">
        <f>SUM(Q49:Q57)</f>
        <v>12765278</v>
      </c>
      <c r="R59" s="493"/>
      <c r="S59" s="1098" t="s">
        <v>95</v>
      </c>
      <c r="T59" s="1098"/>
      <c r="U59" s="1098"/>
      <c r="V59" s="1099"/>
      <c r="W59" s="492">
        <f>SUM(W49:W58)</f>
        <v>19262748</v>
      </c>
      <c r="X59" s="494">
        <f>SUM(X48:X58)</f>
        <v>216928352</v>
      </c>
      <c r="Y59" s="495">
        <f>SUM(Y48:Y58)</f>
        <v>0</v>
      </c>
      <c r="Z59" s="496">
        <f>SUM(X59:Y59)</f>
        <v>216928352</v>
      </c>
      <c r="AA59" s="494">
        <f>X59-D59</f>
        <v>-48843703</v>
      </c>
      <c r="AB59" s="497">
        <f>Y59-E59</f>
        <v>-1682115</v>
      </c>
      <c r="AC59" s="496">
        <f>SUM(AA59:AB59)</f>
        <v>-50525818</v>
      </c>
      <c r="AD59" s="498"/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498"/>
      <c r="AR59" s="498"/>
      <c r="AS59" s="498"/>
      <c r="AT59" s="498"/>
      <c r="AU59" s="498"/>
      <c r="AV59" s="498"/>
      <c r="AW59" s="498"/>
      <c r="AX59" s="498"/>
      <c r="AY59" s="498"/>
      <c r="AZ59" s="498"/>
      <c r="BA59" s="498"/>
      <c r="BB59" s="498"/>
      <c r="BC59" s="498"/>
      <c r="BD59" s="498"/>
      <c r="BE59" s="498"/>
      <c r="BF59" s="498"/>
      <c r="BG59" s="498"/>
      <c r="BH59" s="498"/>
      <c r="BI59" s="498"/>
      <c r="BJ59" s="498"/>
      <c r="BK59" s="498"/>
      <c r="BL59" s="498"/>
      <c r="BM59" s="498"/>
      <c r="BN59" s="498"/>
      <c r="BO59" s="498"/>
      <c r="BP59" s="498"/>
      <c r="BQ59" s="498"/>
      <c r="BR59" s="498"/>
      <c r="BS59" s="498"/>
      <c r="BT59" s="498"/>
      <c r="BU59" s="498"/>
      <c r="BV59" s="498"/>
      <c r="BW59" s="498"/>
      <c r="BX59" s="498"/>
      <c r="BY59" s="498"/>
      <c r="BZ59" s="498"/>
      <c r="CA59" s="498"/>
      <c r="CB59" s="498"/>
      <c r="CC59" s="498"/>
      <c r="CD59" s="498"/>
      <c r="CE59" s="498"/>
      <c r="CF59" s="498"/>
      <c r="CG59" s="498"/>
      <c r="CH59" s="498"/>
      <c r="CI59" s="498"/>
      <c r="CJ59" s="498"/>
      <c r="CK59" s="498"/>
      <c r="CL59" s="498"/>
      <c r="CM59" s="498"/>
      <c r="CN59" s="498"/>
      <c r="CO59" s="498"/>
      <c r="CP59" s="498"/>
      <c r="CQ59" s="498"/>
      <c r="CR59" s="498"/>
      <c r="CS59" s="498"/>
      <c r="CT59" s="498"/>
      <c r="CU59" s="498"/>
      <c r="CV59" s="498"/>
      <c r="CW59" s="498"/>
      <c r="CX59" s="498"/>
      <c r="CY59" s="498"/>
      <c r="CZ59" s="498"/>
      <c r="DA59" s="498"/>
      <c r="DB59" s="498"/>
      <c r="DC59" s="498"/>
      <c r="DD59" s="498"/>
      <c r="DE59" s="498"/>
      <c r="DF59" s="498"/>
      <c r="DG59" s="498"/>
      <c r="DH59" s="498"/>
      <c r="DI59" s="498"/>
      <c r="DJ59" s="498"/>
      <c r="DK59" s="498"/>
      <c r="DL59" s="498"/>
      <c r="DM59" s="498"/>
      <c r="DN59" s="498"/>
      <c r="DO59" s="498"/>
      <c r="DP59" s="498"/>
      <c r="DQ59" s="498"/>
      <c r="DR59" s="498"/>
      <c r="DS59" s="498"/>
      <c r="DT59" s="498"/>
      <c r="DU59" s="498"/>
      <c r="DV59" s="498"/>
      <c r="DW59" s="498"/>
      <c r="DX59" s="498"/>
      <c r="DY59" s="498"/>
      <c r="DZ59" s="498"/>
      <c r="EA59" s="498"/>
      <c r="EB59" s="498"/>
      <c r="EC59" s="498"/>
      <c r="ED59" s="498"/>
      <c r="EE59" s="498"/>
      <c r="EF59" s="498"/>
      <c r="EG59" s="498"/>
      <c r="EH59" s="498"/>
      <c r="EI59" s="498"/>
      <c r="EJ59" s="498"/>
      <c r="EK59" s="498"/>
      <c r="EL59" s="498"/>
      <c r="EM59" s="498"/>
      <c r="EN59" s="498"/>
      <c r="EO59" s="498"/>
      <c r="EP59" s="498"/>
      <c r="EQ59" s="498"/>
      <c r="ER59" s="498"/>
      <c r="ES59" s="498"/>
      <c r="ET59" s="498"/>
      <c r="EU59" s="498"/>
      <c r="EV59" s="498"/>
      <c r="EW59" s="498"/>
      <c r="EX59" s="498"/>
      <c r="EY59" s="498"/>
      <c r="EZ59" s="498"/>
      <c r="FA59" s="498"/>
      <c r="FB59" s="498"/>
      <c r="FC59" s="498"/>
      <c r="FD59" s="498"/>
      <c r="FE59" s="498"/>
      <c r="FF59" s="498"/>
      <c r="FG59" s="498"/>
      <c r="FH59" s="498"/>
      <c r="FI59" s="498"/>
      <c r="FJ59" s="498"/>
      <c r="FK59" s="498"/>
      <c r="FL59" s="498"/>
      <c r="FM59" s="498"/>
      <c r="FN59" s="498"/>
      <c r="FO59" s="498"/>
      <c r="FP59" s="498"/>
      <c r="FQ59" s="498"/>
      <c r="FR59" s="498"/>
      <c r="FS59" s="498"/>
      <c r="FT59" s="498"/>
      <c r="FU59" s="498"/>
      <c r="FV59" s="498"/>
      <c r="FW59" s="498"/>
      <c r="FX59" s="498"/>
      <c r="FY59" s="498"/>
      <c r="FZ59" s="498"/>
      <c r="GA59" s="498"/>
      <c r="GB59" s="498"/>
      <c r="GC59" s="498"/>
      <c r="GD59" s="498"/>
      <c r="GE59" s="498"/>
      <c r="GF59" s="498"/>
      <c r="GG59" s="498"/>
      <c r="GH59" s="498"/>
      <c r="GI59" s="498"/>
      <c r="GJ59" s="498"/>
      <c r="GK59" s="498"/>
      <c r="GL59" s="498"/>
      <c r="GM59" s="498"/>
      <c r="GN59" s="498"/>
      <c r="GO59" s="498"/>
      <c r="GP59" s="498"/>
      <c r="GQ59" s="498"/>
      <c r="GR59" s="498"/>
      <c r="GS59" s="498"/>
      <c r="GT59" s="498"/>
      <c r="GU59" s="498"/>
      <c r="GV59" s="498"/>
      <c r="GW59" s="498"/>
      <c r="GX59" s="498"/>
      <c r="GY59" s="498"/>
      <c r="GZ59" s="498"/>
      <c r="HA59" s="498"/>
      <c r="HB59" s="498"/>
      <c r="HC59" s="498"/>
      <c r="HD59" s="498"/>
      <c r="HE59" s="498"/>
      <c r="HF59" s="498"/>
      <c r="HG59" s="498"/>
      <c r="HH59" s="498"/>
      <c r="HI59" s="498"/>
      <c r="HJ59" s="498"/>
      <c r="HK59" s="498"/>
      <c r="HL59" s="498"/>
      <c r="HM59" s="498"/>
      <c r="HN59" s="498"/>
      <c r="HO59" s="498"/>
    </row>
    <row r="60" spans="1:29" ht="21" customHeight="1" thickBot="1" thickTop="1">
      <c r="A60" s="1201" t="s">
        <v>367</v>
      </c>
      <c r="B60" s="1202"/>
      <c r="C60" s="1203"/>
      <c r="D60" s="454">
        <f>SUM(D59,D36,D28,D45)</f>
        <v>1098117347</v>
      </c>
      <c r="E60" s="454">
        <f>SUM(E59,E36,E28,E45)</f>
        <v>952241641</v>
      </c>
      <c r="F60" s="455">
        <f>SUM(D60:E60)</f>
        <v>2050358988</v>
      </c>
      <c r="G60" s="456"/>
      <c r="H60" s="1211" t="s">
        <v>96</v>
      </c>
      <c r="I60" s="1212"/>
      <c r="J60" s="1213"/>
      <c r="K60" s="458">
        <f>SUM(K59,K36,K28,K45)</f>
        <v>505393134</v>
      </c>
      <c r="L60" s="457"/>
      <c r="M60" s="1217" t="s">
        <v>97</v>
      </c>
      <c r="N60" s="1217"/>
      <c r="O60" s="1217"/>
      <c r="P60" s="1218"/>
      <c r="Q60" s="458">
        <f>SUM(Q59,Q36,Q28,Q45)</f>
        <v>122084912</v>
      </c>
      <c r="R60" s="459"/>
      <c r="S60" s="1217" t="s">
        <v>98</v>
      </c>
      <c r="T60" s="1217"/>
      <c r="U60" s="1217"/>
      <c r="V60" s="1218"/>
      <c r="W60" s="771">
        <f>SUM(W59,W36,W28,W45)</f>
        <v>1422880942</v>
      </c>
      <c r="X60" s="772">
        <f>SUM(X59,X36,X28,X45)</f>
        <v>1100566688</v>
      </c>
      <c r="Y60" s="460">
        <f>SUM(Y59,Y36,Y28,Y45)</f>
        <v>949792300</v>
      </c>
      <c r="Z60" s="461">
        <f>SUM(W60+Q60+K60)</f>
        <v>2050358988</v>
      </c>
      <c r="AA60" s="460">
        <f>SUM(AA59,AA36,AA28,AA45)</f>
        <v>2449341</v>
      </c>
      <c r="AB60" s="460">
        <f>SUM(AB59,AB36,AB28,AB45)</f>
        <v>-2449341</v>
      </c>
      <c r="AC60" s="681">
        <f>SUM(AC59,AC36,AC28,AC45)</f>
        <v>0</v>
      </c>
    </row>
    <row r="61" spans="1:29" ht="19.5" thickTop="1">
      <c r="A61" s="1204"/>
      <c r="B61" s="1205"/>
      <c r="C61" s="1205"/>
      <c r="D61" s="424"/>
      <c r="E61" s="424"/>
      <c r="F61" s="424"/>
      <c r="G61" s="375"/>
      <c r="H61" s="375"/>
      <c r="I61" s="375"/>
      <c r="J61" s="462"/>
      <c r="K61" s="399"/>
      <c r="L61" s="373"/>
      <c r="M61" s="361"/>
      <c r="N61" s="361"/>
      <c r="O61" s="361"/>
      <c r="P61" s="361"/>
      <c r="Q61" s="361"/>
      <c r="R61" s="373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373"/>
    </row>
    <row r="62" spans="1:29" ht="15.75">
      <c r="A62" s="424"/>
      <c r="B62" s="424"/>
      <c r="C62" s="424"/>
      <c r="D62" s="1215" t="s">
        <v>490</v>
      </c>
      <c r="E62" s="1216"/>
      <c r="F62" s="1216"/>
      <c r="G62" s="326"/>
      <c r="H62" s="326"/>
      <c r="I62" s="326"/>
      <c r="J62" s="320"/>
      <c r="K62" s="399"/>
      <c r="L62" s="361"/>
      <c r="M62" s="361"/>
      <c r="N62" s="361"/>
      <c r="O62" s="361"/>
      <c r="P62" s="361"/>
      <c r="Q62" s="361"/>
      <c r="R62" s="361"/>
      <c r="S62" s="424"/>
      <c r="T62" s="424"/>
      <c r="U62" s="424"/>
      <c r="V62" s="424"/>
      <c r="W62" s="1215" t="s">
        <v>99</v>
      </c>
      <c r="X62" s="1216"/>
      <c r="Y62" s="1216"/>
      <c r="Z62" s="463"/>
      <c r="AA62" s="1215" t="s">
        <v>87</v>
      </c>
      <c r="AB62" s="1216"/>
      <c r="AC62" s="1216"/>
    </row>
    <row r="63" spans="1:29" ht="15.75">
      <c r="A63" s="424"/>
      <c r="B63" s="424"/>
      <c r="C63" s="424"/>
      <c r="D63" s="464" t="s">
        <v>88</v>
      </c>
      <c r="E63" s="464" t="s">
        <v>100</v>
      </c>
      <c r="F63" s="464" t="s">
        <v>89</v>
      </c>
      <c r="G63" s="326"/>
      <c r="H63" s="326"/>
      <c r="I63" s="326"/>
      <c r="J63" s="320"/>
      <c r="K63" s="399"/>
      <c r="L63" s="361"/>
      <c r="M63" s="361"/>
      <c r="N63" s="361"/>
      <c r="O63" s="361"/>
      <c r="P63" s="361"/>
      <c r="Q63" s="361"/>
      <c r="R63" s="361"/>
      <c r="S63" s="1219"/>
      <c r="T63" s="1219"/>
      <c r="U63" s="1219"/>
      <c r="V63" s="1219"/>
      <c r="W63" s="464" t="s">
        <v>88</v>
      </c>
      <c r="X63" s="464" t="s">
        <v>100</v>
      </c>
      <c r="Y63" s="464" t="s">
        <v>89</v>
      </c>
      <c r="Z63" s="465"/>
      <c r="AA63" s="464" t="s">
        <v>88</v>
      </c>
      <c r="AB63" s="464" t="s">
        <v>100</v>
      </c>
      <c r="AC63" s="464" t="s">
        <v>89</v>
      </c>
    </row>
    <row r="64" spans="1:29" ht="15.75">
      <c r="A64" s="424"/>
      <c r="B64" s="424"/>
      <c r="C64" s="466" t="s">
        <v>101</v>
      </c>
      <c r="D64" s="424"/>
      <c r="E64" s="424"/>
      <c r="F64" s="424"/>
      <c r="G64" s="326"/>
      <c r="H64" s="326"/>
      <c r="I64" s="326"/>
      <c r="J64" s="320"/>
      <c r="K64" s="399"/>
      <c r="L64" s="361"/>
      <c r="M64" s="361"/>
      <c r="N64" s="361"/>
      <c r="O64" s="361"/>
      <c r="P64" s="361"/>
      <c r="Q64" s="361"/>
      <c r="R64" s="361"/>
      <c r="S64" s="424"/>
      <c r="T64" s="466" t="s">
        <v>101</v>
      </c>
      <c r="U64" s="424"/>
      <c r="V64" s="1215"/>
      <c r="W64" s="1216"/>
      <c r="X64" s="424"/>
      <c r="Y64" s="424"/>
      <c r="Z64" s="424"/>
      <c r="AA64" s="424"/>
      <c r="AB64" s="424"/>
      <c r="AC64" s="361"/>
    </row>
    <row r="65" spans="1:29" ht="15.75">
      <c r="A65" s="424"/>
      <c r="B65" s="424"/>
      <c r="C65" s="424" t="s">
        <v>102</v>
      </c>
      <c r="D65" s="467">
        <f>SUM(D10)</f>
        <v>459784966</v>
      </c>
      <c r="E65" s="467">
        <f>SUM(E10)</f>
        <v>307913131</v>
      </c>
      <c r="F65" s="467">
        <f>SUM(D65:E65)</f>
        <v>767698097</v>
      </c>
      <c r="G65" s="326"/>
      <c r="H65" s="326"/>
      <c r="I65" s="326"/>
      <c r="J65" s="320"/>
      <c r="K65" s="399"/>
      <c r="L65" s="361"/>
      <c r="M65" s="361"/>
      <c r="N65" s="361"/>
      <c r="O65" s="361"/>
      <c r="P65" s="361"/>
      <c r="Q65" s="361"/>
      <c r="R65" s="361"/>
      <c r="S65" s="424"/>
      <c r="T65" s="424" t="s">
        <v>102</v>
      </c>
      <c r="U65" s="424"/>
      <c r="V65" s="424"/>
      <c r="W65" s="467">
        <f>SUM(X15)</f>
        <v>542962794</v>
      </c>
      <c r="X65" s="467">
        <f>Y15</f>
        <v>304515745</v>
      </c>
      <c r="Y65" s="467">
        <f>SUM(W65:X65)</f>
        <v>847478539</v>
      </c>
      <c r="Z65" s="406"/>
      <c r="AA65" s="467">
        <f aca="true" t="shared" si="0" ref="AA65:AB68">W65-D65</f>
        <v>83177828</v>
      </c>
      <c r="AB65" s="467">
        <f t="shared" si="0"/>
        <v>-3397386</v>
      </c>
      <c r="AC65" s="406">
        <f>SUM(AA65:AB65)</f>
        <v>79780442</v>
      </c>
    </row>
    <row r="66" spans="1:29" ht="15.75">
      <c r="A66" s="424"/>
      <c r="B66" s="424"/>
      <c r="C66" s="424" t="s">
        <v>374</v>
      </c>
      <c r="D66" s="467">
        <f>SUM(D33)</f>
        <v>135172672</v>
      </c>
      <c r="E66" s="467">
        <f>SUM(E33)</f>
        <v>1934590</v>
      </c>
      <c r="F66" s="467">
        <f>SUM(D66:E66)</f>
        <v>137107262</v>
      </c>
      <c r="G66" s="326"/>
      <c r="H66" s="326"/>
      <c r="I66" s="326"/>
      <c r="J66" s="468"/>
      <c r="K66" s="399"/>
      <c r="L66" s="361"/>
      <c r="M66" s="361"/>
      <c r="N66" s="361"/>
      <c r="O66" s="361"/>
      <c r="P66" s="361"/>
      <c r="Q66" s="361"/>
      <c r="R66" s="361"/>
      <c r="S66" s="424"/>
      <c r="T66" s="424" t="s">
        <v>374</v>
      </c>
      <c r="U66" s="424"/>
      <c r="V66" s="424"/>
      <c r="W66" s="467">
        <f>SUM(X33)</f>
        <v>148104709</v>
      </c>
      <c r="X66" s="467">
        <f>Y33</f>
        <v>0</v>
      </c>
      <c r="Y66" s="467">
        <f>SUM(W66:X66)</f>
        <v>148104709</v>
      </c>
      <c r="Z66" s="406"/>
      <c r="AA66" s="467">
        <f t="shared" si="0"/>
        <v>12932037</v>
      </c>
      <c r="AB66" s="467">
        <f t="shared" si="0"/>
        <v>-1934590</v>
      </c>
      <c r="AC66" s="406">
        <f>SUM(AA66:AB66)</f>
        <v>10997447</v>
      </c>
    </row>
    <row r="67" spans="1:29" ht="15.75">
      <c r="A67" s="424"/>
      <c r="B67" s="424"/>
      <c r="C67" s="424" t="s">
        <v>786</v>
      </c>
      <c r="D67" s="467">
        <f>SUM(D40)</f>
        <v>32993380</v>
      </c>
      <c r="E67" s="467">
        <f>SUM(E40)</f>
        <v>705000</v>
      </c>
      <c r="F67" s="467">
        <f>SUM(D67:E67)</f>
        <v>33698380</v>
      </c>
      <c r="G67" s="326"/>
      <c r="H67" s="326"/>
      <c r="I67" s="326"/>
      <c r="J67" s="468"/>
      <c r="K67" s="399"/>
      <c r="L67" s="361"/>
      <c r="M67" s="361"/>
      <c r="N67" s="361"/>
      <c r="O67" s="361"/>
      <c r="P67" s="361"/>
      <c r="Q67" s="361"/>
      <c r="R67" s="361"/>
      <c r="S67" s="424"/>
      <c r="T67" s="424" t="s">
        <v>817</v>
      </c>
      <c r="U67" s="424"/>
      <c r="V67" s="424"/>
      <c r="W67" s="467">
        <f>SUM(X40)</f>
        <v>20511670</v>
      </c>
      <c r="X67" s="467">
        <f>SUM(Y40)</f>
        <v>0</v>
      </c>
      <c r="Y67" s="467">
        <f>SUM(W67:X67)</f>
        <v>20511670</v>
      </c>
      <c r="Z67" s="406"/>
      <c r="AA67" s="467">
        <f>W67-D67</f>
        <v>-12481710</v>
      </c>
      <c r="AB67" s="467">
        <f>X67-E67</f>
        <v>-705000</v>
      </c>
      <c r="AC67" s="406">
        <f>SUM(AA67:AB67)</f>
        <v>-13186710</v>
      </c>
    </row>
    <row r="68" spans="1:29" ht="12.75">
      <c r="A68" s="424"/>
      <c r="B68" s="424"/>
      <c r="C68" s="469" t="s">
        <v>103</v>
      </c>
      <c r="D68" s="470">
        <f>SUM(D52)</f>
        <v>241079853</v>
      </c>
      <c r="E68" s="470">
        <f>SUM(E52)</f>
        <v>1618615</v>
      </c>
      <c r="F68" s="470">
        <f>SUM(D68:E68)</f>
        <v>242698468</v>
      </c>
      <c r="G68" s="424"/>
      <c r="H68" s="424"/>
      <c r="I68" s="424"/>
      <c r="J68" s="424"/>
      <c r="K68" s="361"/>
      <c r="L68" s="361"/>
      <c r="M68" s="361"/>
      <c r="N68" s="361"/>
      <c r="O68" s="361"/>
      <c r="P68" s="361"/>
      <c r="Q68" s="361"/>
      <c r="R68" s="361"/>
      <c r="S68" s="424"/>
      <c r="T68" s="469" t="s">
        <v>103</v>
      </c>
      <c r="U68" s="471"/>
      <c r="V68" s="471"/>
      <c r="W68" s="470">
        <f>SUM(X52)</f>
        <v>196402650</v>
      </c>
      <c r="X68" s="470">
        <f>Y52</f>
        <v>0</v>
      </c>
      <c r="Y68" s="470">
        <f>SUM(W68:X68)</f>
        <v>196402650</v>
      </c>
      <c r="Z68" s="406"/>
      <c r="AA68" s="470">
        <f t="shared" si="0"/>
        <v>-44677203</v>
      </c>
      <c r="AB68" s="470">
        <f t="shared" si="0"/>
        <v>-1618615</v>
      </c>
      <c r="AC68" s="470">
        <f>SUM(AA68:AB68)</f>
        <v>-46295818</v>
      </c>
    </row>
    <row r="69" spans="1:29" ht="12.75">
      <c r="A69" s="424"/>
      <c r="B69" s="424"/>
      <c r="C69" s="472" t="s">
        <v>366</v>
      </c>
      <c r="D69" s="467">
        <f>SUM(D65:D68)</f>
        <v>869030871</v>
      </c>
      <c r="E69" s="467">
        <f>SUM(E65:E68)</f>
        <v>312171336</v>
      </c>
      <c r="F69" s="467">
        <f>SUM(F65:F68)</f>
        <v>1181202207</v>
      </c>
      <c r="G69" s="424"/>
      <c r="H69" s="424"/>
      <c r="I69" s="424"/>
      <c r="J69" s="424"/>
      <c r="K69" s="361"/>
      <c r="L69" s="361"/>
      <c r="M69" s="361"/>
      <c r="N69" s="361"/>
      <c r="O69" s="361"/>
      <c r="P69" s="361"/>
      <c r="Q69" s="361"/>
      <c r="R69" s="361"/>
      <c r="S69" s="424"/>
      <c r="T69" s="472" t="s">
        <v>366</v>
      </c>
      <c r="U69" s="424"/>
      <c r="V69" s="472"/>
      <c r="W69" s="467">
        <f>SUM(W65:W68)</f>
        <v>907981823</v>
      </c>
      <c r="X69" s="467">
        <f>SUM(X65:X68)</f>
        <v>304515745</v>
      </c>
      <c r="Y69" s="467">
        <f>SUM(Y65:Y68)</f>
        <v>1212497568</v>
      </c>
      <c r="Z69" s="406"/>
      <c r="AA69" s="467">
        <f>SUM(AA65:AA68)</f>
        <v>38950952</v>
      </c>
      <c r="AB69" s="467">
        <f>SUM(AB65:AB68)</f>
        <v>-7655591</v>
      </c>
      <c r="AC69" s="467">
        <f>SUM(AC65:AC68)</f>
        <v>31295361</v>
      </c>
    </row>
    <row r="70" spans="1:29" ht="12.75">
      <c r="A70" s="424"/>
      <c r="B70" s="424"/>
      <c r="C70" s="472"/>
      <c r="D70" s="467"/>
      <c r="E70" s="467"/>
      <c r="F70" s="467"/>
      <c r="G70" s="424"/>
      <c r="H70" s="424"/>
      <c r="I70" s="424"/>
      <c r="J70" s="424"/>
      <c r="K70" s="424"/>
      <c r="L70" s="361"/>
      <c r="M70" s="361"/>
      <c r="N70" s="361"/>
      <c r="O70" s="361"/>
      <c r="P70" s="361"/>
      <c r="Q70" s="361"/>
      <c r="R70" s="361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361"/>
    </row>
    <row r="71" spans="1:29" ht="12.75">
      <c r="A71" s="424"/>
      <c r="B71" s="424"/>
      <c r="C71" s="466" t="s">
        <v>104</v>
      </c>
      <c r="D71" s="467"/>
      <c r="E71" s="467"/>
      <c r="F71" s="467"/>
      <c r="G71" s="424"/>
      <c r="H71" s="424"/>
      <c r="I71" s="424"/>
      <c r="J71" s="424"/>
      <c r="K71" s="424"/>
      <c r="L71" s="361"/>
      <c r="M71" s="361"/>
      <c r="N71" s="361"/>
      <c r="O71" s="361"/>
      <c r="P71" s="361"/>
      <c r="Q71" s="361"/>
      <c r="R71" s="361"/>
      <c r="S71" s="424"/>
      <c r="T71" s="466" t="s">
        <v>104</v>
      </c>
      <c r="U71" s="473"/>
      <c r="V71" s="466"/>
      <c r="W71" s="474"/>
      <c r="X71" s="474"/>
      <c r="Y71" s="424"/>
      <c r="Z71" s="424"/>
      <c r="AA71" s="424"/>
      <c r="AB71" s="424"/>
      <c r="AC71" s="361"/>
    </row>
    <row r="72" spans="1:29" ht="12.75">
      <c r="A72" s="424"/>
      <c r="B72" s="424"/>
      <c r="C72" s="424" t="s">
        <v>102</v>
      </c>
      <c r="D72" s="467">
        <f>SUM(D25)</f>
        <v>171769939</v>
      </c>
      <c r="E72" s="467">
        <f>SUM(E25)</f>
        <v>640006805</v>
      </c>
      <c r="F72" s="467">
        <f>SUM(D72:E72)</f>
        <v>811776744</v>
      </c>
      <c r="G72" s="424"/>
      <c r="H72" s="424"/>
      <c r="I72" s="424"/>
      <c r="J72" s="424"/>
      <c r="K72" s="424"/>
      <c r="L72" s="361"/>
      <c r="M72" s="361"/>
      <c r="N72" s="361"/>
      <c r="O72" s="361"/>
      <c r="P72" s="361"/>
      <c r="Q72" s="361"/>
      <c r="R72" s="361"/>
      <c r="S72" s="424"/>
      <c r="T72" s="424" t="s">
        <v>102</v>
      </c>
      <c r="U72" s="424"/>
      <c r="V72" s="424"/>
      <c r="W72" s="467">
        <f>SUM(X25)</f>
        <v>165627272</v>
      </c>
      <c r="X72" s="467">
        <f>Y25</f>
        <v>645276555</v>
      </c>
      <c r="Y72" s="467">
        <f>SUM(W72:X72)</f>
        <v>810903827</v>
      </c>
      <c r="Z72" s="406"/>
      <c r="AA72" s="467">
        <f aca="true" t="shared" si="1" ref="AA72:AB75">W72-D72</f>
        <v>-6142667</v>
      </c>
      <c r="AB72" s="467">
        <f t="shared" si="1"/>
        <v>5269750</v>
      </c>
      <c r="AC72" s="406">
        <f>SUM(AA72:AB72)</f>
        <v>-872917</v>
      </c>
    </row>
    <row r="73" spans="1:29" ht="12.75">
      <c r="A73" s="424"/>
      <c r="B73" s="424"/>
      <c r="C73" s="424" t="s">
        <v>374</v>
      </c>
      <c r="D73" s="467">
        <f>D35</f>
        <v>8450747</v>
      </c>
      <c r="E73" s="467">
        <v>0</v>
      </c>
      <c r="F73" s="467">
        <f>SUM(D73:E73)</f>
        <v>8450747</v>
      </c>
      <c r="G73" s="424"/>
      <c r="H73" s="424"/>
      <c r="I73" s="424"/>
      <c r="J73" s="424"/>
      <c r="K73" s="424"/>
      <c r="L73" s="361"/>
      <c r="M73" s="361"/>
      <c r="N73" s="361"/>
      <c r="O73" s="361"/>
      <c r="P73" s="361"/>
      <c r="Q73" s="361"/>
      <c r="R73" s="361"/>
      <c r="S73" s="424"/>
      <c r="T73" s="424" t="s">
        <v>374</v>
      </c>
      <c r="U73" s="424"/>
      <c r="V73" s="424"/>
      <c r="W73" s="467">
        <f>SUM(X35)</f>
        <v>789210</v>
      </c>
      <c r="X73" s="467">
        <v>0</v>
      </c>
      <c r="Y73" s="467">
        <f>SUM(W73:X73)</f>
        <v>789210</v>
      </c>
      <c r="Z73" s="406"/>
      <c r="AA73" s="467">
        <f t="shared" si="1"/>
        <v>-7661537</v>
      </c>
      <c r="AB73" s="467">
        <f t="shared" si="1"/>
        <v>0</v>
      </c>
      <c r="AC73" s="406">
        <f>SUM(AA73:AB73)</f>
        <v>-7661537</v>
      </c>
    </row>
    <row r="74" spans="1:29" ht="12.75">
      <c r="A74" s="424"/>
      <c r="B74" s="424"/>
      <c r="C74" s="424" t="s">
        <v>786</v>
      </c>
      <c r="D74" s="467">
        <f>SUM(D43)</f>
        <v>11862203</v>
      </c>
      <c r="E74" s="467">
        <f>SUM(E43)</f>
        <v>0</v>
      </c>
      <c r="F74" s="467">
        <f>SUM(D74:E74)</f>
        <v>11862203</v>
      </c>
      <c r="G74" s="424"/>
      <c r="H74" s="424"/>
      <c r="I74" s="424"/>
      <c r="J74" s="424"/>
      <c r="K74" s="424"/>
      <c r="L74" s="361"/>
      <c r="M74" s="361"/>
      <c r="N74" s="361"/>
      <c r="O74" s="361"/>
      <c r="P74" s="361"/>
      <c r="Q74" s="361"/>
      <c r="R74" s="361"/>
      <c r="S74" s="424"/>
      <c r="T74" s="424" t="s">
        <v>817</v>
      </c>
      <c r="U74" s="424"/>
      <c r="V74" s="424"/>
      <c r="W74" s="467">
        <f>X43</f>
        <v>5642681</v>
      </c>
      <c r="X74" s="467">
        <f>Y43</f>
        <v>0</v>
      </c>
      <c r="Y74" s="467">
        <f>SUM(W74:X74)</f>
        <v>5642681</v>
      </c>
      <c r="Z74" s="406"/>
      <c r="AA74" s="467">
        <f>W74-D74</f>
        <v>-6219522</v>
      </c>
      <c r="AB74" s="467">
        <f>X74-E74</f>
        <v>0</v>
      </c>
      <c r="AC74" s="406">
        <f>SUM(AA74:AB74)</f>
        <v>-6219522</v>
      </c>
    </row>
    <row r="75" spans="1:29" ht="12.75">
      <c r="A75" s="424"/>
      <c r="B75" s="424"/>
      <c r="C75" s="469" t="s">
        <v>103</v>
      </c>
      <c r="D75" s="470">
        <f>SUM(D58)</f>
        <v>24692202</v>
      </c>
      <c r="E75" s="470">
        <f>E58</f>
        <v>63500</v>
      </c>
      <c r="F75" s="470">
        <f>SUM(D75:E75)</f>
        <v>24755702</v>
      </c>
      <c r="G75" s="424"/>
      <c r="H75" s="424"/>
      <c r="I75" s="424"/>
      <c r="J75" s="424"/>
      <c r="K75" s="424"/>
      <c r="L75" s="361"/>
      <c r="M75" s="361"/>
      <c r="N75" s="361"/>
      <c r="O75" s="361"/>
      <c r="P75" s="361"/>
      <c r="Q75" s="361"/>
      <c r="R75" s="361"/>
      <c r="S75" s="424"/>
      <c r="T75" s="469" t="s">
        <v>103</v>
      </c>
      <c r="U75" s="471"/>
      <c r="V75" s="471"/>
      <c r="W75" s="470">
        <f>SUM(X58)</f>
        <v>20525702</v>
      </c>
      <c r="X75" s="470">
        <v>0</v>
      </c>
      <c r="Y75" s="470">
        <f>SUM(W75:X75)</f>
        <v>20525702</v>
      </c>
      <c r="Z75" s="406"/>
      <c r="AA75" s="470">
        <f t="shared" si="1"/>
        <v>-4166500</v>
      </c>
      <c r="AB75" s="470">
        <f t="shared" si="1"/>
        <v>-63500</v>
      </c>
      <c r="AC75" s="470">
        <f>SUM(AA75:AB75)</f>
        <v>-4230000</v>
      </c>
    </row>
    <row r="76" spans="1:29" ht="12.75">
      <c r="A76" s="424"/>
      <c r="B76" s="424"/>
      <c r="C76" s="472" t="s">
        <v>366</v>
      </c>
      <c r="D76" s="467">
        <f>SUM(D72:D75)</f>
        <v>216775091</v>
      </c>
      <c r="E76" s="467">
        <f>SUM(E72:E75)</f>
        <v>640070305</v>
      </c>
      <c r="F76" s="467">
        <f>SUM(F72:F75)</f>
        <v>856845396</v>
      </c>
      <c r="G76" s="424"/>
      <c r="H76" s="424"/>
      <c r="I76" s="424"/>
      <c r="J76" s="424"/>
      <c r="K76" s="424"/>
      <c r="L76" s="361"/>
      <c r="M76" s="361"/>
      <c r="N76" s="361"/>
      <c r="O76" s="361"/>
      <c r="P76" s="361"/>
      <c r="Q76" s="361"/>
      <c r="R76" s="361"/>
      <c r="S76" s="424"/>
      <c r="T76" s="472" t="s">
        <v>366</v>
      </c>
      <c r="U76" s="424"/>
      <c r="V76" s="472"/>
      <c r="W76" s="467">
        <f>SUM(W72:W75)</f>
        <v>192584865</v>
      </c>
      <c r="X76" s="467">
        <f>SUM(X72:X75)</f>
        <v>645276555</v>
      </c>
      <c r="Y76" s="467">
        <f>SUM(Y72:Y75)</f>
        <v>837861420</v>
      </c>
      <c r="Z76" s="406"/>
      <c r="AA76" s="467">
        <f>SUM(AA72:AA75)</f>
        <v>-24190226</v>
      </c>
      <c r="AB76" s="467">
        <f>SUM(AB72:AB75)</f>
        <v>5206250</v>
      </c>
      <c r="AC76" s="467">
        <f>SUM(AC72:AC75)</f>
        <v>-18983976</v>
      </c>
    </row>
    <row r="77" spans="1:29" ht="12.75">
      <c r="A77" s="424"/>
      <c r="B77" s="424"/>
      <c r="C77" s="472"/>
      <c r="D77" s="467"/>
      <c r="E77" s="467"/>
      <c r="F77" s="467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361"/>
      <c r="AA77" s="467"/>
      <c r="AB77" s="467"/>
      <c r="AC77" s="361"/>
    </row>
    <row r="78" spans="1:29" ht="12.75">
      <c r="A78" s="424"/>
      <c r="B78" s="424"/>
      <c r="C78" s="466" t="s">
        <v>105</v>
      </c>
      <c r="D78" s="467"/>
      <c r="E78" s="467"/>
      <c r="F78" s="467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66" t="s">
        <v>105</v>
      </c>
      <c r="U78" s="424"/>
      <c r="V78" s="466"/>
      <c r="W78" s="424"/>
      <c r="X78" s="424"/>
      <c r="Y78" s="424"/>
      <c r="Z78" s="361"/>
      <c r="AA78" s="467"/>
      <c r="AB78" s="467"/>
      <c r="AC78" s="361"/>
    </row>
    <row r="79" spans="1:29" ht="12.75">
      <c r="A79" s="424"/>
      <c r="B79" s="424"/>
      <c r="C79" s="424" t="s">
        <v>102</v>
      </c>
      <c r="D79" s="467">
        <f>SUM(D21)</f>
        <v>12311385</v>
      </c>
      <c r="E79" s="467">
        <f>SUM(E21)</f>
        <v>0</v>
      </c>
      <c r="F79" s="467">
        <f>SUM(D79:E79)</f>
        <v>12311385</v>
      </c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 t="s">
        <v>102</v>
      </c>
      <c r="U79" s="424"/>
      <c r="V79" s="424"/>
      <c r="W79" s="467">
        <f>SUM(X21)</f>
        <v>0</v>
      </c>
      <c r="X79" s="467">
        <v>0</v>
      </c>
      <c r="Y79" s="467">
        <f>SUM(W79:X79)</f>
        <v>0</v>
      </c>
      <c r="Z79" s="406"/>
      <c r="AA79" s="467">
        <f aca="true" t="shared" si="2" ref="AA79:AB82">W79-D79</f>
        <v>-12311385</v>
      </c>
      <c r="AB79" s="467">
        <f t="shared" si="2"/>
        <v>0</v>
      </c>
      <c r="AC79" s="406">
        <f>SUM(AA79:AB79)</f>
        <v>-12311385</v>
      </c>
    </row>
    <row r="80" spans="1:29" ht="12.75">
      <c r="A80" s="424"/>
      <c r="B80" s="424"/>
      <c r="C80" s="424" t="s">
        <v>374</v>
      </c>
      <c r="D80" s="467">
        <v>0</v>
      </c>
      <c r="E80" s="467">
        <v>0</v>
      </c>
      <c r="F80" s="467">
        <f>SUM(D80:E80)</f>
        <v>0</v>
      </c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 t="s">
        <v>374</v>
      </c>
      <c r="U80" s="424"/>
      <c r="V80" s="424"/>
      <c r="W80" s="467">
        <v>0</v>
      </c>
      <c r="X80" s="467">
        <v>0</v>
      </c>
      <c r="Y80" s="467">
        <f>SUM(W80:X80)</f>
        <v>0</v>
      </c>
      <c r="Z80" s="406"/>
      <c r="AA80" s="467">
        <f t="shared" si="2"/>
        <v>0</v>
      </c>
      <c r="AB80" s="467">
        <f t="shared" si="2"/>
        <v>0</v>
      </c>
      <c r="AC80" s="406">
        <f>SUM(AA80:AB80)</f>
        <v>0</v>
      </c>
    </row>
    <row r="81" spans="1:29" ht="12.75">
      <c r="A81" s="424"/>
      <c r="B81" s="424"/>
      <c r="C81" s="424" t="s">
        <v>786</v>
      </c>
      <c r="D81" s="467">
        <v>0</v>
      </c>
      <c r="E81" s="467">
        <v>0</v>
      </c>
      <c r="F81" s="467">
        <f>SUM(D81:E81)</f>
        <v>0</v>
      </c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 t="s">
        <v>817</v>
      </c>
      <c r="U81" s="424"/>
      <c r="V81" s="424"/>
      <c r="W81" s="467">
        <v>0</v>
      </c>
      <c r="X81" s="467">
        <v>0</v>
      </c>
      <c r="Y81" s="467">
        <f>SUM(W81:X81)</f>
        <v>0</v>
      </c>
      <c r="Z81" s="406"/>
      <c r="AA81" s="467">
        <f>W81-D81</f>
        <v>0</v>
      </c>
      <c r="AB81" s="467">
        <f>X81-E81</f>
        <v>0</v>
      </c>
      <c r="AC81" s="406">
        <f>SUM(AA81:AB81)</f>
        <v>0</v>
      </c>
    </row>
    <row r="82" spans="1:29" ht="12.75">
      <c r="A82" s="424"/>
      <c r="B82" s="424"/>
      <c r="C82" s="469" t="s">
        <v>103</v>
      </c>
      <c r="D82" s="470">
        <v>0</v>
      </c>
      <c r="E82" s="470">
        <v>0</v>
      </c>
      <c r="F82" s="470">
        <f>SUM(D82:E82)</f>
        <v>0</v>
      </c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69" t="s">
        <v>103</v>
      </c>
      <c r="U82" s="471"/>
      <c r="V82" s="471"/>
      <c r="W82" s="470">
        <v>0</v>
      </c>
      <c r="X82" s="470">
        <v>0</v>
      </c>
      <c r="Y82" s="470">
        <f>SUM(W82:X82)</f>
        <v>0</v>
      </c>
      <c r="Z82" s="406"/>
      <c r="AA82" s="470">
        <f t="shared" si="2"/>
        <v>0</v>
      </c>
      <c r="AB82" s="470">
        <f t="shared" si="2"/>
        <v>0</v>
      </c>
      <c r="AC82" s="470">
        <f>SUM(AA82:AB82)</f>
        <v>0</v>
      </c>
    </row>
    <row r="83" spans="1:29" ht="12.75">
      <c r="A83" s="424"/>
      <c r="B83" s="424"/>
      <c r="C83" s="472" t="s">
        <v>366</v>
      </c>
      <c r="D83" s="467">
        <f>SUM(D79:D82)</f>
        <v>12311385</v>
      </c>
      <c r="E83" s="467">
        <f>SUM(E79:E82)</f>
        <v>0</v>
      </c>
      <c r="F83" s="467">
        <f>SUM(F79:F82)</f>
        <v>12311385</v>
      </c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72" t="s">
        <v>366</v>
      </c>
      <c r="U83" s="424"/>
      <c r="V83" s="472"/>
      <c r="W83" s="467">
        <f>SUM(W79:W82)</f>
        <v>0</v>
      </c>
      <c r="X83" s="467">
        <f>SUM(X79:X82)</f>
        <v>0</v>
      </c>
      <c r="Y83" s="467">
        <f>SUM(Y79:Y82)</f>
        <v>0</v>
      </c>
      <c r="Z83" s="406"/>
      <c r="AA83" s="467">
        <f>SUM(AA79:AA82)</f>
        <v>-12311385</v>
      </c>
      <c r="AB83" s="467">
        <f>SUM(AB79:AB82)</f>
        <v>0</v>
      </c>
      <c r="AC83" s="467">
        <f>SUM(AC79:AC82)</f>
        <v>-12311385</v>
      </c>
    </row>
    <row r="84" spans="1:29" ht="12.75">
      <c r="A84" s="424"/>
      <c r="B84" s="424"/>
      <c r="C84" s="472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361"/>
      <c r="AA84" s="467"/>
      <c r="AB84" s="467"/>
      <c r="AC84" s="361"/>
    </row>
    <row r="85" spans="1:29" ht="12.75">
      <c r="A85" s="424"/>
      <c r="B85" s="424"/>
      <c r="C85" s="475" t="s">
        <v>106</v>
      </c>
      <c r="D85" s="476">
        <f>SUM(D83,D76,D69)</f>
        <v>1098117347</v>
      </c>
      <c r="E85" s="476">
        <f>SUM(E83,E76,E69)</f>
        <v>952241641</v>
      </c>
      <c r="F85" s="476">
        <f>SUM(F83,F76,F69)</f>
        <v>2050358988</v>
      </c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 t="s">
        <v>106</v>
      </c>
      <c r="U85" s="475"/>
      <c r="V85" s="475"/>
      <c r="W85" s="476">
        <f>SUM(W83,W76,W69)</f>
        <v>1100566688</v>
      </c>
      <c r="X85" s="476">
        <f>SUM(X83,X76,X69)</f>
        <v>949792300</v>
      </c>
      <c r="Y85" s="476">
        <f>SUM(Y83,Y76,Y69)</f>
        <v>2050358988</v>
      </c>
      <c r="Z85" s="342"/>
      <c r="AA85" s="476">
        <f>SUM(AA83,AA76,AA69)</f>
        <v>2449341</v>
      </c>
      <c r="AB85" s="476">
        <f>SUM(AB83,AB76,AB69)</f>
        <v>-2449341</v>
      </c>
      <c r="AC85" s="476">
        <f>SUM(AC83,AC76,AC69)</f>
        <v>0</v>
      </c>
    </row>
    <row r="86" spans="1:29" ht="12.75">
      <c r="A86" s="475"/>
      <c r="B86" s="475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361"/>
    </row>
    <row r="87" spans="1:29" ht="12.75">
      <c r="A87" s="424"/>
      <c r="B87" s="424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361"/>
    </row>
    <row r="88" spans="1:3" ht="12.75">
      <c r="A88" s="424"/>
      <c r="B88" s="424"/>
      <c r="C88" s="424"/>
    </row>
  </sheetData>
  <sheetProtection/>
  <mergeCells count="174">
    <mergeCell ref="AA37:AC37"/>
    <mergeCell ref="G39:I39"/>
    <mergeCell ref="X37:Z37"/>
    <mergeCell ref="G40:I40"/>
    <mergeCell ref="W39:W41"/>
    <mergeCell ref="G42:I42"/>
    <mergeCell ref="G37:K38"/>
    <mergeCell ref="H45:J45"/>
    <mergeCell ref="R14:U14"/>
    <mergeCell ref="R42:U43"/>
    <mergeCell ref="R41:U41"/>
    <mergeCell ref="K39:K41"/>
    <mergeCell ref="L44:O44"/>
    <mergeCell ref="K42:K44"/>
    <mergeCell ref="L37:Q38"/>
    <mergeCell ref="L39:O40"/>
    <mergeCell ref="P39:P40"/>
    <mergeCell ref="B40:C40"/>
    <mergeCell ref="A35:C35"/>
    <mergeCell ref="R39:U39"/>
    <mergeCell ref="Q39:Q41"/>
    <mergeCell ref="A37:C38"/>
    <mergeCell ref="D37:F37"/>
    <mergeCell ref="M36:P36"/>
    <mergeCell ref="S36:V36"/>
    <mergeCell ref="R40:U40"/>
    <mergeCell ref="R37:W38"/>
    <mergeCell ref="V64:W64"/>
    <mergeCell ref="Q49:Q56"/>
    <mergeCell ref="R49:U49"/>
    <mergeCell ref="R50:U50"/>
    <mergeCell ref="L42:O43"/>
    <mergeCell ref="Q57:Q58"/>
    <mergeCell ref="M45:P45"/>
    <mergeCell ref="S45:V45"/>
    <mergeCell ref="W42:W44"/>
    <mergeCell ref="W49:W56"/>
    <mergeCell ref="AA62:AC62"/>
    <mergeCell ref="L47:Q48"/>
    <mergeCell ref="W62:Y62"/>
    <mergeCell ref="S63:V63"/>
    <mergeCell ref="AA47:AC47"/>
    <mergeCell ref="M60:P60"/>
    <mergeCell ref="R47:W48"/>
    <mergeCell ref="L49:O49"/>
    <mergeCell ref="L50:O50"/>
    <mergeCell ref="R52:U52"/>
    <mergeCell ref="H59:J59"/>
    <mergeCell ref="D62:F62"/>
    <mergeCell ref="S60:V60"/>
    <mergeCell ref="R53:U53"/>
    <mergeCell ref="M59:P59"/>
    <mergeCell ref="S59:V59"/>
    <mergeCell ref="G54:I54"/>
    <mergeCell ref="G55:I55"/>
    <mergeCell ref="L57:O57"/>
    <mergeCell ref="K49:K56"/>
    <mergeCell ref="G56:I56"/>
    <mergeCell ref="G47:K48"/>
    <mergeCell ref="R51:U51"/>
    <mergeCell ref="D47:F47"/>
    <mergeCell ref="A60:C60"/>
    <mergeCell ref="A61:C61"/>
    <mergeCell ref="A52:C52"/>
    <mergeCell ref="A59:C59"/>
    <mergeCell ref="H60:J60"/>
    <mergeCell ref="L58:O58"/>
    <mergeCell ref="A43:C43"/>
    <mergeCell ref="A58:C58"/>
    <mergeCell ref="A45:C45"/>
    <mergeCell ref="A47:C48"/>
    <mergeCell ref="X47:Z47"/>
    <mergeCell ref="R58:U58"/>
    <mergeCell ref="G58:I58"/>
    <mergeCell ref="G49:I49"/>
    <mergeCell ref="G51:I51"/>
    <mergeCell ref="G50:I50"/>
    <mergeCell ref="G53:I53"/>
    <mergeCell ref="G52:I52"/>
    <mergeCell ref="A29:C30"/>
    <mergeCell ref="D29:F29"/>
    <mergeCell ref="G29:K30"/>
    <mergeCell ref="K26:K27"/>
    <mergeCell ref="A36:C36"/>
    <mergeCell ref="H36:J36"/>
    <mergeCell ref="K31:K34"/>
    <mergeCell ref="B33:C33"/>
    <mergeCell ref="AA29:AC29"/>
    <mergeCell ref="R29:W30"/>
    <mergeCell ref="X29:Z29"/>
    <mergeCell ref="W8:W17"/>
    <mergeCell ref="B21:C21"/>
    <mergeCell ref="W18:W19"/>
    <mergeCell ref="W22:W25"/>
    <mergeCell ref="L9:O9"/>
    <mergeCell ref="G11:I11"/>
    <mergeCell ref="G31:I32"/>
    <mergeCell ref="J31:J32"/>
    <mergeCell ref="A25:C25"/>
    <mergeCell ref="L20:O20"/>
    <mergeCell ref="G17:I17"/>
    <mergeCell ref="G16:I16"/>
    <mergeCell ref="A28:C28"/>
    <mergeCell ref="H28:J28"/>
    <mergeCell ref="G20:I20"/>
    <mergeCell ref="L29:Q30"/>
    <mergeCell ref="R19:U19"/>
    <mergeCell ref="R26:U26"/>
    <mergeCell ref="W26:W27"/>
    <mergeCell ref="R25:U25"/>
    <mergeCell ref="R23:U23"/>
    <mergeCell ref="R16:U16"/>
    <mergeCell ref="R24:U24"/>
    <mergeCell ref="L6:Q7"/>
    <mergeCell ref="R6:W7"/>
    <mergeCell ref="D6:F6"/>
    <mergeCell ref="G6:K7"/>
    <mergeCell ref="R9:U9"/>
    <mergeCell ref="T1:AB1"/>
    <mergeCell ref="X6:Z6"/>
    <mergeCell ref="AA6:AC6"/>
    <mergeCell ref="K8:K17"/>
    <mergeCell ref="A3:AC3"/>
    <mergeCell ref="L10:O10"/>
    <mergeCell ref="G8:I8"/>
    <mergeCell ref="G12:I12"/>
    <mergeCell ref="R8:U8"/>
    <mergeCell ref="L8:O8"/>
    <mergeCell ref="G9:I9"/>
    <mergeCell ref="G10:I10"/>
    <mergeCell ref="Q8:Q17"/>
    <mergeCell ref="A6:C7"/>
    <mergeCell ref="L12:O12"/>
    <mergeCell ref="G15:I15"/>
    <mergeCell ref="Q20:Q21"/>
    <mergeCell ref="L21:O21"/>
    <mergeCell ref="K18:K19"/>
    <mergeCell ref="Q18:Q19"/>
    <mergeCell ref="K20:K21"/>
    <mergeCell ref="L16:O16"/>
    <mergeCell ref="L13:O13"/>
    <mergeCell ref="L15:O15"/>
    <mergeCell ref="L34:O34"/>
    <mergeCell ref="S28:V28"/>
    <mergeCell ref="G13:I13"/>
    <mergeCell ref="R17:U17"/>
    <mergeCell ref="R18:U18"/>
    <mergeCell ref="R21:U21"/>
    <mergeCell ref="G21:I21"/>
    <mergeCell ref="K22:K25"/>
    <mergeCell ref="L17:O17"/>
    <mergeCell ref="R31:U32"/>
    <mergeCell ref="V31:V32"/>
    <mergeCell ref="Q31:Q34"/>
    <mergeCell ref="W31:W34"/>
    <mergeCell ref="R35:U35"/>
    <mergeCell ref="L33:O33"/>
    <mergeCell ref="R15:U15"/>
    <mergeCell ref="L24:O24"/>
    <mergeCell ref="R34:U34"/>
    <mergeCell ref="R33:U33"/>
    <mergeCell ref="P31:P32"/>
    <mergeCell ref="L18:O18"/>
    <mergeCell ref="L19:O19"/>
    <mergeCell ref="L26:O26"/>
    <mergeCell ref="M28:P28"/>
    <mergeCell ref="L25:O25"/>
    <mergeCell ref="L23:O23"/>
    <mergeCell ref="Q22:Q25"/>
    <mergeCell ref="L22:O22"/>
    <mergeCell ref="Q26:Q27"/>
    <mergeCell ref="R22:U22"/>
    <mergeCell ref="L27:O27"/>
    <mergeCell ref="L31:O3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64.375" style="0" bestFit="1" customWidth="1"/>
    <col min="14" max="14" width="9.125" style="164" customWidth="1"/>
  </cols>
  <sheetData>
    <row r="1" spans="8:13" ht="15">
      <c r="H1" s="1"/>
      <c r="I1" s="1"/>
      <c r="J1" s="1"/>
      <c r="K1" s="1"/>
      <c r="L1" s="1"/>
      <c r="M1" s="6" t="s">
        <v>1054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4" customFormat="1" ht="14.25" customHeight="1">
      <c r="A4" s="1232" t="s">
        <v>523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65"/>
    </row>
    <row r="5" spans="1:14" s="84" customFormat="1" ht="14.25" customHeight="1">
      <c r="A5" s="1232" t="s">
        <v>454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65"/>
    </row>
    <row r="6" spans="1:14" s="84" customFormat="1" ht="18" customHeight="1">
      <c r="A6" s="1232"/>
      <c r="B6" s="1232"/>
      <c r="C6" s="1232"/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165"/>
    </row>
    <row r="7" spans="1:14" s="83" customFormat="1" ht="12.75">
      <c r="A7" s="150" t="s">
        <v>363</v>
      </c>
      <c r="B7" s="122" t="s">
        <v>348</v>
      </c>
      <c r="C7" s="122" t="s">
        <v>349</v>
      </c>
      <c r="D7" s="122" t="s">
        <v>350</v>
      </c>
      <c r="E7" s="122" t="s">
        <v>351</v>
      </c>
      <c r="F7" s="122" t="s">
        <v>352</v>
      </c>
      <c r="G7" s="122" t="s">
        <v>353</v>
      </c>
      <c r="H7" s="122" t="s">
        <v>354</v>
      </c>
      <c r="I7" s="122" t="s">
        <v>355</v>
      </c>
      <c r="J7" s="122" t="s">
        <v>356</v>
      </c>
      <c r="K7" s="122" t="s">
        <v>357</v>
      </c>
      <c r="L7" s="122" t="s">
        <v>358</v>
      </c>
      <c r="M7" s="122" t="s">
        <v>359</v>
      </c>
      <c r="N7" s="166"/>
    </row>
    <row r="8" spans="1:14" s="86" customFormat="1" ht="22.5" customHeight="1">
      <c r="A8" s="167" t="s">
        <v>758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6"/>
    </row>
    <row r="9" spans="1:14" s="615" customFormat="1" ht="20.25" customHeight="1">
      <c r="A9" s="612" t="s">
        <v>836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4"/>
    </row>
    <row r="10" spans="1:14" s="85" customFormat="1" ht="14.25" customHeight="1">
      <c r="A10" s="154" t="s">
        <v>920</v>
      </c>
      <c r="B10" s="124">
        <v>15</v>
      </c>
      <c r="C10" s="124">
        <v>15</v>
      </c>
      <c r="D10" s="124">
        <v>15</v>
      </c>
      <c r="E10" s="124">
        <v>15</v>
      </c>
      <c r="F10" s="124">
        <v>15</v>
      </c>
      <c r="G10" s="124">
        <v>15</v>
      </c>
      <c r="H10" s="124">
        <v>15</v>
      </c>
      <c r="I10" s="124">
        <v>15</v>
      </c>
      <c r="J10" s="124">
        <v>15</v>
      </c>
      <c r="K10" s="124">
        <v>15</v>
      </c>
      <c r="L10" s="124">
        <v>15</v>
      </c>
      <c r="M10" s="124">
        <v>15</v>
      </c>
      <c r="N10" s="172"/>
    </row>
    <row r="11" spans="1:14" s="85" customFormat="1" ht="14.25" customHeight="1">
      <c r="A11" s="154" t="s">
        <v>921</v>
      </c>
      <c r="B11" s="124">
        <v>1</v>
      </c>
      <c r="C11" s="124">
        <v>1</v>
      </c>
      <c r="D11" s="124">
        <v>1</v>
      </c>
      <c r="E11" s="124">
        <v>1</v>
      </c>
      <c r="F11" s="124">
        <v>1</v>
      </c>
      <c r="G11" s="124">
        <v>1</v>
      </c>
      <c r="H11" s="124">
        <v>1</v>
      </c>
      <c r="I11" s="124">
        <v>1</v>
      </c>
      <c r="J11" s="124">
        <v>1</v>
      </c>
      <c r="K11" s="124">
        <v>1</v>
      </c>
      <c r="L11" s="124">
        <v>1</v>
      </c>
      <c r="M11" s="124">
        <v>1</v>
      </c>
      <c r="N11" s="172"/>
    </row>
    <row r="12" spans="1:14" s="85" customFormat="1" ht="12.75">
      <c r="A12" s="154" t="s">
        <v>623</v>
      </c>
      <c r="B12" s="124">
        <v>1</v>
      </c>
      <c r="C12" s="124">
        <v>1</v>
      </c>
      <c r="D12" s="124">
        <v>1</v>
      </c>
      <c r="E12" s="124">
        <v>1</v>
      </c>
      <c r="F12" s="124">
        <v>1</v>
      </c>
      <c r="G12" s="124">
        <v>1</v>
      </c>
      <c r="H12" s="124">
        <v>1</v>
      </c>
      <c r="I12" s="124">
        <v>1</v>
      </c>
      <c r="J12" s="124">
        <v>1</v>
      </c>
      <c r="K12" s="124">
        <v>1</v>
      </c>
      <c r="L12" s="124">
        <v>1</v>
      </c>
      <c r="M12" s="124">
        <v>1</v>
      </c>
      <c r="N12" s="172"/>
    </row>
    <row r="13" spans="1:14" s="85" customFormat="1" ht="12.75" customHeight="1">
      <c r="A13" s="154" t="s">
        <v>621</v>
      </c>
      <c r="B13" s="124">
        <v>2</v>
      </c>
      <c r="C13" s="124">
        <v>2</v>
      </c>
      <c r="D13" s="124">
        <v>2</v>
      </c>
      <c r="E13" s="124">
        <v>2</v>
      </c>
      <c r="F13" s="124">
        <v>2</v>
      </c>
      <c r="G13" s="124">
        <v>2</v>
      </c>
      <c r="H13" s="124">
        <v>2</v>
      </c>
      <c r="I13" s="124">
        <v>2</v>
      </c>
      <c r="J13" s="124">
        <v>2</v>
      </c>
      <c r="K13" s="124">
        <v>2</v>
      </c>
      <c r="L13" s="124">
        <v>2</v>
      </c>
      <c r="M13" s="124">
        <v>2</v>
      </c>
      <c r="N13" s="172"/>
    </row>
    <row r="14" spans="1:14" s="85" customFormat="1" ht="12.75">
      <c r="A14" s="173" t="s">
        <v>622</v>
      </c>
      <c r="B14" s="124">
        <v>8</v>
      </c>
      <c r="C14" s="124">
        <v>8</v>
      </c>
      <c r="D14" s="124">
        <v>8</v>
      </c>
      <c r="E14" s="124">
        <v>8</v>
      </c>
      <c r="F14" s="124">
        <v>8</v>
      </c>
      <c r="G14" s="124">
        <v>8</v>
      </c>
      <c r="H14" s="124">
        <v>8</v>
      </c>
      <c r="I14" s="124">
        <v>8</v>
      </c>
      <c r="J14" s="124">
        <v>8</v>
      </c>
      <c r="K14" s="124">
        <v>8</v>
      </c>
      <c r="L14" s="124">
        <v>8</v>
      </c>
      <c r="M14" s="124">
        <v>8</v>
      </c>
      <c r="N14" s="172"/>
    </row>
    <row r="15" spans="1:14" s="85" customFormat="1" ht="15" customHeight="1">
      <c r="A15" s="154" t="s">
        <v>994</v>
      </c>
      <c r="B15" s="124">
        <v>1</v>
      </c>
      <c r="C15" s="124">
        <v>1</v>
      </c>
      <c r="D15" s="124">
        <v>1</v>
      </c>
      <c r="E15" s="124">
        <v>1</v>
      </c>
      <c r="F15" s="124">
        <v>1</v>
      </c>
      <c r="G15" s="124">
        <v>1</v>
      </c>
      <c r="H15" s="124">
        <v>1</v>
      </c>
      <c r="I15" s="124">
        <v>1</v>
      </c>
      <c r="J15" s="124">
        <v>1</v>
      </c>
      <c r="K15" s="124">
        <v>1</v>
      </c>
      <c r="L15" s="124">
        <v>1</v>
      </c>
      <c r="M15" s="124">
        <v>1</v>
      </c>
      <c r="N15" s="172"/>
    </row>
    <row r="16" spans="1:14" s="615" customFormat="1" ht="20.25" customHeight="1">
      <c r="A16" s="612" t="s">
        <v>759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4"/>
    </row>
    <row r="17" spans="1:14" s="85" customFormat="1" ht="12.75">
      <c r="A17" s="154" t="s">
        <v>760</v>
      </c>
      <c r="B17" s="124">
        <v>1</v>
      </c>
      <c r="C17" s="124">
        <v>1</v>
      </c>
      <c r="D17" s="124">
        <v>1</v>
      </c>
      <c r="E17" s="124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1</v>
      </c>
      <c r="M17" s="124">
        <v>1</v>
      </c>
      <c r="N17" s="172"/>
    </row>
    <row r="18" spans="1:14" s="85" customFormat="1" ht="12.75">
      <c r="A18" s="154" t="s">
        <v>761</v>
      </c>
      <c r="B18" s="124">
        <v>1</v>
      </c>
      <c r="C18" s="124">
        <v>1</v>
      </c>
      <c r="D18" s="124">
        <v>1</v>
      </c>
      <c r="E18" s="124">
        <v>1</v>
      </c>
      <c r="F18" s="124">
        <v>1</v>
      </c>
      <c r="G18" s="124">
        <v>1</v>
      </c>
      <c r="H18" s="124">
        <v>1</v>
      </c>
      <c r="I18" s="124">
        <v>1</v>
      </c>
      <c r="J18" s="124">
        <v>1</v>
      </c>
      <c r="K18" s="124">
        <v>1</v>
      </c>
      <c r="L18" s="124">
        <v>1</v>
      </c>
      <c r="M18" s="124">
        <v>1</v>
      </c>
      <c r="N18" s="172"/>
    </row>
    <row r="19" spans="1:14" s="85" customFormat="1" ht="12.75">
      <c r="A19" s="154" t="s">
        <v>762</v>
      </c>
      <c r="B19" s="124">
        <v>1</v>
      </c>
      <c r="C19" s="124">
        <v>1</v>
      </c>
      <c r="D19" s="124">
        <v>1</v>
      </c>
      <c r="E19" s="124">
        <v>1</v>
      </c>
      <c r="F19" s="124">
        <v>1</v>
      </c>
      <c r="G19" s="124">
        <v>1</v>
      </c>
      <c r="H19" s="124">
        <v>1</v>
      </c>
      <c r="I19" s="124">
        <v>1</v>
      </c>
      <c r="J19" s="124">
        <v>1</v>
      </c>
      <c r="K19" s="124">
        <v>1</v>
      </c>
      <c r="L19" s="124">
        <v>1</v>
      </c>
      <c r="M19" s="124">
        <v>1</v>
      </c>
      <c r="N19" s="172"/>
    </row>
    <row r="20" spans="1:14" s="615" customFormat="1" ht="20.25" customHeight="1">
      <c r="A20" s="612" t="s">
        <v>626</v>
      </c>
      <c r="B20" s="613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4"/>
    </row>
    <row r="21" spans="1:14" s="85" customFormat="1" ht="12.75">
      <c r="A21" s="154" t="s">
        <v>763</v>
      </c>
      <c r="B21" s="124">
        <v>1</v>
      </c>
      <c r="C21" s="124">
        <v>1</v>
      </c>
      <c r="D21" s="124">
        <v>1</v>
      </c>
      <c r="E21" s="124">
        <v>1</v>
      </c>
      <c r="F21" s="124">
        <v>1</v>
      </c>
      <c r="G21" s="124">
        <v>1</v>
      </c>
      <c r="H21" s="124">
        <v>1</v>
      </c>
      <c r="I21" s="124">
        <v>1</v>
      </c>
      <c r="J21" s="124">
        <v>1</v>
      </c>
      <c r="K21" s="124">
        <v>1</v>
      </c>
      <c r="L21" s="124">
        <v>1</v>
      </c>
      <c r="M21" s="124">
        <v>1</v>
      </c>
      <c r="N21" s="172"/>
    </row>
    <row r="22" spans="1:14" s="85" customFormat="1" ht="12.75">
      <c r="A22" s="154" t="s">
        <v>764</v>
      </c>
      <c r="B22" s="124">
        <v>1</v>
      </c>
      <c r="C22" s="124">
        <v>1</v>
      </c>
      <c r="D22" s="124">
        <v>1</v>
      </c>
      <c r="E22" s="124">
        <v>1</v>
      </c>
      <c r="F22" s="124">
        <v>1</v>
      </c>
      <c r="G22" s="124">
        <v>1</v>
      </c>
      <c r="H22" s="124">
        <v>1</v>
      </c>
      <c r="I22" s="124">
        <v>1</v>
      </c>
      <c r="J22" s="124">
        <v>1</v>
      </c>
      <c r="K22" s="124">
        <v>1</v>
      </c>
      <c r="L22" s="124">
        <v>1</v>
      </c>
      <c r="M22" s="124">
        <v>1</v>
      </c>
      <c r="N22" s="172"/>
    </row>
    <row r="23" spans="1:14" s="615" customFormat="1" ht="27" customHeight="1">
      <c r="A23" s="612" t="s">
        <v>587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4"/>
    </row>
    <row r="24" spans="1:14" s="85" customFormat="1" ht="12.75">
      <c r="A24" s="154" t="s">
        <v>624</v>
      </c>
      <c r="B24" s="124">
        <v>1</v>
      </c>
      <c r="C24" s="124">
        <v>1</v>
      </c>
      <c r="D24" s="124">
        <v>1</v>
      </c>
      <c r="E24" s="124">
        <v>1</v>
      </c>
      <c r="F24" s="124">
        <v>1</v>
      </c>
      <c r="G24" s="124">
        <v>1</v>
      </c>
      <c r="H24" s="124">
        <v>1</v>
      </c>
      <c r="I24" s="124">
        <v>1</v>
      </c>
      <c r="J24" s="124">
        <v>1</v>
      </c>
      <c r="K24" s="124">
        <v>1</v>
      </c>
      <c r="L24" s="124">
        <v>1</v>
      </c>
      <c r="M24" s="124">
        <v>1</v>
      </c>
      <c r="N24" s="172"/>
    </row>
    <row r="25" spans="1:14" s="85" customFormat="1" ht="12.75">
      <c r="A25" s="154" t="s">
        <v>995</v>
      </c>
      <c r="B25" s="124">
        <v>3</v>
      </c>
      <c r="C25" s="124">
        <v>3</v>
      </c>
      <c r="D25" s="124">
        <v>3</v>
      </c>
      <c r="E25" s="124">
        <v>3</v>
      </c>
      <c r="F25" s="124">
        <v>3</v>
      </c>
      <c r="G25" s="124">
        <v>3</v>
      </c>
      <c r="H25" s="124">
        <v>3</v>
      </c>
      <c r="I25" s="124">
        <v>4</v>
      </c>
      <c r="J25" s="124">
        <v>4</v>
      </c>
      <c r="K25" s="124">
        <v>4</v>
      </c>
      <c r="L25" s="124">
        <v>4</v>
      </c>
      <c r="M25" s="124">
        <v>4</v>
      </c>
      <c r="N25" s="172"/>
    </row>
    <row r="26" spans="1:14" s="85" customFormat="1" ht="12.75">
      <c r="A26" s="154" t="s">
        <v>996</v>
      </c>
      <c r="B26" s="124">
        <v>2</v>
      </c>
      <c r="C26" s="124">
        <v>2</v>
      </c>
      <c r="D26" s="124">
        <v>2</v>
      </c>
      <c r="E26" s="124">
        <v>2</v>
      </c>
      <c r="F26" s="124">
        <v>2</v>
      </c>
      <c r="G26" s="124">
        <v>2</v>
      </c>
      <c r="H26" s="124">
        <v>2</v>
      </c>
      <c r="I26" s="124">
        <v>2</v>
      </c>
      <c r="J26" s="124">
        <v>2</v>
      </c>
      <c r="K26" s="124">
        <v>2</v>
      </c>
      <c r="L26" s="124">
        <v>2</v>
      </c>
      <c r="M26" s="124">
        <v>2</v>
      </c>
      <c r="N26" s="172"/>
    </row>
    <row r="27" spans="1:14" s="615" customFormat="1" ht="29.25" customHeight="1">
      <c r="A27" s="612" t="s">
        <v>712</v>
      </c>
      <c r="B27" s="613"/>
      <c r="C27" s="613"/>
      <c r="D27" s="613"/>
      <c r="E27" s="613"/>
      <c r="F27" s="613"/>
      <c r="G27" s="613"/>
      <c r="H27" s="613"/>
      <c r="I27" s="613"/>
      <c r="J27" s="613"/>
      <c r="K27" s="613"/>
      <c r="L27" s="613"/>
      <c r="M27" s="613"/>
      <c r="N27" s="614"/>
    </row>
    <row r="28" spans="1:14" s="85" customFormat="1" ht="15" customHeight="1">
      <c r="A28" s="154" t="s">
        <v>624</v>
      </c>
      <c r="B28" s="124">
        <v>1</v>
      </c>
      <c r="C28" s="124">
        <v>1</v>
      </c>
      <c r="D28" s="124">
        <v>1</v>
      </c>
      <c r="E28" s="124">
        <v>1</v>
      </c>
      <c r="F28" s="124">
        <v>1</v>
      </c>
      <c r="G28" s="124">
        <v>1</v>
      </c>
      <c r="H28" s="124">
        <v>1</v>
      </c>
      <c r="I28" s="124">
        <v>1</v>
      </c>
      <c r="J28" s="124">
        <v>1</v>
      </c>
      <c r="K28" s="124">
        <v>1</v>
      </c>
      <c r="L28" s="124">
        <v>1</v>
      </c>
      <c r="M28" s="124">
        <v>1</v>
      </c>
      <c r="N28" s="172"/>
    </row>
    <row r="29" spans="1:14" s="85" customFormat="1" ht="15.75" customHeight="1">
      <c r="A29" s="154" t="s">
        <v>625</v>
      </c>
      <c r="B29" s="124">
        <v>2</v>
      </c>
      <c r="C29" s="124">
        <v>2</v>
      </c>
      <c r="D29" s="124">
        <v>2</v>
      </c>
      <c r="E29" s="124">
        <v>2</v>
      </c>
      <c r="F29" s="124">
        <v>2</v>
      </c>
      <c r="G29" s="124">
        <v>2</v>
      </c>
      <c r="H29" s="124">
        <v>2</v>
      </c>
      <c r="I29" s="124">
        <v>3</v>
      </c>
      <c r="J29" s="124">
        <v>3</v>
      </c>
      <c r="K29" s="124">
        <v>3</v>
      </c>
      <c r="L29" s="124">
        <v>3</v>
      </c>
      <c r="M29" s="124">
        <v>3</v>
      </c>
      <c r="N29" s="172"/>
    </row>
    <row r="30" spans="1:14" s="85" customFormat="1" ht="12.75">
      <c r="A30" s="154" t="s">
        <v>997</v>
      </c>
      <c r="B30" s="124">
        <v>0.5</v>
      </c>
      <c r="C30" s="124">
        <v>0.5</v>
      </c>
      <c r="D30" s="124">
        <v>0.5</v>
      </c>
      <c r="E30" s="124">
        <v>0.5</v>
      </c>
      <c r="F30" s="124">
        <v>0.5</v>
      </c>
      <c r="G30" s="124">
        <v>0.5</v>
      </c>
      <c r="H30" s="124">
        <v>0.5</v>
      </c>
      <c r="I30" s="124">
        <v>0.5</v>
      </c>
      <c r="J30" s="124">
        <v>0.5</v>
      </c>
      <c r="K30" s="124">
        <v>0.5</v>
      </c>
      <c r="L30" s="124">
        <v>0.5</v>
      </c>
      <c r="M30" s="124">
        <v>0.5</v>
      </c>
      <c r="N30" s="172"/>
    </row>
    <row r="31" spans="1:14" s="949" customFormat="1" ht="25.5">
      <c r="A31" s="480" t="s">
        <v>902</v>
      </c>
      <c r="B31" s="481">
        <v>2</v>
      </c>
      <c r="C31" s="481">
        <v>2</v>
      </c>
      <c r="D31" s="481">
        <v>2</v>
      </c>
      <c r="E31" s="481">
        <v>2</v>
      </c>
      <c r="F31" s="481">
        <v>2</v>
      </c>
      <c r="G31" s="481">
        <v>2</v>
      </c>
      <c r="H31" s="481">
        <v>2</v>
      </c>
      <c r="I31" s="481">
        <v>0</v>
      </c>
      <c r="J31" s="481">
        <v>0</v>
      </c>
      <c r="K31" s="481">
        <v>0</v>
      </c>
      <c r="L31" s="481">
        <v>0</v>
      </c>
      <c r="M31" s="481">
        <v>0</v>
      </c>
      <c r="N31" s="948"/>
    </row>
    <row r="32" spans="1:14" ht="25.5">
      <c r="A32" s="168" t="s">
        <v>898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/>
    </row>
    <row r="33" spans="1:14" ht="12.75">
      <c r="A33" s="153" t="s">
        <v>1037</v>
      </c>
      <c r="B33" s="162">
        <v>2</v>
      </c>
      <c r="C33" s="162">
        <v>2</v>
      </c>
      <c r="D33" s="162">
        <v>2</v>
      </c>
      <c r="E33" s="162">
        <v>2</v>
      </c>
      <c r="F33" s="162">
        <v>2</v>
      </c>
      <c r="G33" s="162">
        <v>2</v>
      </c>
      <c r="H33" s="162">
        <v>2</v>
      </c>
      <c r="I33" s="162">
        <v>2</v>
      </c>
      <c r="J33" s="162">
        <v>2</v>
      </c>
      <c r="K33" s="162">
        <v>2</v>
      </c>
      <c r="L33" s="162">
        <v>2</v>
      </c>
      <c r="M33" s="162">
        <v>2</v>
      </c>
      <c r="N33"/>
    </row>
    <row r="34" spans="1:14" ht="12.75">
      <c r="A34" s="153" t="s">
        <v>1040</v>
      </c>
      <c r="B34" s="162">
        <v>0.2</v>
      </c>
      <c r="C34" s="162">
        <v>0.2</v>
      </c>
      <c r="D34" s="162">
        <v>0.2</v>
      </c>
      <c r="E34" s="162">
        <v>0.2</v>
      </c>
      <c r="F34" s="162">
        <v>0.2</v>
      </c>
      <c r="G34" s="162">
        <v>0.2</v>
      </c>
      <c r="H34" s="162">
        <v>0.2</v>
      </c>
      <c r="I34" s="162">
        <v>0.2</v>
      </c>
      <c r="J34" s="162">
        <v>0.2</v>
      </c>
      <c r="K34" s="162">
        <v>0.2</v>
      </c>
      <c r="L34" s="162">
        <v>0.2</v>
      </c>
      <c r="M34" s="162">
        <v>0.2</v>
      </c>
      <c r="N34"/>
    </row>
    <row r="35" spans="1:17" ht="12.75">
      <c r="A35" s="153" t="s">
        <v>1041</v>
      </c>
      <c r="B35" s="162">
        <v>0.05</v>
      </c>
      <c r="C35" s="162">
        <v>0.05</v>
      </c>
      <c r="D35" s="162">
        <v>0.05</v>
      </c>
      <c r="E35" s="162">
        <v>0.05</v>
      </c>
      <c r="F35" s="162">
        <v>0.05</v>
      </c>
      <c r="G35" s="162">
        <v>0.05</v>
      </c>
      <c r="H35" s="162">
        <v>0.05</v>
      </c>
      <c r="I35" s="162">
        <v>0.05</v>
      </c>
      <c r="J35" s="162">
        <v>0.05</v>
      </c>
      <c r="K35" s="162">
        <v>0.05</v>
      </c>
      <c r="L35" s="162">
        <v>0.05</v>
      </c>
      <c r="M35" s="162">
        <v>0.05</v>
      </c>
      <c r="N35"/>
      <c r="Q35">
        <f>SUM(M33:M41)</f>
        <v>3.8249999999999997</v>
      </c>
    </row>
    <row r="36" spans="1:14" ht="12.75">
      <c r="A36" s="153" t="s">
        <v>1033</v>
      </c>
      <c r="B36" s="162">
        <v>0.15</v>
      </c>
      <c r="C36" s="162">
        <v>0.15</v>
      </c>
      <c r="D36" s="162">
        <v>0.15</v>
      </c>
      <c r="E36" s="162">
        <v>0.15</v>
      </c>
      <c r="F36" s="162">
        <v>0.15</v>
      </c>
      <c r="G36" s="162">
        <v>0.15</v>
      </c>
      <c r="H36" s="162">
        <v>0.15</v>
      </c>
      <c r="I36" s="162">
        <v>0.15</v>
      </c>
      <c r="J36" s="162">
        <v>0.15</v>
      </c>
      <c r="K36" s="162">
        <v>0.15</v>
      </c>
      <c r="L36" s="162">
        <v>0.15</v>
      </c>
      <c r="M36" s="162">
        <v>0.15</v>
      </c>
      <c r="N36"/>
    </row>
    <row r="37" spans="1:14" ht="12.75">
      <c r="A37" s="153" t="s">
        <v>1034</v>
      </c>
      <c r="B37" s="162">
        <v>0.15</v>
      </c>
      <c r="C37" s="162">
        <v>0.15</v>
      </c>
      <c r="D37" s="162">
        <v>0.15</v>
      </c>
      <c r="E37" s="162">
        <v>0.15</v>
      </c>
      <c r="F37" s="162">
        <v>0.15</v>
      </c>
      <c r="G37" s="162">
        <v>0.15</v>
      </c>
      <c r="H37" s="162">
        <v>0.15</v>
      </c>
      <c r="I37" s="162">
        <v>0.15</v>
      </c>
      <c r="J37" s="162">
        <v>0.15</v>
      </c>
      <c r="K37" s="162">
        <v>0.15</v>
      </c>
      <c r="L37" s="162">
        <v>0.15</v>
      </c>
      <c r="M37" s="162">
        <v>0.15</v>
      </c>
      <c r="N37"/>
    </row>
    <row r="38" spans="1:14" ht="12.75">
      <c r="A38" s="153" t="s">
        <v>1035</v>
      </c>
      <c r="B38" s="162">
        <v>0.5</v>
      </c>
      <c r="C38" s="162">
        <v>0.5</v>
      </c>
      <c r="D38" s="162">
        <v>0.5</v>
      </c>
      <c r="E38" s="162">
        <v>0.5</v>
      </c>
      <c r="F38" s="162">
        <v>0.5</v>
      </c>
      <c r="G38" s="162">
        <v>0.5</v>
      </c>
      <c r="H38" s="162">
        <v>0.5</v>
      </c>
      <c r="I38" s="162">
        <v>0.5</v>
      </c>
      <c r="J38" s="162">
        <v>0.5</v>
      </c>
      <c r="K38" s="162">
        <v>0.5</v>
      </c>
      <c r="L38" s="162">
        <v>0.5</v>
      </c>
      <c r="M38" s="162">
        <v>0.5</v>
      </c>
      <c r="N38"/>
    </row>
    <row r="39" spans="1:14" ht="12.75">
      <c r="A39" s="153" t="s">
        <v>1036</v>
      </c>
      <c r="B39" s="162">
        <v>0.025</v>
      </c>
      <c r="C39" s="162">
        <v>0.025</v>
      </c>
      <c r="D39" s="162">
        <v>0.025</v>
      </c>
      <c r="E39" s="162">
        <v>0.025</v>
      </c>
      <c r="F39" s="162">
        <v>0.025</v>
      </c>
      <c r="G39" s="162">
        <v>0.025</v>
      </c>
      <c r="H39" s="162">
        <v>0.025</v>
      </c>
      <c r="I39" s="162">
        <v>0.025</v>
      </c>
      <c r="J39" s="162">
        <v>0.025</v>
      </c>
      <c r="K39" s="162">
        <v>0.025</v>
      </c>
      <c r="L39" s="162">
        <v>0.025</v>
      </c>
      <c r="M39" s="162">
        <v>0.025</v>
      </c>
      <c r="N39"/>
    </row>
    <row r="40" spans="1:14" ht="12.75">
      <c r="A40" s="153" t="s">
        <v>1038</v>
      </c>
      <c r="B40" s="162">
        <v>0.25</v>
      </c>
      <c r="C40" s="162">
        <v>0.25</v>
      </c>
      <c r="D40" s="162">
        <v>0.25</v>
      </c>
      <c r="E40" s="162">
        <v>0.25</v>
      </c>
      <c r="F40" s="162">
        <v>0.25</v>
      </c>
      <c r="G40" s="162">
        <v>0.25</v>
      </c>
      <c r="H40" s="162">
        <v>0.25</v>
      </c>
      <c r="I40" s="162">
        <v>0.25</v>
      </c>
      <c r="J40" s="162">
        <v>0.25</v>
      </c>
      <c r="K40" s="162">
        <v>0.25</v>
      </c>
      <c r="L40" s="162">
        <v>0.25</v>
      </c>
      <c r="M40" s="162">
        <v>0.25</v>
      </c>
      <c r="N40"/>
    </row>
    <row r="41" spans="1:14" ht="12.75">
      <c r="A41" s="153" t="s">
        <v>1039</v>
      </c>
      <c r="B41" s="162">
        <v>0.5</v>
      </c>
      <c r="C41" s="162">
        <v>0.5</v>
      </c>
      <c r="D41" s="162">
        <v>0.5</v>
      </c>
      <c r="E41" s="162">
        <v>0.5</v>
      </c>
      <c r="F41" s="162">
        <v>0.5</v>
      </c>
      <c r="G41" s="162">
        <v>0.5</v>
      </c>
      <c r="H41" s="162">
        <v>0.5</v>
      </c>
      <c r="I41" s="162">
        <v>0.5</v>
      </c>
      <c r="J41" s="162">
        <v>0.5</v>
      </c>
      <c r="K41" s="162">
        <v>0.5</v>
      </c>
      <c r="L41" s="162">
        <v>0.5</v>
      </c>
      <c r="M41" s="162">
        <v>0.5</v>
      </c>
      <c r="N41"/>
    </row>
    <row r="42" spans="1:14" s="147" customFormat="1" ht="25.5">
      <c r="A42" s="152" t="s">
        <v>785</v>
      </c>
      <c r="B42" s="146">
        <f aca="true" t="shared" si="0" ref="B42:M42">SUM(B10:B41)</f>
        <v>48.324999999999996</v>
      </c>
      <c r="C42" s="146">
        <f t="shared" si="0"/>
        <v>48.324999999999996</v>
      </c>
      <c r="D42" s="146">
        <f t="shared" si="0"/>
        <v>48.324999999999996</v>
      </c>
      <c r="E42" s="146">
        <f t="shared" si="0"/>
        <v>48.324999999999996</v>
      </c>
      <c r="F42" s="146">
        <f t="shared" si="0"/>
        <v>48.324999999999996</v>
      </c>
      <c r="G42" s="146">
        <f t="shared" si="0"/>
        <v>48.324999999999996</v>
      </c>
      <c r="H42" s="146">
        <f t="shared" si="0"/>
        <v>48.324999999999996</v>
      </c>
      <c r="I42" s="146">
        <f t="shared" si="0"/>
        <v>48.324999999999996</v>
      </c>
      <c r="J42" s="146">
        <f t="shared" si="0"/>
        <v>48.324999999999996</v>
      </c>
      <c r="K42" s="146">
        <f t="shared" si="0"/>
        <v>48.324999999999996</v>
      </c>
      <c r="L42" s="146">
        <f t="shared" si="0"/>
        <v>48.324999999999996</v>
      </c>
      <c r="M42" s="146">
        <f t="shared" si="0"/>
        <v>48.324999999999996</v>
      </c>
      <c r="N42" s="174"/>
    </row>
    <row r="43" spans="1:14" s="85" customFormat="1" ht="14.25" customHeight="1">
      <c r="A43" s="151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2"/>
    </row>
    <row r="44" spans="1:14" s="86" customFormat="1" ht="22.5" customHeight="1">
      <c r="A44" s="167" t="s">
        <v>374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6"/>
    </row>
    <row r="45" spans="1:14" s="85" customFormat="1" ht="12.75">
      <c r="A45" s="154" t="s">
        <v>428</v>
      </c>
      <c r="B45" s="124">
        <v>19</v>
      </c>
      <c r="C45" s="124">
        <v>19</v>
      </c>
      <c r="D45" s="124">
        <v>20</v>
      </c>
      <c r="E45" s="124">
        <v>20</v>
      </c>
      <c r="F45" s="124">
        <v>20</v>
      </c>
      <c r="G45" s="124">
        <v>20</v>
      </c>
      <c r="H45" s="124">
        <v>21</v>
      </c>
      <c r="I45" s="124">
        <v>21</v>
      </c>
      <c r="J45" s="124">
        <v>21</v>
      </c>
      <c r="K45" s="124">
        <v>21</v>
      </c>
      <c r="L45" s="124">
        <v>21</v>
      </c>
      <c r="M45" s="124">
        <v>20</v>
      </c>
      <c r="N45" s="172"/>
    </row>
    <row r="46" spans="1:14" s="85" customFormat="1" ht="12.75">
      <c r="A46" s="154" t="s">
        <v>765</v>
      </c>
      <c r="B46" s="124">
        <v>1</v>
      </c>
      <c r="C46" s="124">
        <v>1</v>
      </c>
      <c r="D46" s="124">
        <v>1</v>
      </c>
      <c r="E46" s="124">
        <v>1</v>
      </c>
      <c r="F46" s="124">
        <v>1</v>
      </c>
      <c r="G46" s="124">
        <v>1</v>
      </c>
      <c r="H46" s="124">
        <v>1</v>
      </c>
      <c r="I46" s="124">
        <v>1</v>
      </c>
      <c r="J46" s="124">
        <v>1</v>
      </c>
      <c r="K46" s="124">
        <v>1</v>
      </c>
      <c r="L46" s="124">
        <v>1</v>
      </c>
      <c r="M46" s="124">
        <v>1</v>
      </c>
      <c r="N46" s="172"/>
    </row>
    <row r="47" spans="1:14" s="86" customFormat="1" ht="21" customHeight="1">
      <c r="A47" s="152" t="s">
        <v>502</v>
      </c>
      <c r="B47" s="146">
        <f>SUM(B45:B46)</f>
        <v>20</v>
      </c>
      <c r="C47" s="146">
        <f aca="true" t="shared" si="1" ref="C47:M47">SUM(C45:C46)</f>
        <v>20</v>
      </c>
      <c r="D47" s="146">
        <f t="shared" si="1"/>
        <v>21</v>
      </c>
      <c r="E47" s="146">
        <f t="shared" si="1"/>
        <v>21</v>
      </c>
      <c r="F47" s="146">
        <f t="shared" si="1"/>
        <v>21</v>
      </c>
      <c r="G47" s="146">
        <f t="shared" si="1"/>
        <v>21</v>
      </c>
      <c r="H47" s="146">
        <f t="shared" si="1"/>
        <v>22</v>
      </c>
      <c r="I47" s="146">
        <f t="shared" si="1"/>
        <v>22</v>
      </c>
      <c r="J47" s="146">
        <f t="shared" si="1"/>
        <v>22</v>
      </c>
      <c r="K47" s="146">
        <f t="shared" si="1"/>
        <v>22</v>
      </c>
      <c r="L47" s="146">
        <f t="shared" si="1"/>
        <v>22</v>
      </c>
      <c r="M47" s="146">
        <f t="shared" si="1"/>
        <v>21</v>
      </c>
      <c r="N47" s="126"/>
    </row>
    <row r="48" spans="1:13" s="126" customFormat="1" ht="14.25" customHeight="1">
      <c r="A48" s="15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4" s="86" customFormat="1" ht="22.5" customHeight="1">
      <c r="A49" s="167" t="s">
        <v>450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6"/>
    </row>
    <row r="50" spans="1:14" s="171" customFormat="1" ht="22.5" customHeight="1">
      <c r="A50" s="168" t="s">
        <v>766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s="85" customFormat="1" ht="12.75">
      <c r="A51" s="154" t="s">
        <v>627</v>
      </c>
      <c r="B51" s="124">
        <v>1</v>
      </c>
      <c r="C51" s="124">
        <v>1</v>
      </c>
      <c r="D51" s="124">
        <v>1</v>
      </c>
      <c r="E51" s="124">
        <v>1</v>
      </c>
      <c r="F51" s="124">
        <v>1</v>
      </c>
      <c r="G51" s="124">
        <v>1</v>
      </c>
      <c r="H51" s="124">
        <v>1</v>
      </c>
      <c r="I51" s="124">
        <v>1</v>
      </c>
      <c r="J51" s="124">
        <v>1</v>
      </c>
      <c r="K51" s="124">
        <v>1</v>
      </c>
      <c r="L51" s="124">
        <v>1</v>
      </c>
      <c r="M51" s="124">
        <v>1</v>
      </c>
      <c r="N51" s="172"/>
    </row>
    <row r="52" spans="1:14" s="85" customFormat="1" ht="12.75">
      <c r="A52" s="156" t="s">
        <v>628</v>
      </c>
      <c r="B52" s="124">
        <v>1</v>
      </c>
      <c r="C52" s="124">
        <v>1</v>
      </c>
      <c r="D52" s="124">
        <v>1</v>
      </c>
      <c r="E52" s="124">
        <v>1</v>
      </c>
      <c r="F52" s="124">
        <v>1</v>
      </c>
      <c r="G52" s="124">
        <v>1</v>
      </c>
      <c r="H52" s="124">
        <v>1</v>
      </c>
      <c r="I52" s="124">
        <v>1</v>
      </c>
      <c r="J52" s="124">
        <v>1</v>
      </c>
      <c r="K52" s="124">
        <v>1</v>
      </c>
      <c r="L52" s="124">
        <v>1</v>
      </c>
      <c r="M52" s="124">
        <v>1</v>
      </c>
      <c r="N52" s="172"/>
    </row>
    <row r="53" spans="1:14" s="171" customFormat="1" ht="22.5" customHeight="1">
      <c r="A53" s="168" t="s">
        <v>770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70"/>
    </row>
    <row r="54" spans="1:14" s="85" customFormat="1" ht="15" customHeight="1">
      <c r="A54" s="154" t="s">
        <v>821</v>
      </c>
      <c r="B54" s="124">
        <v>1</v>
      </c>
      <c r="C54" s="124">
        <v>1</v>
      </c>
      <c r="D54" s="124">
        <v>1</v>
      </c>
      <c r="E54" s="124">
        <v>1</v>
      </c>
      <c r="F54" s="124">
        <v>1</v>
      </c>
      <c r="G54" s="124">
        <v>1</v>
      </c>
      <c r="H54" s="124">
        <v>1</v>
      </c>
      <c r="I54" s="124">
        <v>1</v>
      </c>
      <c r="J54" s="124">
        <v>1</v>
      </c>
      <c r="K54" s="124">
        <v>1</v>
      </c>
      <c r="L54" s="124">
        <v>1</v>
      </c>
      <c r="M54" s="124">
        <v>1</v>
      </c>
      <c r="N54" s="172"/>
    </row>
    <row r="55" spans="1:14" s="171" customFormat="1" ht="22.5" customHeight="1">
      <c r="A55" s="168" t="s">
        <v>767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70"/>
    </row>
    <row r="56" spans="1:14" s="85" customFormat="1" ht="12.75">
      <c r="A56" s="154" t="s">
        <v>768</v>
      </c>
      <c r="B56" s="124">
        <v>1</v>
      </c>
      <c r="C56" s="124">
        <v>1</v>
      </c>
      <c r="D56" s="124">
        <v>1</v>
      </c>
      <c r="E56" s="124">
        <v>1</v>
      </c>
      <c r="F56" s="124">
        <v>1</v>
      </c>
      <c r="G56" s="124">
        <v>1</v>
      </c>
      <c r="H56" s="124">
        <v>1</v>
      </c>
      <c r="I56" s="124">
        <v>1</v>
      </c>
      <c r="J56" s="124">
        <v>1</v>
      </c>
      <c r="K56" s="124">
        <v>1</v>
      </c>
      <c r="L56" s="124">
        <v>1</v>
      </c>
      <c r="M56" s="124">
        <v>1</v>
      </c>
      <c r="N56" s="172"/>
    </row>
    <row r="57" spans="1:14" s="85" customFormat="1" ht="12.75">
      <c r="A57" s="154" t="s">
        <v>769</v>
      </c>
      <c r="B57" s="124">
        <v>1</v>
      </c>
      <c r="C57" s="124">
        <v>1</v>
      </c>
      <c r="D57" s="124">
        <v>1</v>
      </c>
      <c r="E57" s="124">
        <v>1</v>
      </c>
      <c r="F57" s="124">
        <v>1</v>
      </c>
      <c r="G57" s="124">
        <v>1</v>
      </c>
      <c r="H57" s="124">
        <v>1</v>
      </c>
      <c r="I57" s="124">
        <v>1</v>
      </c>
      <c r="J57" s="124">
        <v>1</v>
      </c>
      <c r="K57" s="124">
        <v>1</v>
      </c>
      <c r="L57" s="124">
        <v>1</v>
      </c>
      <c r="M57" s="124">
        <v>1</v>
      </c>
      <c r="N57" s="172"/>
    </row>
    <row r="58" spans="1:14" s="85" customFormat="1" ht="12.75">
      <c r="A58" s="154" t="s">
        <v>998</v>
      </c>
      <c r="B58" s="124">
        <v>1</v>
      </c>
      <c r="C58" s="124">
        <v>1</v>
      </c>
      <c r="D58" s="124">
        <v>1</v>
      </c>
      <c r="E58" s="124">
        <v>1</v>
      </c>
      <c r="F58" s="124">
        <v>1</v>
      </c>
      <c r="G58" s="124">
        <v>1</v>
      </c>
      <c r="H58" s="124">
        <v>1</v>
      </c>
      <c r="I58" s="124">
        <v>1</v>
      </c>
      <c r="J58" s="124">
        <v>1</v>
      </c>
      <c r="K58" s="124">
        <v>1</v>
      </c>
      <c r="L58" s="124">
        <v>1</v>
      </c>
      <c r="M58" s="124">
        <v>1</v>
      </c>
      <c r="N58" s="172"/>
    </row>
    <row r="59" spans="1:14" s="171" customFormat="1" ht="22.5" customHeight="1">
      <c r="A59" s="168" t="s">
        <v>361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70"/>
    </row>
    <row r="60" spans="1:14" s="85" customFormat="1" ht="12.75">
      <c r="A60" s="153" t="s">
        <v>362</v>
      </c>
      <c r="B60" s="162">
        <v>5</v>
      </c>
      <c r="C60" s="162">
        <v>5</v>
      </c>
      <c r="D60" s="162">
        <v>5</v>
      </c>
      <c r="E60" s="162">
        <v>5</v>
      </c>
      <c r="F60" s="162">
        <v>5</v>
      </c>
      <c r="G60" s="162">
        <v>5</v>
      </c>
      <c r="H60" s="124">
        <v>5</v>
      </c>
      <c r="I60" s="124">
        <v>5</v>
      </c>
      <c r="J60" s="124">
        <v>5</v>
      </c>
      <c r="K60" s="124">
        <v>5</v>
      </c>
      <c r="L60" s="124">
        <v>5</v>
      </c>
      <c r="M60" s="124">
        <v>5</v>
      </c>
      <c r="N60" s="172"/>
    </row>
    <row r="61" spans="1:14" ht="25.5">
      <c r="A61" s="168" t="s">
        <v>894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/>
    </row>
    <row r="62" spans="1:14" ht="12.75">
      <c r="A62" s="154" t="s">
        <v>999</v>
      </c>
      <c r="B62" s="162">
        <v>0.375</v>
      </c>
      <c r="C62" s="162">
        <v>0.375</v>
      </c>
      <c r="D62" s="162">
        <v>0.375</v>
      </c>
      <c r="E62" s="162">
        <v>0.375</v>
      </c>
      <c r="F62" s="162">
        <v>0.375</v>
      </c>
      <c r="G62" s="162">
        <v>0.375</v>
      </c>
      <c r="H62" s="162">
        <v>0.375</v>
      </c>
      <c r="I62" s="162">
        <v>0.375</v>
      </c>
      <c r="J62" s="162">
        <v>0.375</v>
      </c>
      <c r="K62" s="162">
        <v>0.375</v>
      </c>
      <c r="L62" s="162">
        <v>0.375</v>
      </c>
      <c r="M62" s="162">
        <v>0.375</v>
      </c>
      <c r="N62"/>
    </row>
    <row r="63" spans="1:14" ht="12.75">
      <c r="A63" s="154" t="s">
        <v>1000</v>
      </c>
      <c r="B63" s="162">
        <v>0.375</v>
      </c>
      <c r="C63" s="162">
        <v>0.375</v>
      </c>
      <c r="D63" s="162">
        <v>0.375</v>
      </c>
      <c r="E63" s="162">
        <v>0.375</v>
      </c>
      <c r="F63" s="162">
        <v>0.375</v>
      </c>
      <c r="G63" s="162">
        <v>0.375</v>
      </c>
      <c r="H63" s="162">
        <v>0.375</v>
      </c>
      <c r="I63" s="162">
        <v>0.375</v>
      </c>
      <c r="J63" s="162">
        <v>0.375</v>
      </c>
      <c r="K63" s="162">
        <v>0.375</v>
      </c>
      <c r="L63" s="162">
        <v>0.375</v>
      </c>
      <c r="M63" s="162">
        <v>0.375</v>
      </c>
      <c r="N63"/>
    </row>
    <row r="64" spans="1:14" ht="12.75">
      <c r="A64" s="154" t="s">
        <v>624</v>
      </c>
      <c r="B64" s="162">
        <v>1</v>
      </c>
      <c r="C64" s="162">
        <v>1</v>
      </c>
      <c r="D64" s="162">
        <v>1</v>
      </c>
      <c r="E64" s="162">
        <v>1</v>
      </c>
      <c r="F64" s="162">
        <v>1</v>
      </c>
      <c r="G64" s="162">
        <v>1</v>
      </c>
      <c r="H64" s="162">
        <v>1</v>
      </c>
      <c r="I64" s="162">
        <v>1</v>
      </c>
      <c r="J64" s="162">
        <v>1</v>
      </c>
      <c r="K64" s="162">
        <v>1</v>
      </c>
      <c r="L64" s="162">
        <v>1</v>
      </c>
      <c r="M64" s="162">
        <v>1</v>
      </c>
      <c r="N64"/>
    </row>
    <row r="65" spans="1:14" ht="12.75">
      <c r="A65" s="154" t="s">
        <v>1001</v>
      </c>
      <c r="B65" s="162">
        <v>0.5</v>
      </c>
      <c r="C65" s="162">
        <v>0.5</v>
      </c>
      <c r="D65" s="162">
        <v>0.5</v>
      </c>
      <c r="E65" s="162">
        <v>0.5</v>
      </c>
      <c r="F65" s="162">
        <v>0.5</v>
      </c>
      <c r="G65" s="162">
        <v>0.5</v>
      </c>
      <c r="H65" s="162">
        <v>0.5</v>
      </c>
      <c r="I65" s="162">
        <v>0.5</v>
      </c>
      <c r="J65" s="162">
        <v>0.5</v>
      </c>
      <c r="K65" s="162">
        <v>0.5</v>
      </c>
      <c r="L65" s="162">
        <v>0.5</v>
      </c>
      <c r="M65" s="162">
        <v>0.5</v>
      </c>
      <c r="N65"/>
    </row>
    <row r="66" spans="1:14" ht="12.75">
      <c r="A66" s="154" t="s">
        <v>926</v>
      </c>
      <c r="B66" s="162">
        <v>1</v>
      </c>
      <c r="C66" s="162">
        <v>1</v>
      </c>
      <c r="D66" s="162">
        <v>1</v>
      </c>
      <c r="E66" s="162">
        <v>1</v>
      </c>
      <c r="F66" s="162">
        <v>1</v>
      </c>
      <c r="G66" s="162">
        <v>1</v>
      </c>
      <c r="H66" s="162">
        <v>1</v>
      </c>
      <c r="I66" s="162">
        <v>1</v>
      </c>
      <c r="J66" s="162">
        <v>1</v>
      </c>
      <c r="K66" s="162">
        <v>1</v>
      </c>
      <c r="L66" s="162">
        <v>1</v>
      </c>
      <c r="M66" s="162">
        <v>1</v>
      </c>
      <c r="N66"/>
    </row>
    <row r="67" spans="1:14" ht="12.75">
      <c r="A67" s="154" t="s">
        <v>736</v>
      </c>
      <c r="B67" s="162">
        <v>2</v>
      </c>
      <c r="C67" s="162">
        <v>2</v>
      </c>
      <c r="D67" s="162">
        <v>2</v>
      </c>
      <c r="E67" s="162">
        <v>2</v>
      </c>
      <c r="F67" s="162">
        <v>2</v>
      </c>
      <c r="G67" s="162">
        <v>2</v>
      </c>
      <c r="H67" s="162">
        <v>2</v>
      </c>
      <c r="I67" s="162">
        <v>2</v>
      </c>
      <c r="J67" s="162">
        <v>2</v>
      </c>
      <c r="K67" s="162">
        <v>2</v>
      </c>
      <c r="L67" s="162">
        <v>2</v>
      </c>
      <c r="M67" s="162">
        <v>2</v>
      </c>
      <c r="N67"/>
    </row>
    <row r="68" spans="1:14" ht="12.75">
      <c r="A68" s="154" t="s">
        <v>903</v>
      </c>
      <c r="B68" s="162">
        <v>1</v>
      </c>
      <c r="C68" s="162">
        <v>1</v>
      </c>
      <c r="D68" s="162">
        <v>1</v>
      </c>
      <c r="E68" s="162">
        <v>1</v>
      </c>
      <c r="F68" s="162">
        <v>1</v>
      </c>
      <c r="G68" s="162">
        <v>1</v>
      </c>
      <c r="H68" s="162">
        <v>1</v>
      </c>
      <c r="I68" s="162">
        <v>1</v>
      </c>
      <c r="J68" s="162">
        <v>1</v>
      </c>
      <c r="K68" s="162">
        <v>1</v>
      </c>
      <c r="L68" s="162">
        <v>1</v>
      </c>
      <c r="M68" s="162">
        <v>1</v>
      </c>
      <c r="N68"/>
    </row>
    <row r="69" spans="1:14" ht="15.75" customHeight="1">
      <c r="A69" s="154" t="s">
        <v>895</v>
      </c>
      <c r="B69" s="162">
        <v>0.5</v>
      </c>
      <c r="C69" s="162">
        <v>0.5</v>
      </c>
      <c r="D69" s="162">
        <v>0.5</v>
      </c>
      <c r="E69" s="162">
        <v>0.5</v>
      </c>
      <c r="F69" s="162">
        <v>0.5</v>
      </c>
      <c r="G69" s="162">
        <v>0.5</v>
      </c>
      <c r="H69" s="162">
        <v>0.5</v>
      </c>
      <c r="I69" s="162">
        <v>0.5</v>
      </c>
      <c r="J69" s="162">
        <v>0.5</v>
      </c>
      <c r="K69" s="162">
        <v>0.5</v>
      </c>
      <c r="L69" s="162">
        <v>0.5</v>
      </c>
      <c r="M69" s="162">
        <v>0.5</v>
      </c>
      <c r="N69"/>
    </row>
    <row r="70" spans="1:14" ht="25.5">
      <c r="A70" s="168" t="s">
        <v>896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/>
    </row>
    <row r="71" spans="1:14" ht="12.75">
      <c r="A71" s="153" t="s">
        <v>624</v>
      </c>
      <c r="B71" s="162">
        <v>1</v>
      </c>
      <c r="C71" s="162">
        <v>1</v>
      </c>
      <c r="D71" s="162">
        <v>1</v>
      </c>
      <c r="E71" s="162">
        <v>1</v>
      </c>
      <c r="F71" s="162">
        <v>1</v>
      </c>
      <c r="G71" s="162">
        <v>1</v>
      </c>
      <c r="H71" s="162">
        <v>1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/>
    </row>
    <row r="72" spans="1:14" ht="12.75">
      <c r="A72" s="153" t="s">
        <v>1002</v>
      </c>
      <c r="B72" s="162">
        <v>1</v>
      </c>
      <c r="C72" s="162">
        <v>1</v>
      </c>
      <c r="D72" s="162">
        <v>1</v>
      </c>
      <c r="E72" s="162">
        <v>1</v>
      </c>
      <c r="F72" s="162">
        <v>1</v>
      </c>
      <c r="G72" s="162">
        <v>1</v>
      </c>
      <c r="H72" s="162">
        <v>1</v>
      </c>
      <c r="I72" s="162">
        <v>1</v>
      </c>
      <c r="J72" s="162">
        <v>1</v>
      </c>
      <c r="K72" s="162">
        <v>1</v>
      </c>
      <c r="L72" s="162">
        <v>1</v>
      </c>
      <c r="M72" s="162">
        <v>1</v>
      </c>
      <c r="N72"/>
    </row>
    <row r="73" spans="1:14" ht="12.75">
      <c r="A73" s="153" t="s">
        <v>1003</v>
      </c>
      <c r="B73" s="162">
        <v>0.5</v>
      </c>
      <c r="C73" s="162">
        <v>0.5</v>
      </c>
      <c r="D73" s="162">
        <v>0.5</v>
      </c>
      <c r="E73" s="162">
        <v>0.5</v>
      </c>
      <c r="F73" s="162">
        <v>0.5</v>
      </c>
      <c r="G73" s="162">
        <v>0.5</v>
      </c>
      <c r="H73" s="162">
        <v>0.5</v>
      </c>
      <c r="I73" s="162">
        <v>0</v>
      </c>
      <c r="J73" s="162">
        <v>0</v>
      </c>
      <c r="K73" s="162">
        <v>0</v>
      </c>
      <c r="L73" s="162">
        <v>0</v>
      </c>
      <c r="M73" s="162">
        <v>0</v>
      </c>
      <c r="N73"/>
    </row>
    <row r="74" spans="1:14" ht="12.75">
      <c r="A74" s="153" t="s">
        <v>1004</v>
      </c>
      <c r="B74" s="162">
        <v>2.25</v>
      </c>
      <c r="C74" s="162">
        <v>2.25</v>
      </c>
      <c r="D74" s="162">
        <v>2.25</v>
      </c>
      <c r="E74" s="162">
        <v>2.25</v>
      </c>
      <c r="F74" s="162">
        <v>2.25</v>
      </c>
      <c r="G74" s="162">
        <v>2.25</v>
      </c>
      <c r="H74" s="162">
        <v>2.25</v>
      </c>
      <c r="I74" s="162">
        <v>0</v>
      </c>
      <c r="J74" s="162">
        <v>0</v>
      </c>
      <c r="K74" s="162">
        <v>0</v>
      </c>
      <c r="L74" s="162">
        <v>0</v>
      </c>
      <c r="M74" s="162">
        <v>0</v>
      </c>
      <c r="N74"/>
    </row>
    <row r="75" spans="1:13" s="887" customFormat="1" ht="12.75">
      <c r="A75" s="885" t="s">
        <v>1005</v>
      </c>
      <c r="B75" s="886">
        <v>1</v>
      </c>
      <c r="C75" s="886">
        <v>1</v>
      </c>
      <c r="D75" s="886">
        <v>1</v>
      </c>
      <c r="E75" s="886">
        <v>1</v>
      </c>
      <c r="F75" s="886">
        <v>1</v>
      </c>
      <c r="G75" s="886">
        <v>1</v>
      </c>
      <c r="H75" s="886">
        <v>1</v>
      </c>
      <c r="I75" s="886">
        <v>1</v>
      </c>
      <c r="J75" s="886">
        <v>1</v>
      </c>
      <c r="K75" s="886">
        <v>1</v>
      </c>
      <c r="L75" s="886">
        <v>1</v>
      </c>
      <c r="M75" s="886">
        <v>1</v>
      </c>
    </row>
    <row r="76" spans="1:13" s="887" customFormat="1" ht="12.75">
      <c r="A76" s="885" t="s">
        <v>1006</v>
      </c>
      <c r="B76" s="886">
        <v>2</v>
      </c>
      <c r="C76" s="886">
        <v>2</v>
      </c>
      <c r="D76" s="886">
        <v>2</v>
      </c>
      <c r="E76" s="886">
        <v>2</v>
      </c>
      <c r="F76" s="886">
        <v>2</v>
      </c>
      <c r="G76" s="886">
        <v>2</v>
      </c>
      <c r="H76" s="886">
        <v>2</v>
      </c>
      <c r="I76" s="162">
        <v>0</v>
      </c>
      <c r="J76" s="162">
        <v>0</v>
      </c>
      <c r="K76" s="162">
        <v>0</v>
      </c>
      <c r="L76" s="162">
        <v>0</v>
      </c>
      <c r="M76" s="162">
        <v>0</v>
      </c>
    </row>
    <row r="77" spans="1:14" ht="12.75">
      <c r="A77" s="168" t="s">
        <v>897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/>
    </row>
    <row r="78" spans="1:13" s="876" customFormat="1" ht="12.75">
      <c r="A78" s="153" t="s">
        <v>1007</v>
      </c>
      <c r="B78" s="162">
        <v>1</v>
      </c>
      <c r="C78" s="162">
        <v>1</v>
      </c>
      <c r="D78" s="162">
        <v>1</v>
      </c>
      <c r="E78" s="162">
        <v>1</v>
      </c>
      <c r="F78" s="162">
        <v>1</v>
      </c>
      <c r="G78" s="162">
        <v>1</v>
      </c>
      <c r="H78" s="162">
        <v>1</v>
      </c>
      <c r="I78" s="162">
        <v>1</v>
      </c>
      <c r="J78" s="162">
        <v>1</v>
      </c>
      <c r="K78" s="162">
        <v>1</v>
      </c>
      <c r="L78" s="162">
        <v>1</v>
      </c>
      <c r="M78" s="162">
        <v>1</v>
      </c>
    </row>
    <row r="79" spans="1:14" ht="25.5">
      <c r="A79" s="168" t="s">
        <v>898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/>
    </row>
    <row r="80" spans="1:13" s="876" customFormat="1" ht="12.75">
      <c r="A80" s="153" t="s">
        <v>1009</v>
      </c>
      <c r="B80" s="162">
        <v>0.25</v>
      </c>
      <c r="C80" s="162">
        <v>0.25</v>
      </c>
      <c r="D80" s="162">
        <v>0.25</v>
      </c>
      <c r="E80" s="162">
        <v>0.25</v>
      </c>
      <c r="F80" s="162">
        <v>0.25</v>
      </c>
      <c r="G80" s="162">
        <v>0.25</v>
      </c>
      <c r="H80" s="162">
        <v>0.25</v>
      </c>
      <c r="I80" s="162">
        <v>0.25</v>
      </c>
      <c r="J80" s="162">
        <v>0.25</v>
      </c>
      <c r="K80" s="162">
        <v>0.25</v>
      </c>
      <c r="L80" s="162">
        <v>0.25</v>
      </c>
      <c r="M80" s="162">
        <v>0.25</v>
      </c>
    </row>
    <row r="81" spans="1:13" s="876" customFormat="1" ht="12.75">
      <c r="A81" s="153" t="s">
        <v>1008</v>
      </c>
      <c r="B81" s="162">
        <v>0.5</v>
      </c>
      <c r="C81" s="162">
        <v>0.5</v>
      </c>
      <c r="D81" s="162">
        <v>0.5</v>
      </c>
      <c r="E81" s="162">
        <v>0.5</v>
      </c>
      <c r="F81" s="162">
        <v>0.5</v>
      </c>
      <c r="G81" s="162">
        <v>0.5</v>
      </c>
      <c r="H81" s="162">
        <v>0.5</v>
      </c>
      <c r="I81" s="162">
        <v>0.5</v>
      </c>
      <c r="J81" s="162">
        <v>0.5</v>
      </c>
      <c r="K81" s="162">
        <v>0.5</v>
      </c>
      <c r="L81" s="162">
        <v>0.5</v>
      </c>
      <c r="M81" s="162">
        <v>0.5</v>
      </c>
    </row>
    <row r="82" spans="1:14" s="86" customFormat="1" ht="21" customHeight="1">
      <c r="A82" s="152" t="s">
        <v>393</v>
      </c>
      <c r="B82" s="146">
        <f aca="true" t="shared" si="2" ref="B82:M82">SUM(B51:B81)</f>
        <v>27.25</v>
      </c>
      <c r="C82" s="146">
        <f t="shared" si="2"/>
        <v>27.25</v>
      </c>
      <c r="D82" s="146">
        <f t="shared" si="2"/>
        <v>27.25</v>
      </c>
      <c r="E82" s="146">
        <f t="shared" si="2"/>
        <v>27.25</v>
      </c>
      <c r="F82" s="146">
        <f t="shared" si="2"/>
        <v>27.25</v>
      </c>
      <c r="G82" s="146">
        <f t="shared" si="2"/>
        <v>27.25</v>
      </c>
      <c r="H82" s="146">
        <f t="shared" si="2"/>
        <v>27.25</v>
      </c>
      <c r="I82" s="146">
        <f t="shared" si="2"/>
        <v>21.5</v>
      </c>
      <c r="J82" s="146">
        <f t="shared" si="2"/>
        <v>21.5</v>
      </c>
      <c r="K82" s="146">
        <f t="shared" si="2"/>
        <v>21.5</v>
      </c>
      <c r="L82" s="146">
        <f t="shared" si="2"/>
        <v>21.5</v>
      </c>
      <c r="M82" s="146">
        <f t="shared" si="2"/>
        <v>21.5</v>
      </c>
      <c r="N82" s="126"/>
    </row>
    <row r="83" spans="1:14" s="85" customFormat="1" ht="14.25" customHeight="1">
      <c r="A83" s="151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72"/>
    </row>
    <row r="84" spans="1:14" s="86" customFormat="1" ht="22.5" customHeight="1">
      <c r="A84" s="167" t="s">
        <v>815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6"/>
    </row>
    <row r="85" spans="1:14" s="85" customFormat="1" ht="12.75">
      <c r="A85" s="154" t="s">
        <v>927</v>
      </c>
      <c r="B85" s="124">
        <v>1</v>
      </c>
      <c r="C85" s="124">
        <v>1</v>
      </c>
      <c r="D85" s="124">
        <v>1</v>
      </c>
      <c r="E85" s="124">
        <v>1</v>
      </c>
      <c r="F85" s="124">
        <v>1</v>
      </c>
      <c r="G85" s="124">
        <v>1</v>
      </c>
      <c r="H85" s="124">
        <v>1</v>
      </c>
      <c r="I85" s="124">
        <v>1</v>
      </c>
      <c r="J85" s="124">
        <v>1</v>
      </c>
      <c r="K85" s="124">
        <v>1</v>
      </c>
      <c r="L85" s="124">
        <v>1</v>
      </c>
      <c r="M85" s="124">
        <v>1</v>
      </c>
      <c r="N85" s="172"/>
    </row>
    <row r="86" spans="1:14" s="85" customFormat="1" ht="12.75">
      <c r="A86" s="154" t="s">
        <v>771</v>
      </c>
      <c r="B86" s="124">
        <v>1</v>
      </c>
      <c r="C86" s="124">
        <v>1</v>
      </c>
      <c r="D86" s="124">
        <v>1</v>
      </c>
      <c r="E86" s="124">
        <v>1</v>
      </c>
      <c r="F86" s="124">
        <v>1</v>
      </c>
      <c r="G86" s="124">
        <v>1</v>
      </c>
      <c r="H86" s="124">
        <v>1</v>
      </c>
      <c r="I86" s="124">
        <v>1</v>
      </c>
      <c r="J86" s="124">
        <v>1</v>
      </c>
      <c r="K86" s="124">
        <v>1</v>
      </c>
      <c r="L86" s="124">
        <v>1</v>
      </c>
      <c r="M86" s="124">
        <v>1</v>
      </c>
      <c r="N86" s="172"/>
    </row>
    <row r="87" spans="1:14" s="85" customFormat="1" ht="12.75">
      <c r="A87" s="154" t="s">
        <v>928</v>
      </c>
      <c r="B87" s="124">
        <v>1</v>
      </c>
      <c r="C87" s="124">
        <v>1</v>
      </c>
      <c r="D87" s="124">
        <v>1</v>
      </c>
      <c r="E87" s="124">
        <v>1</v>
      </c>
      <c r="F87" s="124">
        <v>1</v>
      </c>
      <c r="G87" s="124">
        <v>1</v>
      </c>
      <c r="H87" s="124">
        <v>1</v>
      </c>
      <c r="I87" s="124">
        <v>1</v>
      </c>
      <c r="J87" s="124">
        <v>1</v>
      </c>
      <c r="K87" s="124">
        <v>1</v>
      </c>
      <c r="L87" s="124">
        <v>1</v>
      </c>
      <c r="M87" s="124">
        <v>1</v>
      </c>
      <c r="N87" s="172"/>
    </row>
    <row r="88" spans="1:14" s="85" customFormat="1" ht="12.75">
      <c r="A88" s="154" t="s">
        <v>929</v>
      </c>
      <c r="B88" s="124">
        <v>1</v>
      </c>
      <c r="C88" s="124">
        <v>1</v>
      </c>
      <c r="D88" s="124">
        <v>1</v>
      </c>
      <c r="E88" s="124">
        <v>1</v>
      </c>
      <c r="F88" s="124">
        <v>1</v>
      </c>
      <c r="G88" s="124">
        <v>1</v>
      </c>
      <c r="H88" s="124">
        <v>1</v>
      </c>
      <c r="I88" s="124">
        <v>1</v>
      </c>
      <c r="J88" s="124">
        <v>1</v>
      </c>
      <c r="K88" s="124">
        <v>1</v>
      </c>
      <c r="L88" s="124">
        <v>1</v>
      </c>
      <c r="M88" s="124">
        <v>1</v>
      </c>
      <c r="N88" s="172"/>
    </row>
    <row r="89" spans="1:14" s="85" customFormat="1" ht="12.75">
      <c r="A89" s="154" t="s">
        <v>930</v>
      </c>
      <c r="B89" s="124">
        <v>0</v>
      </c>
      <c r="C89" s="124">
        <v>0</v>
      </c>
      <c r="D89" s="124">
        <v>2</v>
      </c>
      <c r="E89" s="124">
        <v>2</v>
      </c>
      <c r="F89" s="124">
        <v>2</v>
      </c>
      <c r="G89" s="124">
        <v>2</v>
      </c>
      <c r="H89" s="124">
        <v>2</v>
      </c>
      <c r="I89" s="124">
        <v>2</v>
      </c>
      <c r="J89" s="124">
        <v>2</v>
      </c>
      <c r="K89" s="124">
        <v>2</v>
      </c>
      <c r="L89" s="124">
        <v>2</v>
      </c>
      <c r="M89" s="124">
        <v>2</v>
      </c>
      <c r="N89" s="172"/>
    </row>
    <row r="90" spans="1:14" ht="12.75">
      <c r="A90" s="168" t="s">
        <v>899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/>
    </row>
    <row r="91" spans="1:14" ht="12.75">
      <c r="A91" s="153" t="s">
        <v>1010</v>
      </c>
      <c r="B91" s="162">
        <v>0.5</v>
      </c>
      <c r="C91" s="162">
        <v>0.5</v>
      </c>
      <c r="D91" s="162">
        <v>0.5</v>
      </c>
      <c r="E91" s="162">
        <v>0.5</v>
      </c>
      <c r="F91" s="162">
        <v>0.5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>
        <v>0</v>
      </c>
      <c r="N91"/>
    </row>
    <row r="92" spans="1:14" s="86" customFormat="1" ht="21" customHeight="1">
      <c r="A92" s="152" t="s">
        <v>816</v>
      </c>
      <c r="B92" s="146">
        <f>SUM(B86:B91)</f>
        <v>3.5</v>
      </c>
      <c r="C92" s="146">
        <f aca="true" t="shared" si="3" ref="C92:M92">SUM(C86:C91)</f>
        <v>3.5</v>
      </c>
      <c r="D92" s="146">
        <f t="shared" si="3"/>
        <v>5.5</v>
      </c>
      <c r="E92" s="146">
        <f t="shared" si="3"/>
        <v>5.5</v>
      </c>
      <c r="F92" s="146">
        <f t="shared" si="3"/>
        <v>5.5</v>
      </c>
      <c r="G92" s="146">
        <f t="shared" si="3"/>
        <v>5</v>
      </c>
      <c r="H92" s="146">
        <f t="shared" si="3"/>
        <v>5</v>
      </c>
      <c r="I92" s="146">
        <f t="shared" si="3"/>
        <v>5</v>
      </c>
      <c r="J92" s="146">
        <f t="shared" si="3"/>
        <v>5</v>
      </c>
      <c r="K92" s="146">
        <f t="shared" si="3"/>
        <v>5</v>
      </c>
      <c r="L92" s="146">
        <f t="shared" si="3"/>
        <v>5</v>
      </c>
      <c r="M92" s="146">
        <f t="shared" si="3"/>
        <v>5</v>
      </c>
      <c r="N92" s="126"/>
    </row>
    <row r="93" spans="1:14" s="147" customFormat="1" ht="30.75" customHeight="1">
      <c r="A93" s="947" t="s">
        <v>429</v>
      </c>
      <c r="B93" s="482">
        <f>SUM(B92,B82,B47,B42)</f>
        <v>99.07499999999999</v>
      </c>
      <c r="C93" s="482">
        <f aca="true" t="shared" si="4" ref="C93:M93">SUM(C92,C82,C47,C42)</f>
        <v>99.07499999999999</v>
      </c>
      <c r="D93" s="482">
        <f t="shared" si="4"/>
        <v>102.07499999999999</v>
      </c>
      <c r="E93" s="482">
        <f t="shared" si="4"/>
        <v>102.07499999999999</v>
      </c>
      <c r="F93" s="482">
        <f t="shared" si="4"/>
        <v>102.07499999999999</v>
      </c>
      <c r="G93" s="482">
        <f t="shared" si="4"/>
        <v>101.57499999999999</v>
      </c>
      <c r="H93" s="482">
        <f t="shared" si="4"/>
        <v>102.57499999999999</v>
      </c>
      <c r="I93" s="482">
        <f t="shared" si="4"/>
        <v>96.82499999999999</v>
      </c>
      <c r="J93" s="482">
        <f t="shared" si="4"/>
        <v>96.82499999999999</v>
      </c>
      <c r="K93" s="482">
        <f t="shared" si="4"/>
        <v>96.82499999999999</v>
      </c>
      <c r="L93" s="482">
        <f t="shared" si="4"/>
        <v>96.82499999999999</v>
      </c>
      <c r="M93" s="482">
        <f t="shared" si="4"/>
        <v>95.82499999999999</v>
      </c>
      <c r="N93" s="174"/>
    </row>
    <row r="94" spans="1:14" s="85" customFormat="1" ht="6" customHeight="1">
      <c r="A94" s="151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72"/>
    </row>
    <row r="95" spans="1:14" s="86" customFormat="1" ht="25.5" customHeight="1">
      <c r="A95" s="167" t="s">
        <v>360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6"/>
    </row>
    <row r="96" spans="1:14" s="615" customFormat="1" ht="37.5" customHeight="1">
      <c r="A96" s="612" t="s">
        <v>922</v>
      </c>
      <c r="B96" s="613"/>
      <c r="C96" s="613"/>
      <c r="D96" s="613"/>
      <c r="E96" s="613"/>
      <c r="F96" s="613"/>
      <c r="G96" s="613"/>
      <c r="H96" s="613"/>
      <c r="I96" s="613"/>
      <c r="J96" s="613"/>
      <c r="K96" s="613"/>
      <c r="L96" s="613"/>
      <c r="M96" s="613"/>
      <c r="N96" s="614"/>
    </row>
    <row r="97" spans="1:14" s="85" customFormat="1" ht="27" customHeight="1">
      <c r="A97" s="480" t="s">
        <v>923</v>
      </c>
      <c r="B97" s="481">
        <v>15</v>
      </c>
      <c r="C97" s="481">
        <v>15</v>
      </c>
      <c r="D97" s="481">
        <v>0</v>
      </c>
      <c r="E97" s="481">
        <v>0</v>
      </c>
      <c r="F97" s="481">
        <v>0</v>
      </c>
      <c r="G97" s="481">
        <v>0</v>
      </c>
      <c r="H97" s="481">
        <v>0</v>
      </c>
      <c r="I97" s="481">
        <v>0</v>
      </c>
      <c r="J97" s="481">
        <v>0</v>
      </c>
      <c r="K97" s="481">
        <v>0</v>
      </c>
      <c r="L97" s="481">
        <v>0</v>
      </c>
      <c r="M97" s="481">
        <v>0</v>
      </c>
      <c r="N97" s="172"/>
    </row>
    <row r="98" spans="1:14" s="615" customFormat="1" ht="36" customHeight="1">
      <c r="A98" s="612" t="s">
        <v>924</v>
      </c>
      <c r="B98" s="613"/>
      <c r="C98" s="613"/>
      <c r="D98" s="613"/>
      <c r="E98" s="613"/>
      <c r="F98" s="613"/>
      <c r="G98" s="613"/>
      <c r="H98" s="613"/>
      <c r="I98" s="613"/>
      <c r="J98" s="613"/>
      <c r="K98" s="613"/>
      <c r="L98" s="613"/>
      <c r="M98" s="613"/>
      <c r="N98" s="614"/>
    </row>
    <row r="99" spans="1:14" s="85" customFormat="1" ht="38.25" customHeight="1">
      <c r="A99" s="480" t="s">
        <v>925</v>
      </c>
      <c r="B99" s="481">
        <v>48</v>
      </c>
      <c r="C99" s="481">
        <v>48</v>
      </c>
      <c r="D99" s="481">
        <v>0</v>
      </c>
      <c r="E99" s="481">
        <v>0</v>
      </c>
      <c r="F99" s="481">
        <v>0</v>
      </c>
      <c r="G99" s="481">
        <v>0</v>
      </c>
      <c r="H99" s="481">
        <v>0</v>
      </c>
      <c r="I99" s="481">
        <v>0</v>
      </c>
      <c r="J99" s="481">
        <v>0</v>
      </c>
      <c r="K99" s="481">
        <v>0</v>
      </c>
      <c r="L99" s="481">
        <v>0</v>
      </c>
      <c r="M99" s="481">
        <v>0</v>
      </c>
      <c r="N99" s="172"/>
    </row>
    <row r="100" spans="1:14" s="147" customFormat="1" ht="32.25" customHeight="1">
      <c r="A100" s="947" t="s">
        <v>522</v>
      </c>
      <c r="B100" s="482">
        <f aca="true" t="shared" si="5" ref="B100:M100">SUM(B96:B99)</f>
        <v>63</v>
      </c>
      <c r="C100" s="482">
        <f t="shared" si="5"/>
        <v>63</v>
      </c>
      <c r="D100" s="482">
        <f t="shared" si="5"/>
        <v>0</v>
      </c>
      <c r="E100" s="482">
        <f t="shared" si="5"/>
        <v>0</v>
      </c>
      <c r="F100" s="482">
        <f t="shared" si="5"/>
        <v>0</v>
      </c>
      <c r="G100" s="482">
        <f t="shared" si="5"/>
        <v>0</v>
      </c>
      <c r="H100" s="482">
        <f t="shared" si="5"/>
        <v>0</v>
      </c>
      <c r="I100" s="482">
        <f t="shared" si="5"/>
        <v>0</v>
      </c>
      <c r="J100" s="482">
        <f t="shared" si="5"/>
        <v>0</v>
      </c>
      <c r="K100" s="482">
        <f t="shared" si="5"/>
        <v>0</v>
      </c>
      <c r="L100" s="482">
        <f t="shared" si="5"/>
        <v>0</v>
      </c>
      <c r="M100" s="482">
        <f t="shared" si="5"/>
        <v>0</v>
      </c>
      <c r="N100" s="174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6" r:id="rId1"/>
  <rowBreaks count="2" manualBreakCount="2">
    <brk id="42" max="12" man="1"/>
    <brk id="7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5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88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1005" t="s">
        <v>1055</v>
      </c>
      <c r="D1" s="1241"/>
      <c r="E1" s="87"/>
    </row>
    <row r="2" spans="3:5" ht="15">
      <c r="C2" s="6"/>
      <c r="D2" s="161"/>
      <c r="E2" s="87"/>
    </row>
    <row r="3" spans="2:4" ht="15.75">
      <c r="B3" s="1242" t="s">
        <v>946</v>
      </c>
      <c r="C3" s="1242"/>
      <c r="D3" s="1242"/>
    </row>
    <row r="4" spans="2:4" ht="15">
      <c r="B4" s="179"/>
      <c r="C4" s="179"/>
      <c r="D4" s="179"/>
    </row>
    <row r="5" ht="15.75" thickBot="1">
      <c r="D5" s="6"/>
    </row>
    <row r="6" spans="1:4" s="4" customFormat="1" ht="14.25">
      <c r="A6" s="1233" t="s">
        <v>441</v>
      </c>
      <c r="B6" s="1243" t="s">
        <v>363</v>
      </c>
      <c r="C6" s="1244"/>
      <c r="D6" s="7" t="s">
        <v>376</v>
      </c>
    </row>
    <row r="7" spans="1:4" s="108" customFormat="1" ht="12">
      <c r="A7" s="1234"/>
      <c r="B7" s="1245" t="s">
        <v>435</v>
      </c>
      <c r="C7" s="1245"/>
      <c r="D7" s="107" t="s">
        <v>436</v>
      </c>
    </row>
    <row r="8" spans="1:4" s="4" customFormat="1" ht="14.25">
      <c r="A8" s="114">
        <v>1</v>
      </c>
      <c r="B8" s="109" t="s">
        <v>369</v>
      </c>
      <c r="C8" s="11"/>
      <c r="D8" s="307"/>
    </row>
    <row r="9" spans="1:4" s="13" customFormat="1" ht="15">
      <c r="A9" s="114">
        <v>2</v>
      </c>
      <c r="B9" s="110" t="s">
        <v>450</v>
      </c>
      <c r="C9" s="12"/>
      <c r="D9" s="308"/>
    </row>
    <row r="10" spans="1:6" ht="18.75" customHeight="1">
      <c r="A10" s="114">
        <v>3</v>
      </c>
      <c r="B10" s="90" t="s">
        <v>377</v>
      </c>
      <c r="C10" s="149" t="s">
        <v>867</v>
      </c>
      <c r="D10" s="902">
        <f>42654146+1</f>
        <v>42654147</v>
      </c>
      <c r="F10" s="903"/>
    </row>
    <row r="11" spans="1:4" ht="30">
      <c r="A11" s="114">
        <v>4</v>
      </c>
      <c r="B11" s="90" t="s">
        <v>377</v>
      </c>
      <c r="C11" s="149" t="s">
        <v>868</v>
      </c>
      <c r="D11" s="682">
        <v>187978206</v>
      </c>
    </row>
    <row r="12" spans="1:4" ht="18.75" customHeight="1">
      <c r="A12" s="114">
        <v>5</v>
      </c>
      <c r="B12" s="90" t="s">
        <v>377</v>
      </c>
      <c r="C12" s="149" t="s">
        <v>869</v>
      </c>
      <c r="D12" s="682">
        <v>404687022</v>
      </c>
    </row>
    <row r="13" spans="1:4" ht="18.75" customHeight="1">
      <c r="A13" s="114">
        <v>6</v>
      </c>
      <c r="B13" s="90" t="s">
        <v>377</v>
      </c>
      <c r="C13" s="149" t="s">
        <v>1011</v>
      </c>
      <c r="D13" s="682">
        <f>25000000-20000000</f>
        <v>5000000</v>
      </c>
    </row>
    <row r="14" spans="1:4" ht="18.75" customHeight="1">
      <c r="A14" s="114">
        <v>7</v>
      </c>
      <c r="B14" s="90" t="s">
        <v>377</v>
      </c>
      <c r="C14" s="149" t="s">
        <v>1012</v>
      </c>
      <c r="D14" s="682">
        <v>363120</v>
      </c>
    </row>
    <row r="15" spans="1:4" ht="18.75" customHeight="1">
      <c r="A15" s="114">
        <v>8</v>
      </c>
      <c r="B15" s="90" t="s">
        <v>377</v>
      </c>
      <c r="C15" s="149" t="s">
        <v>1013</v>
      </c>
      <c r="D15" s="682">
        <v>5000000</v>
      </c>
    </row>
    <row r="16" spans="1:4" ht="18.75" customHeight="1">
      <c r="A16" s="114">
        <v>9</v>
      </c>
      <c r="B16" s="90" t="s">
        <v>377</v>
      </c>
      <c r="C16" s="149" t="s">
        <v>870</v>
      </c>
      <c r="D16" s="682">
        <v>100932090</v>
      </c>
    </row>
    <row r="17" spans="1:4" ht="18.75" customHeight="1">
      <c r="A17" s="114">
        <v>10</v>
      </c>
      <c r="B17" s="90" t="s">
        <v>377</v>
      </c>
      <c r="C17" s="149" t="s">
        <v>1014</v>
      </c>
      <c r="D17" s="682">
        <v>750000</v>
      </c>
    </row>
    <row r="18" spans="1:4" ht="18.75" customHeight="1">
      <c r="A18" s="114">
        <v>11</v>
      </c>
      <c r="B18" s="90" t="s">
        <v>377</v>
      </c>
      <c r="C18" s="149" t="s">
        <v>947</v>
      </c>
      <c r="D18" s="682">
        <v>1940000</v>
      </c>
    </row>
    <row r="19" spans="1:4" ht="34.5" customHeight="1">
      <c r="A19" s="114">
        <v>12</v>
      </c>
      <c r="B19" s="90" t="s">
        <v>377</v>
      </c>
      <c r="C19" s="149" t="s">
        <v>1015</v>
      </c>
      <c r="D19" s="682">
        <f>19510500-1730500</f>
        <v>17780000</v>
      </c>
    </row>
    <row r="20" spans="1:4" ht="18.75" customHeight="1">
      <c r="A20" s="114">
        <v>13</v>
      </c>
      <c r="B20" s="90" t="s">
        <v>377</v>
      </c>
      <c r="C20" s="149" t="s">
        <v>951</v>
      </c>
      <c r="D20" s="682">
        <v>541020</v>
      </c>
    </row>
    <row r="21" spans="1:4" ht="18.75" customHeight="1">
      <c r="A21" s="114">
        <v>14</v>
      </c>
      <c r="B21" s="90" t="s">
        <v>377</v>
      </c>
      <c r="C21" s="149" t="s">
        <v>952</v>
      </c>
      <c r="D21" s="682">
        <v>457200</v>
      </c>
    </row>
    <row r="22" spans="1:4" ht="18.75" customHeight="1">
      <c r="A22" s="114">
        <v>15</v>
      </c>
      <c r="B22" s="90" t="s">
        <v>377</v>
      </c>
      <c r="C22" s="149" t="s">
        <v>1016</v>
      </c>
      <c r="D22" s="682">
        <v>600000</v>
      </c>
    </row>
    <row r="23" spans="1:4" ht="18.75" customHeight="1">
      <c r="A23" s="114">
        <v>16</v>
      </c>
      <c r="B23" s="90" t="s">
        <v>377</v>
      </c>
      <c r="C23" s="149" t="s">
        <v>953</v>
      </c>
      <c r="D23" s="682">
        <v>600000</v>
      </c>
    </row>
    <row r="24" spans="1:4" ht="18.75" customHeight="1">
      <c r="A24" s="114">
        <v>17</v>
      </c>
      <c r="B24" s="90" t="s">
        <v>377</v>
      </c>
      <c r="C24" s="149" t="s">
        <v>954</v>
      </c>
      <c r="D24" s="682">
        <v>500000</v>
      </c>
    </row>
    <row r="25" spans="1:4" ht="18.75" customHeight="1">
      <c r="A25" s="114">
        <v>18</v>
      </c>
      <c r="B25" s="90" t="s">
        <v>377</v>
      </c>
      <c r="C25" s="149" t="s">
        <v>955</v>
      </c>
      <c r="D25" s="682">
        <v>650000</v>
      </c>
    </row>
    <row r="26" spans="1:4" ht="18.75" customHeight="1">
      <c r="A26" s="114">
        <v>19</v>
      </c>
      <c r="B26" s="90" t="s">
        <v>377</v>
      </c>
      <c r="C26" s="149" t="s">
        <v>1018</v>
      </c>
      <c r="D26" s="682">
        <v>190500</v>
      </c>
    </row>
    <row r="27" spans="1:4" ht="18.75" customHeight="1">
      <c r="A27" s="114">
        <v>20</v>
      </c>
      <c r="B27" s="90" t="s">
        <v>377</v>
      </c>
      <c r="C27" s="149" t="s">
        <v>1017</v>
      </c>
      <c r="D27" s="682">
        <v>730250</v>
      </c>
    </row>
    <row r="28" spans="1:4" ht="18.75" customHeight="1">
      <c r="A28" s="114">
        <v>21</v>
      </c>
      <c r="B28" s="90" t="s">
        <v>377</v>
      </c>
      <c r="C28" s="149" t="s">
        <v>1019</v>
      </c>
      <c r="D28" s="682">
        <v>74930</v>
      </c>
    </row>
    <row r="29" spans="1:4" ht="18.75" customHeight="1">
      <c r="A29" s="114">
        <v>22</v>
      </c>
      <c r="B29" s="90" t="s">
        <v>377</v>
      </c>
      <c r="C29" s="149" t="s">
        <v>1046</v>
      </c>
      <c r="D29" s="682">
        <v>1000000</v>
      </c>
    </row>
    <row r="30" spans="1:4" ht="31.5" customHeight="1">
      <c r="A30" s="114">
        <v>23</v>
      </c>
      <c r="B30" s="90" t="s">
        <v>377</v>
      </c>
      <c r="C30" s="149" t="s">
        <v>1020</v>
      </c>
      <c r="D30" s="682">
        <v>2460790</v>
      </c>
    </row>
    <row r="31" spans="1:4" ht="18.75" customHeight="1">
      <c r="A31" s="114">
        <v>24</v>
      </c>
      <c r="B31" s="90" t="s">
        <v>377</v>
      </c>
      <c r="C31" s="149" t="s">
        <v>1021</v>
      </c>
      <c r="D31" s="682">
        <v>973100</v>
      </c>
    </row>
    <row r="32" spans="1:4" s="36" customFormat="1" ht="15">
      <c r="A32" s="114">
        <v>25</v>
      </c>
      <c r="B32" s="90"/>
      <c r="C32" s="15" t="s">
        <v>393</v>
      </c>
      <c r="D32" s="309">
        <f>SUM(D10:D31)</f>
        <v>775862375</v>
      </c>
    </row>
    <row r="33" spans="1:4" s="36" customFormat="1" ht="15">
      <c r="A33" s="114">
        <v>26</v>
      </c>
      <c r="B33" s="1238" t="s">
        <v>374</v>
      </c>
      <c r="C33" s="1239"/>
      <c r="D33" s="1240"/>
    </row>
    <row r="34" spans="1:4" ht="18.75" customHeight="1">
      <c r="A34" s="114">
        <v>27</v>
      </c>
      <c r="B34" s="90" t="s">
        <v>377</v>
      </c>
      <c r="C34" s="149" t="s">
        <v>1019</v>
      </c>
      <c r="D34" s="682">
        <v>1101090</v>
      </c>
    </row>
    <row r="35" spans="1:4" ht="18.75" customHeight="1">
      <c r="A35" s="114">
        <v>28</v>
      </c>
      <c r="B35" s="90" t="s">
        <v>377</v>
      </c>
      <c r="C35" s="149" t="s">
        <v>1022</v>
      </c>
      <c r="D35" s="682">
        <v>706500</v>
      </c>
    </row>
    <row r="36" spans="1:4" ht="18.75" customHeight="1">
      <c r="A36" s="114">
        <v>29</v>
      </c>
      <c r="B36" s="90" t="s">
        <v>377</v>
      </c>
      <c r="C36" s="149" t="s">
        <v>956</v>
      </c>
      <c r="D36" s="682">
        <v>127000</v>
      </c>
    </row>
    <row r="37" spans="1:4" s="36" customFormat="1" ht="15">
      <c r="A37" s="114">
        <v>30</v>
      </c>
      <c r="B37" s="148"/>
      <c r="C37" s="15" t="s">
        <v>502</v>
      </c>
      <c r="D37" s="309">
        <f>SUM(D34:D36)</f>
        <v>1934590</v>
      </c>
    </row>
    <row r="38" spans="1:4" s="36" customFormat="1" ht="15">
      <c r="A38" s="114">
        <v>31</v>
      </c>
      <c r="B38" s="1238" t="s">
        <v>815</v>
      </c>
      <c r="C38" s="1239"/>
      <c r="D38" s="1240"/>
    </row>
    <row r="39" spans="1:4" ht="15" customHeight="1">
      <c r="A39" s="114">
        <v>32</v>
      </c>
      <c r="B39" s="90" t="s">
        <v>377</v>
      </c>
      <c r="C39" s="149" t="s">
        <v>1023</v>
      </c>
      <c r="D39" s="682">
        <v>127000</v>
      </c>
    </row>
    <row r="40" spans="1:4" s="36" customFormat="1" ht="15">
      <c r="A40" s="114">
        <v>33</v>
      </c>
      <c r="B40" s="148"/>
      <c r="C40" s="15" t="s">
        <v>816</v>
      </c>
      <c r="D40" s="309">
        <f>SUM(D39:D39)</f>
        <v>127000</v>
      </c>
    </row>
    <row r="41" spans="1:4" s="36" customFormat="1" ht="15">
      <c r="A41" s="114">
        <v>34</v>
      </c>
      <c r="B41" s="1238" t="s">
        <v>758</v>
      </c>
      <c r="C41" s="1239"/>
      <c r="D41" s="1240"/>
    </row>
    <row r="42" spans="1:4" ht="28.5" customHeight="1">
      <c r="A42" s="114">
        <v>35</v>
      </c>
      <c r="B42" s="90" t="s">
        <v>377</v>
      </c>
      <c r="C42" s="149" t="s">
        <v>1026</v>
      </c>
      <c r="D42" s="682">
        <v>309245</v>
      </c>
    </row>
    <row r="43" spans="1:4" ht="15" customHeight="1">
      <c r="A43" s="114">
        <v>36</v>
      </c>
      <c r="B43" s="90" t="s">
        <v>377</v>
      </c>
      <c r="C43" s="149" t="s">
        <v>1027</v>
      </c>
      <c r="D43" s="682">
        <v>95250</v>
      </c>
    </row>
    <row r="44" spans="1:4" ht="28.5" customHeight="1">
      <c r="A44" s="114">
        <v>37</v>
      </c>
      <c r="B44" s="90" t="s">
        <v>377</v>
      </c>
      <c r="C44" s="149" t="s">
        <v>1028</v>
      </c>
      <c r="D44" s="682">
        <v>304800</v>
      </c>
    </row>
    <row r="45" spans="1:4" ht="27.75" customHeight="1">
      <c r="A45" s="114">
        <v>38</v>
      </c>
      <c r="B45" s="90" t="s">
        <v>377</v>
      </c>
      <c r="C45" s="149" t="s">
        <v>1030</v>
      </c>
      <c r="D45" s="682">
        <v>401320</v>
      </c>
    </row>
    <row r="46" spans="1:4" ht="15" customHeight="1">
      <c r="A46" s="114">
        <v>39</v>
      </c>
      <c r="B46" s="90" t="s">
        <v>377</v>
      </c>
      <c r="C46" s="149" t="s">
        <v>1029</v>
      </c>
      <c r="D46" s="682">
        <v>63500</v>
      </c>
    </row>
    <row r="47" spans="1:4" s="36" customFormat="1" ht="15">
      <c r="A47" s="114">
        <v>40</v>
      </c>
      <c r="B47" s="148"/>
      <c r="C47" s="15" t="s">
        <v>904</v>
      </c>
      <c r="D47" s="309">
        <f>SUM(D42:D46)</f>
        <v>1174115</v>
      </c>
    </row>
    <row r="48" spans="1:4" s="4" customFormat="1" ht="15" thickBot="1">
      <c r="A48" s="115">
        <v>41</v>
      </c>
      <c r="B48" s="16" t="s">
        <v>366</v>
      </c>
      <c r="C48" s="16"/>
      <c r="D48" s="310">
        <f>SUM(D47+D40+D37+D32)</f>
        <v>779098080</v>
      </c>
    </row>
    <row r="49" spans="1:4" ht="15">
      <c r="A49" s="574">
        <v>42</v>
      </c>
      <c r="B49" s="1235" t="s">
        <v>375</v>
      </c>
      <c r="C49" s="1235"/>
      <c r="D49" s="1236"/>
    </row>
    <row r="50" spans="1:4" s="13" customFormat="1" ht="15">
      <c r="A50" s="114">
        <v>43</v>
      </c>
      <c r="B50" s="127" t="s">
        <v>450</v>
      </c>
      <c r="C50" s="14"/>
      <c r="D50" s="8"/>
    </row>
    <row r="51" spans="1:4" ht="18.75" customHeight="1">
      <c r="A51" s="114">
        <v>44</v>
      </c>
      <c r="B51" s="90" t="s">
        <v>377</v>
      </c>
      <c r="C51" s="149" t="s">
        <v>610</v>
      </c>
      <c r="D51" s="682">
        <v>500000</v>
      </c>
    </row>
    <row r="52" spans="1:4" ht="18.75" customHeight="1">
      <c r="A52" s="114">
        <v>45</v>
      </c>
      <c r="B52" s="90" t="s">
        <v>377</v>
      </c>
      <c r="C52" s="149" t="s">
        <v>1031</v>
      </c>
      <c r="D52" s="682">
        <v>8294813</v>
      </c>
    </row>
    <row r="53" spans="1:4" ht="30">
      <c r="A53" s="114">
        <v>46</v>
      </c>
      <c r="B53" s="90" t="s">
        <v>377</v>
      </c>
      <c r="C53" s="149" t="s">
        <v>866</v>
      </c>
      <c r="D53" s="682">
        <v>21830061</v>
      </c>
    </row>
    <row r="54" spans="1:4" ht="18.75" customHeight="1">
      <c r="A54" s="114">
        <v>47</v>
      </c>
      <c r="B54" s="90" t="s">
        <v>377</v>
      </c>
      <c r="C54" s="149" t="s">
        <v>949</v>
      </c>
      <c r="D54" s="682">
        <v>2794000</v>
      </c>
    </row>
    <row r="55" spans="1:4" ht="18.75" customHeight="1">
      <c r="A55" s="114">
        <v>48</v>
      </c>
      <c r="B55" s="90" t="s">
        <v>377</v>
      </c>
      <c r="C55" s="149" t="s">
        <v>950</v>
      </c>
      <c r="D55" s="682">
        <v>2000000</v>
      </c>
    </row>
    <row r="56" spans="1:4" ht="18.75" customHeight="1">
      <c r="A56" s="114">
        <v>49</v>
      </c>
      <c r="B56" s="90" t="s">
        <v>377</v>
      </c>
      <c r="C56" s="149" t="s">
        <v>1032</v>
      </c>
      <c r="D56" s="682">
        <f>91442680+863600</f>
        <v>92306280</v>
      </c>
    </row>
    <row r="57" spans="1:4" ht="25.5" customHeight="1">
      <c r="A57" s="114">
        <v>50</v>
      </c>
      <c r="B57" s="90" t="s">
        <v>377</v>
      </c>
      <c r="C57" s="149" t="s">
        <v>871</v>
      </c>
      <c r="D57" s="682">
        <v>523290</v>
      </c>
    </row>
    <row r="58" spans="1:4" ht="30">
      <c r="A58" s="114">
        <v>51</v>
      </c>
      <c r="B58" s="90" t="s">
        <v>377</v>
      </c>
      <c r="C58" s="149" t="s">
        <v>948</v>
      </c>
      <c r="D58" s="682">
        <v>6759599</v>
      </c>
    </row>
    <row r="59" spans="1:4" ht="18.75" customHeight="1">
      <c r="A59" s="114">
        <v>52</v>
      </c>
      <c r="B59" s="90" t="s">
        <v>377</v>
      </c>
      <c r="C59" s="149" t="s">
        <v>1025</v>
      </c>
      <c r="D59" s="682">
        <v>31599998</v>
      </c>
    </row>
    <row r="60" spans="1:4" s="13" customFormat="1" ht="15">
      <c r="A60" s="114">
        <v>53</v>
      </c>
      <c r="B60" s="112"/>
      <c r="C60" s="5" t="s">
        <v>393</v>
      </c>
      <c r="D60" s="311">
        <f>SUM(D49:D59)</f>
        <v>166608041</v>
      </c>
    </row>
    <row r="61" spans="1:4" s="36" customFormat="1" ht="15">
      <c r="A61" s="114">
        <v>54</v>
      </c>
      <c r="B61" s="1238" t="s">
        <v>758</v>
      </c>
      <c r="C61" s="1239"/>
      <c r="D61" s="1240"/>
    </row>
    <row r="62" spans="1:4" ht="18.75" customHeight="1">
      <c r="A62" s="114">
        <v>55</v>
      </c>
      <c r="B62" s="90" t="s">
        <v>377</v>
      </c>
      <c r="C62" s="149" t="s">
        <v>1024</v>
      </c>
      <c r="D62" s="682">
        <v>508000</v>
      </c>
    </row>
    <row r="63" spans="1:4" s="36" customFormat="1" ht="15">
      <c r="A63" s="114">
        <v>56</v>
      </c>
      <c r="B63" s="148"/>
      <c r="C63" s="15" t="s">
        <v>904</v>
      </c>
      <c r="D63" s="309">
        <f>SUM(D62)</f>
        <v>508000</v>
      </c>
    </row>
    <row r="64" spans="1:4" s="36" customFormat="1" ht="15">
      <c r="A64" s="114">
        <v>57</v>
      </c>
      <c r="B64" s="1238" t="s">
        <v>815</v>
      </c>
      <c r="C64" s="1239"/>
      <c r="D64" s="1240"/>
    </row>
    <row r="65" spans="1:4" ht="18.75" customHeight="1">
      <c r="A65" s="114">
        <v>58</v>
      </c>
      <c r="B65" s="90" t="s">
        <v>377</v>
      </c>
      <c r="C65" s="149" t="s">
        <v>1044</v>
      </c>
      <c r="D65" s="682">
        <v>578000</v>
      </c>
    </row>
    <row r="66" spans="1:4" s="36" customFormat="1" ht="15">
      <c r="A66" s="114">
        <v>59</v>
      </c>
      <c r="B66" s="148"/>
      <c r="C66" s="15" t="s">
        <v>1043</v>
      </c>
      <c r="D66" s="309">
        <f>SUM(D65)</f>
        <v>578000</v>
      </c>
    </row>
    <row r="67" spans="1:4" ht="15.75" thickBot="1">
      <c r="A67" s="115">
        <v>60</v>
      </c>
      <c r="B67" s="111" t="s">
        <v>366</v>
      </c>
      <c r="C67" s="16"/>
      <c r="D67" s="312">
        <f>SUM(D60+D66+D63)</f>
        <v>167694041</v>
      </c>
    </row>
    <row r="68" spans="1:4" ht="15">
      <c r="A68" s="114">
        <v>61</v>
      </c>
      <c r="B68" s="1235" t="s">
        <v>109</v>
      </c>
      <c r="C68" s="1235"/>
      <c r="D68" s="1236"/>
    </row>
    <row r="69" spans="1:4" s="13" customFormat="1" ht="15">
      <c r="A69" s="114">
        <v>62</v>
      </c>
      <c r="B69" s="17" t="s">
        <v>450</v>
      </c>
      <c r="C69" s="14"/>
      <c r="D69" s="9"/>
    </row>
    <row r="70" spans="1:4" s="36" customFormat="1" ht="20.25" customHeight="1">
      <c r="A70" s="114">
        <v>63</v>
      </c>
      <c r="B70" s="90" t="s">
        <v>377</v>
      </c>
      <c r="C70" s="149" t="s">
        <v>431</v>
      </c>
      <c r="D70" s="683">
        <v>449520</v>
      </c>
    </row>
    <row r="71" spans="1:4" ht="18.75" customHeight="1">
      <c r="A71" s="114">
        <v>64</v>
      </c>
      <c r="B71" s="90" t="s">
        <v>377</v>
      </c>
      <c r="C71" s="149" t="s">
        <v>865</v>
      </c>
      <c r="D71" s="682">
        <v>5000000</v>
      </c>
    </row>
    <row r="72" spans="1:4" s="4" customFormat="1" ht="15" thickBot="1">
      <c r="A72" s="115">
        <v>65</v>
      </c>
      <c r="B72" s="18" t="s">
        <v>366</v>
      </c>
      <c r="C72" s="16"/>
      <c r="D72" s="313">
        <f>SUM(D70:D71)</f>
        <v>5449520</v>
      </c>
    </row>
    <row r="73" spans="1:4" ht="15" hidden="1">
      <c r="A73" s="574">
        <v>45</v>
      </c>
      <c r="B73" s="1235" t="s">
        <v>432</v>
      </c>
      <c r="C73" s="1235"/>
      <c r="D73" s="1236"/>
    </row>
    <row r="74" spans="1:4" s="13" customFormat="1" ht="15" hidden="1">
      <c r="A74" s="114">
        <v>46</v>
      </c>
      <c r="B74" s="90"/>
      <c r="C74" s="20"/>
      <c r="D74" s="19"/>
    </row>
    <row r="75" spans="1:4" s="4" customFormat="1" ht="15" hidden="1" thickBot="1">
      <c r="A75" s="114">
        <v>47</v>
      </c>
      <c r="B75" s="18" t="s">
        <v>366</v>
      </c>
      <c r="C75" s="16"/>
      <c r="D75" s="10">
        <f>SUM(D74:D74)</f>
        <v>0</v>
      </c>
    </row>
    <row r="76" spans="1:4" ht="15" hidden="1">
      <c r="A76" s="114">
        <v>64</v>
      </c>
      <c r="B76" s="1235" t="s">
        <v>433</v>
      </c>
      <c r="C76" s="1235"/>
      <c r="D76" s="1236"/>
    </row>
    <row r="77" spans="1:4" ht="15" hidden="1">
      <c r="A77" s="114">
        <v>65</v>
      </c>
      <c r="B77" s="17"/>
      <c r="C77" s="106"/>
      <c r="D77" s="105"/>
    </row>
    <row r="78" spans="1:4" s="4" customFormat="1" ht="15" hidden="1" thickBot="1">
      <c r="A78" s="115">
        <v>66</v>
      </c>
      <c r="B78" s="18" t="s">
        <v>366</v>
      </c>
      <c r="C78" s="16"/>
      <c r="D78" s="313">
        <v>0</v>
      </c>
    </row>
    <row r="79" spans="1:4" ht="21" customHeight="1" thickBot="1">
      <c r="A79" s="115">
        <v>66</v>
      </c>
      <c r="B79" s="113" t="s">
        <v>367</v>
      </c>
      <c r="C79" s="18"/>
      <c r="D79" s="313">
        <f>SUM(D78+D72+D67+D48)</f>
        <v>952241641</v>
      </c>
    </row>
    <row r="81" ht="21" customHeight="1"/>
    <row r="83" spans="2:4" ht="15">
      <c r="B83" s="1237"/>
      <c r="C83" s="1237"/>
      <c r="D83" s="1237"/>
    </row>
    <row r="85" ht="15">
      <c r="H85" s="89"/>
    </row>
  </sheetData>
  <sheetProtection/>
  <mergeCells count="15">
    <mergeCell ref="B64:D64"/>
    <mergeCell ref="B7:C7"/>
    <mergeCell ref="B33:D33"/>
    <mergeCell ref="B38:D38"/>
    <mergeCell ref="B61:D61"/>
    <mergeCell ref="A6:A7"/>
    <mergeCell ref="B73:D73"/>
    <mergeCell ref="B76:D76"/>
    <mergeCell ref="B83:D83"/>
    <mergeCell ref="B41:D41"/>
    <mergeCell ref="C1:D1"/>
    <mergeCell ref="B68:D68"/>
    <mergeCell ref="B3:D3"/>
    <mergeCell ref="B6:C6"/>
    <mergeCell ref="B49:D4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2020-02-28T09:49:01Z</cp:lastPrinted>
  <dcterms:created xsi:type="dcterms:W3CDTF">2001-11-30T10:27:10Z</dcterms:created>
  <dcterms:modified xsi:type="dcterms:W3CDTF">2020-03-02T09:47:18Z</dcterms:modified>
  <cp:category/>
  <cp:version/>
  <cp:contentType/>
  <cp:contentStatus/>
</cp:coreProperties>
</file>