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Marika\2020. III. névi módosítás\"/>
    </mc:Choice>
  </mc:AlternateContent>
  <xr:revisionPtr revIDLastSave="0" documentId="13_ncr:1_{74FED10D-9D85-4A4F-91B2-7134B27953C4}" xr6:coauthVersionLast="45" xr6:coauthVersionMax="45" xr10:uidLastSave="{00000000-0000-0000-0000-000000000000}"/>
  <bookViews>
    <workbookView xWindow="-120" yWindow="-120" windowWidth="19440" windowHeight="15000" tabRatio="608" activeTab="11" xr2:uid="{00000000-000D-0000-FFFF-FFFF00000000}"/>
  </bookViews>
  <sheets>
    <sheet name="1" sheetId="135" r:id="rId1"/>
    <sheet name="2" sheetId="157" r:id="rId2"/>
    <sheet name="3" sheetId="191" r:id="rId3"/>
    <sheet name="4" sheetId="107" r:id="rId4"/>
    <sheet name="5" sheetId="62" r:id="rId5"/>
    <sheet name="5.a" sheetId="179" r:id="rId6"/>
    <sheet name="6" sheetId="63" r:id="rId7"/>
    <sheet name="6.a" sheetId="180" r:id="rId8"/>
    <sheet name="7" sheetId="138" r:id="rId9"/>
    <sheet name="8" sheetId="139" r:id="rId10"/>
    <sheet name="9" sheetId="190" r:id="rId11"/>
    <sheet name="táj.1" sheetId="186" r:id="rId12"/>
    <sheet name="táj.2" sheetId="187" r:id="rId13"/>
    <sheet name="táj.3" sheetId="188" r:id="rId14"/>
    <sheet name="táj.4" sheetId="189" r:id="rId15"/>
  </sheets>
  <definedNames>
    <definedName name="_xlnm.Print_Titles" localSheetId="2">'3'!$1:$2</definedName>
    <definedName name="_xlnm.Print_Titles" localSheetId="5">'5.a'!$1:$2</definedName>
    <definedName name="_xlnm.Print_Titles" localSheetId="7">'6.a'!$1:$2</definedName>
    <definedName name="_xlnm.Print_Titles" localSheetId="11">táj.1!$1:$2</definedName>
    <definedName name="_xlnm.Print_Titles" localSheetId="12">táj.2!$1:$2</definedName>
    <definedName name="_xlnm.Print_Area" localSheetId="2">'3'!$A$1:$L$87</definedName>
    <definedName name="_xlnm.Print_Area" localSheetId="5">'5.a'!$A$1:$O$190</definedName>
    <definedName name="_xlnm.Print_Area" localSheetId="7">'6.a'!$A$1:$R$839</definedName>
    <definedName name="_xlnm.Print_Area" localSheetId="11">táj.1!$A$1:$O$190</definedName>
    <definedName name="_xlnm.Print_Area" localSheetId="12">táj.2!$A$1:$R$839</definedName>
  </definedNames>
  <calcPr calcId="181029"/>
</workbook>
</file>

<file path=xl/calcChain.xml><?xml version="1.0" encoding="utf-8"?>
<calcChain xmlns="http://schemas.openxmlformats.org/spreadsheetml/2006/main">
  <c r="F103" i="179" l="1"/>
  <c r="F104" i="179" s="1"/>
  <c r="G103" i="179"/>
  <c r="G104" i="179" s="1"/>
  <c r="H103" i="179"/>
  <c r="I103" i="179"/>
  <c r="I104" i="179" s="1"/>
  <c r="J103" i="179"/>
  <c r="J104" i="179" s="1"/>
  <c r="K103" i="179"/>
  <c r="K104" i="179" s="1"/>
  <c r="L103" i="179"/>
  <c r="M103" i="179"/>
  <c r="M104" i="179" s="1"/>
  <c r="N103" i="179"/>
  <c r="N104" i="179" s="1"/>
  <c r="E103" i="179"/>
  <c r="O103" i="179" s="1"/>
  <c r="O104" i="179" s="1"/>
  <c r="O103" i="186"/>
  <c r="O104" i="186" s="1"/>
  <c r="H104" i="179"/>
  <c r="L104" i="179"/>
  <c r="E104" i="179"/>
  <c r="F104" i="186"/>
  <c r="G104" i="186"/>
  <c r="H104" i="186"/>
  <c r="I104" i="186"/>
  <c r="J104" i="186"/>
  <c r="K104" i="186"/>
  <c r="L104" i="186"/>
  <c r="M104" i="186"/>
  <c r="N104" i="186"/>
  <c r="E104" i="186"/>
  <c r="Q668" i="180"/>
  <c r="H668" i="180"/>
  <c r="I668" i="180"/>
  <c r="J668" i="180"/>
  <c r="K668" i="180"/>
  <c r="L668" i="180"/>
  <c r="M668" i="180"/>
  <c r="N668" i="180"/>
  <c r="O668" i="180"/>
  <c r="P668" i="180"/>
  <c r="G668" i="180"/>
  <c r="Q668" i="187"/>
  <c r="D31" i="157" l="1"/>
  <c r="F87" i="191" l="1"/>
  <c r="E14" i="191"/>
  <c r="H512" i="180"/>
  <c r="I512" i="180"/>
  <c r="J512" i="180"/>
  <c r="K512" i="180"/>
  <c r="L512" i="180"/>
  <c r="M512" i="180"/>
  <c r="N512" i="180"/>
  <c r="O512" i="180"/>
  <c r="P512" i="180"/>
  <c r="G512" i="180"/>
  <c r="Q512" i="187"/>
  <c r="Q512" i="180" l="1"/>
  <c r="H574" i="180"/>
  <c r="I574" i="180"/>
  <c r="J574" i="180"/>
  <c r="K574" i="180"/>
  <c r="L574" i="180"/>
  <c r="M574" i="180"/>
  <c r="N574" i="180"/>
  <c r="O574" i="180"/>
  <c r="P574" i="180"/>
  <c r="G574" i="180"/>
  <c r="Q574" i="187"/>
  <c r="H562" i="180"/>
  <c r="I562" i="180"/>
  <c r="J562" i="180"/>
  <c r="K562" i="180"/>
  <c r="L562" i="180"/>
  <c r="M562" i="180"/>
  <c r="N562" i="180"/>
  <c r="O562" i="180"/>
  <c r="P562" i="180"/>
  <c r="G562" i="180"/>
  <c r="Q562" i="187"/>
  <c r="F38" i="179"/>
  <c r="G38" i="179"/>
  <c r="H38" i="179"/>
  <c r="I38" i="179"/>
  <c r="J38" i="179"/>
  <c r="K38" i="179"/>
  <c r="L38" i="179"/>
  <c r="M38" i="179"/>
  <c r="N38" i="179"/>
  <c r="E38" i="179"/>
  <c r="O38" i="186"/>
  <c r="H801" i="180"/>
  <c r="I801" i="180"/>
  <c r="J801" i="180"/>
  <c r="K801" i="180"/>
  <c r="L801" i="180"/>
  <c r="M801" i="180"/>
  <c r="N801" i="180"/>
  <c r="O801" i="180"/>
  <c r="P801" i="180"/>
  <c r="G801" i="180"/>
  <c r="Q801" i="187"/>
  <c r="I306" i="180"/>
  <c r="H306" i="180"/>
  <c r="O38" i="179" l="1"/>
  <c r="Q574" i="180"/>
  <c r="Q562" i="180"/>
  <c r="Q801" i="180"/>
  <c r="O101" i="186" l="1"/>
  <c r="O102" i="186"/>
  <c r="F48" i="179"/>
  <c r="G48" i="179"/>
  <c r="H48" i="179"/>
  <c r="I48" i="179"/>
  <c r="J48" i="179"/>
  <c r="K48" i="179"/>
  <c r="L48" i="179"/>
  <c r="M48" i="179"/>
  <c r="N48" i="179"/>
  <c r="F47" i="179"/>
  <c r="G47" i="179"/>
  <c r="H47" i="179"/>
  <c r="I47" i="179"/>
  <c r="J47" i="179"/>
  <c r="K47" i="179"/>
  <c r="L47" i="179"/>
  <c r="M47" i="179"/>
  <c r="N47" i="179"/>
  <c r="F46" i="179"/>
  <c r="G46" i="179"/>
  <c r="H46" i="179"/>
  <c r="I46" i="179"/>
  <c r="J46" i="179"/>
  <c r="K46" i="179"/>
  <c r="L46" i="179"/>
  <c r="M46" i="179"/>
  <c r="N46" i="179"/>
  <c r="F44" i="179"/>
  <c r="G44" i="179"/>
  <c r="H44" i="179"/>
  <c r="I44" i="179"/>
  <c r="J44" i="179"/>
  <c r="K44" i="179"/>
  <c r="L44" i="179"/>
  <c r="M44" i="179"/>
  <c r="N44" i="179"/>
  <c r="F43" i="179"/>
  <c r="G43" i="179"/>
  <c r="H43" i="179"/>
  <c r="I43" i="179"/>
  <c r="J43" i="179"/>
  <c r="K43" i="179"/>
  <c r="L43" i="179"/>
  <c r="M43" i="179"/>
  <c r="N43" i="179"/>
  <c r="F42" i="179"/>
  <c r="G42" i="179"/>
  <c r="H42" i="179"/>
  <c r="I42" i="179"/>
  <c r="J42" i="179"/>
  <c r="K42" i="179"/>
  <c r="L42" i="179"/>
  <c r="M42" i="179"/>
  <c r="E42" i="179"/>
  <c r="E43" i="179"/>
  <c r="E44" i="179"/>
  <c r="E46" i="179"/>
  <c r="E47" i="179"/>
  <c r="E48" i="179"/>
  <c r="F37" i="179"/>
  <c r="G37" i="179"/>
  <c r="H37" i="179"/>
  <c r="I37" i="179"/>
  <c r="J37" i="179"/>
  <c r="K37" i="179"/>
  <c r="L37" i="179"/>
  <c r="M37" i="179"/>
  <c r="N37" i="179"/>
  <c r="E37" i="179"/>
  <c r="O37" i="186"/>
  <c r="L87" i="191"/>
  <c r="K87" i="191"/>
  <c r="J14" i="191"/>
  <c r="J21" i="191" s="1"/>
  <c r="O37" i="179" l="1"/>
  <c r="Q738" i="187"/>
  <c r="H738" i="180"/>
  <c r="I738" i="180"/>
  <c r="J738" i="180"/>
  <c r="K738" i="180"/>
  <c r="L738" i="180"/>
  <c r="M738" i="180"/>
  <c r="N738" i="180"/>
  <c r="O738" i="180"/>
  <c r="P738" i="180"/>
  <c r="G738" i="180"/>
  <c r="Q667" i="187"/>
  <c r="H667" i="180"/>
  <c r="I667" i="180"/>
  <c r="J667" i="180"/>
  <c r="K667" i="180"/>
  <c r="L667" i="180"/>
  <c r="M667" i="180"/>
  <c r="N667" i="180"/>
  <c r="O667" i="180"/>
  <c r="P667" i="180"/>
  <c r="G667" i="180"/>
  <c r="H573" i="180"/>
  <c r="I573" i="180"/>
  <c r="J573" i="180"/>
  <c r="K573" i="180"/>
  <c r="L573" i="180"/>
  <c r="M573" i="180"/>
  <c r="N573" i="180"/>
  <c r="O573" i="180"/>
  <c r="P573" i="180"/>
  <c r="G573" i="180"/>
  <c r="Q573" i="187"/>
  <c r="Q325" i="187"/>
  <c r="H325" i="180"/>
  <c r="I325" i="180"/>
  <c r="J325" i="180"/>
  <c r="K325" i="180"/>
  <c r="L325" i="180"/>
  <c r="M325" i="180"/>
  <c r="N325" i="180"/>
  <c r="O325" i="180"/>
  <c r="P325" i="180"/>
  <c r="G325" i="180"/>
  <c r="Q324" i="180"/>
  <c r="Q211" i="187"/>
  <c r="H211" i="180"/>
  <c r="I211" i="180"/>
  <c r="J211" i="180"/>
  <c r="K211" i="180"/>
  <c r="L211" i="180"/>
  <c r="M211" i="180"/>
  <c r="N211" i="180"/>
  <c r="O211" i="180"/>
  <c r="P211" i="180"/>
  <c r="G211" i="180"/>
  <c r="H202" i="180"/>
  <c r="I202" i="180"/>
  <c r="J202" i="180"/>
  <c r="K202" i="180"/>
  <c r="L202" i="180"/>
  <c r="M202" i="180"/>
  <c r="N202" i="180"/>
  <c r="O202" i="180"/>
  <c r="P202" i="180"/>
  <c r="G202" i="180"/>
  <c r="Q202" i="187"/>
  <c r="O182" i="186"/>
  <c r="F182" i="179"/>
  <c r="G182" i="179"/>
  <c r="H182" i="179"/>
  <c r="I182" i="179"/>
  <c r="J182" i="179"/>
  <c r="K182" i="179"/>
  <c r="L182" i="179"/>
  <c r="M182" i="179"/>
  <c r="N182" i="179"/>
  <c r="E182" i="179"/>
  <c r="F174" i="179"/>
  <c r="G174" i="179"/>
  <c r="H174" i="179"/>
  <c r="I174" i="179"/>
  <c r="J174" i="179"/>
  <c r="K174" i="179"/>
  <c r="L174" i="179"/>
  <c r="M174" i="179"/>
  <c r="N174" i="179"/>
  <c r="E174" i="179"/>
  <c r="F175" i="186"/>
  <c r="G175" i="186"/>
  <c r="H175" i="186"/>
  <c r="I175" i="186"/>
  <c r="J175" i="186"/>
  <c r="K175" i="186"/>
  <c r="L175" i="186"/>
  <c r="M175" i="186"/>
  <c r="N175" i="186"/>
  <c r="E175" i="186"/>
  <c r="O174" i="186"/>
  <c r="F147" i="179"/>
  <c r="G147" i="179"/>
  <c r="H147" i="179"/>
  <c r="I147" i="179"/>
  <c r="J147" i="179"/>
  <c r="K147" i="179"/>
  <c r="L147" i="179"/>
  <c r="M147" i="179"/>
  <c r="N147" i="179"/>
  <c r="E147" i="179"/>
  <c r="O147" i="186"/>
  <c r="F91" i="179"/>
  <c r="G91" i="179"/>
  <c r="H91" i="179"/>
  <c r="I91" i="179"/>
  <c r="J91" i="179"/>
  <c r="K91" i="179"/>
  <c r="L91" i="179"/>
  <c r="M91" i="179"/>
  <c r="N91" i="179"/>
  <c r="E91" i="179"/>
  <c r="O91" i="186"/>
  <c r="F49" i="186"/>
  <c r="G49" i="186"/>
  <c r="H49" i="186"/>
  <c r="I49" i="186"/>
  <c r="J49" i="186"/>
  <c r="K49" i="186"/>
  <c r="L49" i="186"/>
  <c r="M49" i="186"/>
  <c r="N49" i="186"/>
  <c r="E49" i="186"/>
  <c r="O42" i="186"/>
  <c r="O43" i="186"/>
  <c r="O44" i="186"/>
  <c r="O46" i="186"/>
  <c r="O47" i="186"/>
  <c r="O48" i="186"/>
  <c r="N42" i="179"/>
  <c r="F33" i="179"/>
  <c r="G33" i="179"/>
  <c r="H33" i="179"/>
  <c r="I33" i="179"/>
  <c r="J33" i="179"/>
  <c r="K33" i="179"/>
  <c r="L33" i="179"/>
  <c r="M33" i="179"/>
  <c r="N33" i="179"/>
  <c r="E33" i="179"/>
  <c r="O33" i="186"/>
  <c r="F20" i="186"/>
  <c r="G20" i="186"/>
  <c r="H20" i="186"/>
  <c r="I20" i="186"/>
  <c r="J20" i="186"/>
  <c r="K20" i="186"/>
  <c r="L20" i="186"/>
  <c r="M20" i="186"/>
  <c r="N20" i="186"/>
  <c r="E20" i="186"/>
  <c r="F19" i="179"/>
  <c r="G19" i="179"/>
  <c r="H19" i="179"/>
  <c r="I19" i="179"/>
  <c r="J19" i="179"/>
  <c r="K19" i="179"/>
  <c r="L19" i="179"/>
  <c r="M19" i="179"/>
  <c r="N19" i="179"/>
  <c r="E19" i="179"/>
  <c r="O15" i="186"/>
  <c r="O17" i="186"/>
  <c r="O19" i="186"/>
  <c r="O182" i="179" l="1"/>
  <c r="Q738" i="180"/>
  <c r="O174" i="179"/>
  <c r="Q667" i="180"/>
  <c r="Q573" i="180"/>
  <c r="Q325" i="180"/>
  <c r="Q211" i="180"/>
  <c r="Q202" i="180"/>
  <c r="O91" i="179"/>
  <c r="O147" i="179"/>
  <c r="O48" i="179"/>
  <c r="O46" i="179"/>
  <c r="O44" i="179"/>
  <c r="O42" i="179"/>
  <c r="O43" i="179"/>
  <c r="O47" i="179"/>
  <c r="O33" i="179"/>
  <c r="O19" i="179"/>
  <c r="N12" i="62" l="1"/>
  <c r="M6" i="62"/>
  <c r="L4" i="62"/>
  <c r="L6" i="62"/>
  <c r="K4" i="62"/>
  <c r="K6" i="62"/>
  <c r="J6" i="62"/>
  <c r="I6" i="62"/>
  <c r="H6" i="62"/>
  <c r="F6" i="62"/>
  <c r="E6" i="62"/>
  <c r="D6" i="62"/>
  <c r="E5" i="157"/>
  <c r="E6" i="157"/>
  <c r="E7" i="157"/>
  <c r="E8" i="157"/>
  <c r="E9" i="157"/>
  <c r="E10" i="157"/>
  <c r="E11" i="157"/>
  <c r="E12" i="157"/>
  <c r="E13" i="157"/>
  <c r="E16" i="157"/>
  <c r="E17" i="157"/>
  <c r="E20" i="157"/>
  <c r="E22" i="157"/>
  <c r="E23" i="157"/>
  <c r="E24" i="157"/>
  <c r="E25" i="157"/>
  <c r="E27" i="157"/>
  <c r="E28" i="157"/>
  <c r="E29" i="157"/>
  <c r="E30" i="157"/>
  <c r="E32" i="157"/>
  <c r="E33" i="157"/>
  <c r="E34" i="157"/>
  <c r="E35" i="157"/>
  <c r="E38" i="157"/>
  <c r="E39" i="157"/>
  <c r="E40" i="157"/>
  <c r="E41" i="157"/>
  <c r="E42" i="157"/>
  <c r="E43" i="157"/>
  <c r="D14" i="157"/>
  <c r="D18" i="157"/>
  <c r="D26" i="157"/>
  <c r="D36" i="157"/>
  <c r="D44" i="157"/>
  <c r="C14" i="157"/>
  <c r="C18" i="157"/>
  <c r="C26" i="157"/>
  <c r="C31" i="157"/>
  <c r="C36" i="157"/>
  <c r="C44" i="157"/>
  <c r="I3" i="135"/>
  <c r="I4" i="135"/>
  <c r="I5" i="135"/>
  <c r="I6" i="135"/>
  <c r="I7" i="135"/>
  <c r="I9" i="135"/>
  <c r="I10" i="135"/>
  <c r="I13" i="135"/>
  <c r="I14" i="135"/>
  <c r="I15" i="135"/>
  <c r="I16" i="135"/>
  <c r="I17" i="135"/>
  <c r="I18" i="135"/>
  <c r="I19" i="135"/>
  <c r="I22" i="135"/>
  <c r="I23" i="135"/>
  <c r="I26" i="135"/>
  <c r="H8" i="135"/>
  <c r="H11" i="135" s="1"/>
  <c r="H20" i="135"/>
  <c r="H24" i="135" s="1"/>
  <c r="G8" i="135"/>
  <c r="G11" i="135" s="1"/>
  <c r="G20" i="135"/>
  <c r="D3" i="135"/>
  <c r="D4" i="135"/>
  <c r="D5" i="135"/>
  <c r="D6" i="135"/>
  <c r="D9" i="135"/>
  <c r="D10" i="135"/>
  <c r="D13" i="135"/>
  <c r="D14" i="135"/>
  <c r="D15" i="135"/>
  <c r="D16" i="135"/>
  <c r="D17" i="135"/>
  <c r="D20" i="135"/>
  <c r="D21" i="135"/>
  <c r="D22" i="135"/>
  <c r="D26" i="135"/>
  <c r="C7" i="135"/>
  <c r="C11" i="135" s="1"/>
  <c r="C18" i="135"/>
  <c r="C24" i="135" s="1"/>
  <c r="B7" i="135"/>
  <c r="B11" i="135" s="1"/>
  <c r="B18" i="135"/>
  <c r="B24" i="135" s="1"/>
  <c r="M832" i="180"/>
  <c r="K829" i="180"/>
  <c r="K827" i="180"/>
  <c r="K826" i="180"/>
  <c r="K825" i="180"/>
  <c r="I814" i="180"/>
  <c r="K800" i="180"/>
  <c r="I794" i="180"/>
  <c r="K793" i="180"/>
  <c r="I791" i="180"/>
  <c r="H791" i="180"/>
  <c r="G791" i="180"/>
  <c r="K785" i="180"/>
  <c r="I785" i="180"/>
  <c r="H785" i="180"/>
  <c r="N784" i="180"/>
  <c r="N785" i="180"/>
  <c r="K784" i="180"/>
  <c r="H778" i="180"/>
  <c r="G778" i="180"/>
  <c r="K776" i="180"/>
  <c r="K775" i="180"/>
  <c r="I774" i="180"/>
  <c r="I768" i="180"/>
  <c r="I752" i="180"/>
  <c r="K758" i="180"/>
  <c r="K754" i="180"/>
  <c r="P752" i="180"/>
  <c r="K747" i="180"/>
  <c r="N737" i="180"/>
  <c r="I735" i="180"/>
  <c r="P732" i="180"/>
  <c r="I711" i="180"/>
  <c r="I706" i="180"/>
  <c r="I701" i="180"/>
  <c r="L695" i="180"/>
  <c r="M680" i="180"/>
  <c r="I680" i="180"/>
  <c r="K676" i="180"/>
  <c r="K323" i="180"/>
  <c r="I521" i="180"/>
  <c r="L674" i="180"/>
  <c r="L671" i="180"/>
  <c r="M618" i="180"/>
  <c r="I618" i="180"/>
  <c r="M617" i="180"/>
  <c r="M615" i="180"/>
  <c r="M613" i="180"/>
  <c r="L593" i="180"/>
  <c r="I593" i="180"/>
  <c r="M582" i="180"/>
  <c r="M581" i="180"/>
  <c r="N572" i="180"/>
  <c r="M571" i="180"/>
  <c r="L570" i="180"/>
  <c r="I569" i="180"/>
  <c r="L569" i="180"/>
  <c r="M568" i="180"/>
  <c r="N567" i="180"/>
  <c r="L566" i="180"/>
  <c r="I20" i="135" l="1"/>
  <c r="E26" i="157"/>
  <c r="E18" i="157"/>
  <c r="E36" i="157"/>
  <c r="E31" i="157"/>
  <c r="D37" i="157"/>
  <c r="D45" i="157" s="1"/>
  <c r="D24" i="135"/>
  <c r="C25" i="135"/>
  <c r="C27" i="135" s="1"/>
  <c r="I11" i="135"/>
  <c r="E14" i="157"/>
  <c r="B25" i="135"/>
  <c r="D11" i="135"/>
  <c r="D7" i="135"/>
  <c r="D18" i="135"/>
  <c r="G24" i="135"/>
  <c r="I24" i="135" s="1"/>
  <c r="C37" i="157"/>
  <c r="E44" i="157"/>
  <c r="H25" i="135"/>
  <c r="H27" i="135" s="1"/>
  <c r="I8" i="135"/>
  <c r="K20" i="139"/>
  <c r="F20" i="139"/>
  <c r="E20" i="139"/>
  <c r="I19" i="139"/>
  <c r="G19" i="139"/>
  <c r="F19" i="139"/>
  <c r="E19" i="139"/>
  <c r="I18" i="139"/>
  <c r="G18" i="139"/>
  <c r="F18" i="139"/>
  <c r="E18" i="139"/>
  <c r="I17" i="139"/>
  <c r="G17" i="139"/>
  <c r="F17" i="139"/>
  <c r="E17" i="139"/>
  <c r="K16" i="139"/>
  <c r="J16" i="139"/>
  <c r="I16" i="139"/>
  <c r="G16" i="139"/>
  <c r="F16" i="139"/>
  <c r="E16" i="139"/>
  <c r="K15" i="139"/>
  <c r="J15" i="139"/>
  <c r="I15" i="139"/>
  <c r="G15" i="139"/>
  <c r="F15" i="139"/>
  <c r="E15" i="139"/>
  <c r="J14" i="139"/>
  <c r="I14" i="139"/>
  <c r="G14" i="139"/>
  <c r="F14" i="139"/>
  <c r="E14" i="139"/>
  <c r="I13" i="139"/>
  <c r="G13" i="139"/>
  <c r="F13" i="139"/>
  <c r="E13" i="139"/>
  <c r="I12" i="139"/>
  <c r="G12" i="139"/>
  <c r="F12" i="139"/>
  <c r="E12" i="139"/>
  <c r="K11" i="139"/>
  <c r="J11" i="139"/>
  <c r="I11" i="139"/>
  <c r="G11" i="139"/>
  <c r="F11" i="139"/>
  <c r="E11" i="139"/>
  <c r="K10" i="139"/>
  <c r="J10" i="139"/>
  <c r="I10" i="139"/>
  <c r="G10" i="139"/>
  <c r="F10" i="139"/>
  <c r="E10" i="139"/>
  <c r="G9" i="139"/>
  <c r="F9" i="139"/>
  <c r="E9" i="139"/>
  <c r="K8" i="139"/>
  <c r="I8" i="139"/>
  <c r="G8" i="139"/>
  <c r="F8" i="139"/>
  <c r="E8" i="139"/>
  <c r="I7" i="139"/>
  <c r="H7" i="139"/>
  <c r="G7" i="139"/>
  <c r="F7" i="139"/>
  <c r="E7" i="139"/>
  <c r="J6" i="139"/>
  <c r="G6" i="139"/>
  <c r="F6" i="139"/>
  <c r="E6" i="139"/>
  <c r="K5" i="139"/>
  <c r="J5" i="139"/>
  <c r="I5" i="139"/>
  <c r="G5" i="139"/>
  <c r="F5" i="139"/>
  <c r="E5" i="139"/>
  <c r="J4" i="139"/>
  <c r="I4" i="139"/>
  <c r="G4" i="139"/>
  <c r="F4" i="139"/>
  <c r="E4" i="139"/>
  <c r="J3" i="139"/>
  <c r="I3" i="139"/>
  <c r="G3" i="139"/>
  <c r="F3" i="139"/>
  <c r="E3" i="139"/>
  <c r="L20" i="138"/>
  <c r="E20" i="138"/>
  <c r="M19" i="138"/>
  <c r="L19" i="138"/>
  <c r="H19" i="138"/>
  <c r="M18" i="138"/>
  <c r="L18" i="138"/>
  <c r="H18" i="138"/>
  <c r="E18" i="138"/>
  <c r="M17" i="138"/>
  <c r="L17" i="138"/>
  <c r="H17" i="138"/>
  <c r="E17" i="138"/>
  <c r="M16" i="138"/>
  <c r="L16" i="138"/>
  <c r="J16" i="138"/>
  <c r="H16" i="138"/>
  <c r="E16" i="138"/>
  <c r="M15" i="138"/>
  <c r="L15" i="138"/>
  <c r="E15" i="138"/>
  <c r="M14" i="138"/>
  <c r="L14" i="138"/>
  <c r="H14" i="138"/>
  <c r="E14" i="138"/>
  <c r="M13" i="138"/>
  <c r="L13" i="138"/>
  <c r="J13" i="138"/>
  <c r="H13" i="138"/>
  <c r="E13" i="138"/>
  <c r="M12" i="138"/>
  <c r="L12" i="138"/>
  <c r="M11" i="138"/>
  <c r="L11" i="138"/>
  <c r="F11" i="138"/>
  <c r="E11" i="138"/>
  <c r="M10" i="138"/>
  <c r="L10" i="138"/>
  <c r="F10" i="138"/>
  <c r="E10" i="138"/>
  <c r="M9" i="138"/>
  <c r="L9" i="138"/>
  <c r="E9" i="138"/>
  <c r="M8" i="138"/>
  <c r="L8" i="138"/>
  <c r="F8" i="138"/>
  <c r="E8" i="138"/>
  <c r="M7" i="138"/>
  <c r="L7" i="138"/>
  <c r="E7" i="138"/>
  <c r="M6" i="138"/>
  <c r="L6" i="138"/>
  <c r="F6" i="138"/>
  <c r="E6" i="138"/>
  <c r="M5" i="138"/>
  <c r="L5" i="138"/>
  <c r="F5" i="138"/>
  <c r="E5" i="138"/>
  <c r="M4" i="138"/>
  <c r="L4" i="138"/>
  <c r="E4" i="138"/>
  <c r="M3" i="138"/>
  <c r="L3" i="138"/>
  <c r="I3" i="138"/>
  <c r="H3" i="138"/>
  <c r="E3" i="138"/>
  <c r="G25" i="135" l="1"/>
  <c r="B27" i="135"/>
  <c r="D27" i="135" s="1"/>
  <c r="D25" i="135"/>
  <c r="C45" i="157"/>
  <c r="E45" i="157" s="1"/>
  <c r="E37" i="157"/>
  <c r="L557" i="180"/>
  <c r="L549" i="180"/>
  <c r="L547" i="180"/>
  <c r="L545" i="180"/>
  <c r="M544" i="180"/>
  <c r="L541" i="180"/>
  <c r="L540" i="180"/>
  <c r="L539" i="180"/>
  <c r="L538" i="180"/>
  <c r="M537" i="180"/>
  <c r="L536" i="180"/>
  <c r="L535" i="180"/>
  <c r="L534" i="180"/>
  <c r="M533" i="180"/>
  <c r="L532" i="180"/>
  <c r="L531" i="180"/>
  <c r="M528" i="180"/>
  <c r="M527" i="180"/>
  <c r="L526" i="180"/>
  <c r="L525" i="180"/>
  <c r="L524" i="180"/>
  <c r="L523" i="180"/>
  <c r="L521" i="180"/>
  <c r="L520" i="180"/>
  <c r="L519" i="180"/>
  <c r="L518" i="180"/>
  <c r="L516" i="180"/>
  <c r="L515" i="180"/>
  <c r="M514" i="180"/>
  <c r="M511" i="180"/>
  <c r="L510" i="180"/>
  <c r="L509" i="180"/>
  <c r="L499" i="180"/>
  <c r="L498" i="180"/>
  <c r="K489" i="180"/>
  <c r="I491" i="180"/>
  <c r="I486" i="180"/>
  <c r="I482" i="180"/>
  <c r="L475" i="180"/>
  <c r="L474" i="180"/>
  <c r="L473" i="180"/>
  <c r="L472" i="180"/>
  <c r="I472" i="180"/>
  <c r="L470" i="180"/>
  <c r="L467" i="180"/>
  <c r="L456" i="180"/>
  <c r="L455" i="180"/>
  <c r="M454" i="180"/>
  <c r="L453" i="180"/>
  <c r="L452" i="180"/>
  <c r="L451" i="180"/>
  <c r="L450" i="180"/>
  <c r="L449" i="180"/>
  <c r="L448" i="180"/>
  <c r="M447" i="180"/>
  <c r="N446" i="180"/>
  <c r="L440" i="180"/>
  <c r="M438" i="180"/>
  <c r="M437" i="180"/>
  <c r="M436" i="180"/>
  <c r="M434" i="180"/>
  <c r="M433" i="180"/>
  <c r="M432" i="180"/>
  <c r="L431" i="180"/>
  <c r="M428" i="180"/>
  <c r="M427" i="180"/>
  <c r="M426" i="180"/>
  <c r="M424" i="180"/>
  <c r="M423" i="180"/>
  <c r="M422" i="180"/>
  <c r="M421" i="180"/>
  <c r="M420" i="180"/>
  <c r="M418" i="180"/>
  <c r="L417" i="180"/>
  <c r="M416" i="180"/>
  <c r="M415" i="180"/>
  <c r="M414" i="180"/>
  <c r="M412" i="180"/>
  <c r="M411" i="180"/>
  <c r="M409" i="180"/>
  <c r="M408" i="180"/>
  <c r="M406" i="180"/>
  <c r="L405" i="180"/>
  <c r="M404" i="180"/>
  <c r="M403" i="180"/>
  <c r="L402" i="180"/>
  <c r="L401" i="180"/>
  <c r="L400" i="180"/>
  <c r="M399" i="180"/>
  <c r="M398" i="180"/>
  <c r="M397" i="180"/>
  <c r="M396" i="180"/>
  <c r="M395" i="180"/>
  <c r="M394" i="180"/>
  <c r="M392" i="180"/>
  <c r="M390" i="180"/>
  <c r="L389" i="180"/>
  <c r="M388" i="180"/>
  <c r="L387" i="180"/>
  <c r="M386" i="180"/>
  <c r="M385" i="180"/>
  <c r="M384" i="180"/>
  <c r="L381" i="180"/>
  <c r="L380" i="180"/>
  <c r="L378" i="180"/>
  <c r="L376" i="180"/>
  <c r="L375" i="180"/>
  <c r="L374" i="180"/>
  <c r="L373" i="180"/>
  <c r="L372" i="180"/>
  <c r="L371" i="180"/>
  <c r="M369" i="180"/>
  <c r="M363" i="180"/>
  <c r="L361" i="180"/>
  <c r="L357" i="180"/>
  <c r="L356" i="180"/>
  <c r="L355" i="180"/>
  <c r="M354" i="180"/>
  <c r="I287" i="180"/>
  <c r="I285" i="180"/>
  <c r="K309" i="180"/>
  <c r="I342" i="180"/>
  <c r="I332" i="180"/>
  <c r="I318" i="180"/>
  <c r="G27" i="135" l="1"/>
  <c r="I27" i="135" s="1"/>
  <c r="I25" i="135"/>
  <c r="I311" i="180"/>
  <c r="I309" i="180"/>
  <c r="I308" i="180"/>
  <c r="I301" i="180"/>
  <c r="I300" i="180"/>
  <c r="I299" i="180"/>
  <c r="I294" i="180"/>
  <c r="I291" i="180"/>
  <c r="I279" i="180"/>
  <c r="I278" i="180"/>
  <c r="I275" i="180"/>
  <c r="I273" i="180"/>
  <c r="I272" i="180"/>
  <c r="I271" i="180"/>
  <c r="I269" i="180"/>
  <c r="I268" i="180"/>
  <c r="I267" i="180"/>
  <c r="I266" i="180"/>
  <c r="I264" i="180"/>
  <c r="I262" i="180"/>
  <c r="I261" i="180"/>
  <c r="I260" i="180"/>
  <c r="I259" i="180"/>
  <c r="I255" i="180"/>
  <c r="I254" i="180"/>
  <c r="I251" i="180"/>
  <c r="I249" i="180"/>
  <c r="I248" i="180"/>
  <c r="I245" i="180"/>
  <c r="I244" i="180"/>
  <c r="L243" i="180"/>
  <c r="I243" i="180"/>
  <c r="I240" i="180"/>
  <c r="L237" i="180"/>
  <c r="I237" i="180"/>
  <c r="N233" i="180"/>
  <c r="L179" i="180"/>
  <c r="L178" i="180"/>
  <c r="L221" i="180"/>
  <c r="N215" i="180"/>
  <c r="L213" i="180"/>
  <c r="M206" i="180"/>
  <c r="I206" i="180"/>
  <c r="L199" i="180"/>
  <c r="M194" i="180"/>
  <c r="N193" i="180"/>
  <c r="L192" i="180"/>
  <c r="N191" i="180"/>
  <c r="N189" i="180"/>
  <c r="N188" i="180"/>
  <c r="M185" i="180"/>
  <c r="L184" i="180"/>
  <c r="I184" i="180"/>
  <c r="M183" i="180"/>
  <c r="N182" i="180"/>
  <c r="L182" i="180"/>
  <c r="N181" i="180"/>
  <c r="N175" i="180"/>
  <c r="I51" i="180"/>
  <c r="H51" i="180"/>
  <c r="G51" i="180"/>
  <c r="K166" i="180"/>
  <c r="K165" i="180"/>
  <c r="K164" i="180"/>
  <c r="K163" i="180"/>
  <c r="K162" i="180"/>
  <c r="K161" i="180"/>
  <c r="L159" i="180"/>
  <c r="I159" i="180"/>
  <c r="K158" i="180"/>
  <c r="K157" i="180"/>
  <c r="K156" i="180"/>
  <c r="K154" i="180"/>
  <c r="K152" i="180"/>
  <c r="K151" i="180"/>
  <c r="K150" i="180"/>
  <c r="K149" i="180"/>
  <c r="K148" i="180"/>
  <c r="K146" i="180"/>
  <c r="K145" i="180"/>
  <c r="K144" i="180"/>
  <c r="K143" i="180"/>
  <c r="K142" i="180"/>
  <c r="K141" i="180"/>
  <c r="K140" i="180"/>
  <c r="K139" i="180"/>
  <c r="K138" i="180"/>
  <c r="H136" i="180"/>
  <c r="G136" i="180"/>
  <c r="K135" i="180"/>
  <c r="K134" i="180"/>
  <c r="K133" i="180"/>
  <c r="K132" i="180"/>
  <c r="K131" i="180"/>
  <c r="K130" i="180"/>
  <c r="K129" i="180"/>
  <c r="K128" i="180"/>
  <c r="K124" i="180"/>
  <c r="K121" i="180"/>
  <c r="K116" i="180"/>
  <c r="K114" i="180"/>
  <c r="I114" i="180"/>
  <c r="K112" i="180"/>
  <c r="I105" i="180"/>
  <c r="K99" i="180"/>
  <c r="K98" i="180"/>
  <c r="K91" i="180"/>
  <c r="K90" i="180"/>
  <c r="K89" i="180"/>
  <c r="K85" i="180"/>
  <c r="K84" i="180"/>
  <c r="K83" i="180"/>
  <c r="K82" i="180"/>
  <c r="I82" i="180"/>
  <c r="K79" i="180"/>
  <c r="K76" i="180"/>
  <c r="K75" i="180"/>
  <c r="K70" i="180"/>
  <c r="H58" i="180"/>
  <c r="G58" i="180"/>
  <c r="K54" i="180"/>
  <c r="K52" i="180"/>
  <c r="K51" i="180"/>
  <c r="E181" i="179"/>
  <c r="N160" i="179"/>
  <c r="H173" i="179"/>
  <c r="G164" i="179"/>
  <c r="G163" i="179"/>
  <c r="F159" i="179"/>
  <c r="E158" i="179"/>
  <c r="E156" i="179"/>
  <c r="E155" i="179"/>
  <c r="E154" i="179"/>
  <c r="E153" i="179"/>
  <c r="E151" i="179"/>
  <c r="M149" i="179"/>
  <c r="E146" i="179"/>
  <c r="E145" i="179"/>
  <c r="H144" i="179"/>
  <c r="H137" i="179"/>
  <c r="H132" i="179"/>
  <c r="N128" i="179"/>
  <c r="M128" i="179"/>
  <c r="I119" i="179"/>
  <c r="H31" i="179"/>
  <c r="K102" i="179"/>
  <c r="F101" i="179"/>
  <c r="J17" i="179"/>
  <c r="J15" i="179"/>
  <c r="M13" i="63" l="1"/>
  <c r="L13" i="63"/>
  <c r="K13" i="63"/>
  <c r="J13" i="63"/>
  <c r="I13" i="63"/>
  <c r="H13" i="63"/>
  <c r="G13" i="63"/>
  <c r="F13" i="63"/>
  <c r="E13" i="63"/>
  <c r="D13" i="63"/>
  <c r="L3" i="189"/>
  <c r="D3" i="139" s="1"/>
  <c r="L4" i="189"/>
  <c r="D4" i="139" s="1"/>
  <c r="L5" i="189"/>
  <c r="D5" i="139" s="1"/>
  <c r="L6" i="189"/>
  <c r="D6" i="139" s="1"/>
  <c r="L7" i="189"/>
  <c r="D7" i="139" s="1"/>
  <c r="L8" i="189"/>
  <c r="D8" i="139" s="1"/>
  <c r="L9" i="189"/>
  <c r="D9" i="139" s="1"/>
  <c r="L10" i="189"/>
  <c r="D10" i="139" s="1"/>
  <c r="L11" i="189"/>
  <c r="D11" i="139" s="1"/>
  <c r="L12" i="189"/>
  <c r="D12" i="139" s="1"/>
  <c r="L13" i="189"/>
  <c r="D13" i="139" s="1"/>
  <c r="L14" i="189"/>
  <c r="D14" i="139" s="1"/>
  <c r="L15" i="189"/>
  <c r="D15" i="139" s="1"/>
  <c r="L16" i="189"/>
  <c r="D16" i="139" s="1"/>
  <c r="L17" i="189"/>
  <c r="D17" i="139" s="1"/>
  <c r="L18" i="189"/>
  <c r="D18" i="139" s="1"/>
  <c r="L19" i="189"/>
  <c r="D19" i="139" s="1"/>
  <c r="L20" i="189"/>
  <c r="D20" i="139" s="1"/>
  <c r="K21" i="189"/>
  <c r="J21" i="189"/>
  <c r="I21" i="189"/>
  <c r="H21" i="189"/>
  <c r="G21" i="189"/>
  <c r="F21" i="189"/>
  <c r="E21" i="189"/>
  <c r="D21" i="189"/>
  <c r="H836" i="187" s="1"/>
  <c r="C21" i="189"/>
  <c r="Q7" i="187"/>
  <c r="Q9" i="187"/>
  <c r="Q10" i="187"/>
  <c r="Q12" i="187"/>
  <c r="Q13" i="187"/>
  <c r="Q14" i="187"/>
  <c r="Q15" i="187"/>
  <c r="Q16" i="187"/>
  <c r="Q17" i="187"/>
  <c r="Q19" i="187"/>
  <c r="Q21" i="187"/>
  <c r="Q23" i="187"/>
  <c r="Q24" i="187"/>
  <c r="Q25" i="187"/>
  <c r="Q27" i="187"/>
  <c r="Q29" i="187"/>
  <c r="Q31" i="187"/>
  <c r="Q33" i="187"/>
  <c r="Q34" i="187"/>
  <c r="Q36" i="187"/>
  <c r="Q38" i="187"/>
  <c r="Q41" i="187"/>
  <c r="Q43" i="187"/>
  <c r="Q44" i="187"/>
  <c r="Q49" i="187"/>
  <c r="Q50" i="187"/>
  <c r="Q51" i="187"/>
  <c r="Q52" i="187"/>
  <c r="Q53" i="187"/>
  <c r="Q54" i="187"/>
  <c r="Q57" i="187"/>
  <c r="Q58" i="187"/>
  <c r="Q59" i="187"/>
  <c r="Q60" i="187"/>
  <c r="Q61" i="187"/>
  <c r="Q62" i="187"/>
  <c r="Q64" i="187"/>
  <c r="Q66" i="187"/>
  <c r="Q68" i="187"/>
  <c r="Q69" i="187"/>
  <c r="Q70" i="187"/>
  <c r="Q71" i="187"/>
  <c r="Q72" i="187"/>
  <c r="Q73" i="187"/>
  <c r="Q74" i="187"/>
  <c r="Q75" i="187"/>
  <c r="Q76" i="187"/>
  <c r="Q77" i="187"/>
  <c r="Q78" i="187"/>
  <c r="Q79" i="187"/>
  <c r="Q80" i="187"/>
  <c r="Q81" i="187"/>
  <c r="Q82" i="187"/>
  <c r="Q83" i="187"/>
  <c r="Q84" i="187"/>
  <c r="Q85" i="187"/>
  <c r="Q87" i="187"/>
  <c r="Q88" i="187"/>
  <c r="Q89" i="187"/>
  <c r="Q90" i="187"/>
  <c r="Q91" i="187"/>
  <c r="Q92" i="187"/>
  <c r="Q93" i="187"/>
  <c r="Q94" i="187"/>
  <c r="Q95" i="187"/>
  <c r="Q97" i="187"/>
  <c r="Q98" i="187"/>
  <c r="Q99" i="187"/>
  <c r="Q102" i="187"/>
  <c r="Q103" i="187"/>
  <c r="Q105" i="187"/>
  <c r="Q107" i="187"/>
  <c r="Q108" i="187"/>
  <c r="Q110" i="187"/>
  <c r="Q111" i="187"/>
  <c r="Q112" i="187"/>
  <c r="Q114" i="187"/>
  <c r="Q116" i="187"/>
  <c r="Q119" i="187"/>
  <c r="Q120" i="187"/>
  <c r="Q121" i="187"/>
  <c r="Q123" i="187"/>
  <c r="Q124" i="187"/>
  <c r="Q125" i="187"/>
  <c r="Q126" i="187"/>
  <c r="Q128" i="187"/>
  <c r="Q129" i="187"/>
  <c r="Q130" i="187"/>
  <c r="Q131" i="187"/>
  <c r="Q132" i="187"/>
  <c r="Q133" i="187"/>
  <c r="Q134" i="187"/>
  <c r="Q135" i="187"/>
  <c r="Q136" i="187"/>
  <c r="Q138" i="187"/>
  <c r="Q139" i="187"/>
  <c r="Q140" i="187"/>
  <c r="Q141" i="187"/>
  <c r="Q142" i="187"/>
  <c r="Q143" i="187"/>
  <c r="Q144" i="187"/>
  <c r="Q145" i="187"/>
  <c r="Q146" i="187"/>
  <c r="Q147" i="187"/>
  <c r="Q148" i="187"/>
  <c r="Q149" i="187"/>
  <c r="Q150" i="187"/>
  <c r="Q151" i="187"/>
  <c r="Q152" i="187"/>
  <c r="Q153" i="187"/>
  <c r="Q154" i="187"/>
  <c r="Q155" i="187"/>
  <c r="Q156" i="187"/>
  <c r="Q157" i="187"/>
  <c r="Q158" i="187"/>
  <c r="Q159" i="187"/>
  <c r="Q160" i="187"/>
  <c r="Q161" i="187"/>
  <c r="Q162" i="187"/>
  <c r="Q163" i="187"/>
  <c r="Q164" i="187"/>
  <c r="Q165" i="187"/>
  <c r="Q166" i="187"/>
  <c r="Q168" i="187"/>
  <c r="Q169" i="187"/>
  <c r="Q170" i="187"/>
  <c r="Q175" i="187"/>
  <c r="Q176" i="187"/>
  <c r="Q177" i="187"/>
  <c r="Q178" i="187"/>
  <c r="Q179" i="187"/>
  <c r="Q180" i="187"/>
  <c r="Q181" i="187"/>
  <c r="Q182" i="187"/>
  <c r="Q183" i="187"/>
  <c r="Q184" i="187"/>
  <c r="Q185" i="187"/>
  <c r="Q186" i="187"/>
  <c r="Q188" i="187"/>
  <c r="Q189" i="187"/>
  <c r="Q190" i="187"/>
  <c r="Q191" i="187"/>
  <c r="Q192" i="187"/>
  <c r="Q193" i="187"/>
  <c r="Q194" i="187"/>
  <c r="Q195" i="187"/>
  <c r="Q197" i="187"/>
  <c r="Q199" i="187"/>
  <c r="Q200" i="187"/>
  <c r="Q201" i="187"/>
  <c r="Q204" i="187"/>
  <c r="Q205" i="187"/>
  <c r="Q206" i="187"/>
  <c r="Q207" i="187"/>
  <c r="Q208" i="187"/>
  <c r="Q209" i="187"/>
  <c r="Q210" i="187"/>
  <c r="Q213" i="187"/>
  <c r="Q214" i="187"/>
  <c r="Q215" i="187"/>
  <c r="Q216" i="187"/>
  <c r="Q217" i="187"/>
  <c r="Q218" i="187"/>
  <c r="Q219" i="187"/>
  <c r="Q220" i="187"/>
  <c r="Q221" i="187"/>
  <c r="Q225" i="187"/>
  <c r="Q226" i="187"/>
  <c r="Q227" i="187"/>
  <c r="Q228" i="187"/>
  <c r="Q232" i="187"/>
  <c r="Q233" i="187"/>
  <c r="Q237" i="187"/>
  <c r="Q238" i="187"/>
  <c r="Q239" i="187"/>
  <c r="Q240" i="187"/>
  <c r="Q241" i="187"/>
  <c r="Q242" i="187"/>
  <c r="Q243" i="187"/>
  <c r="Q244" i="187"/>
  <c r="Q245" i="187"/>
  <c r="Q246" i="187"/>
  <c r="Q247" i="187"/>
  <c r="Q248" i="187"/>
  <c r="Q249" i="187"/>
  <c r="Q250" i="187"/>
  <c r="Q251" i="187"/>
  <c r="Q252" i="187"/>
  <c r="Q253" i="187"/>
  <c r="Q254" i="187"/>
  <c r="Q255" i="187"/>
  <c r="Q256" i="187"/>
  <c r="Q257" i="187"/>
  <c r="Q258" i="187"/>
  <c r="Q259" i="187"/>
  <c r="Q260" i="187"/>
  <c r="Q261" i="187"/>
  <c r="Q262" i="187"/>
  <c r="Q264" i="187"/>
  <c r="Q265" i="187"/>
  <c r="Q266" i="187"/>
  <c r="Q267" i="187"/>
  <c r="Q268" i="187"/>
  <c r="Q269" i="187"/>
  <c r="Q270" i="187"/>
  <c r="Q271" i="187"/>
  <c r="Q272" i="187"/>
  <c r="Q273" i="187"/>
  <c r="Q274" i="187"/>
  <c r="Q275" i="187"/>
  <c r="Q276" i="187"/>
  <c r="Q277" i="187"/>
  <c r="Q278" i="187"/>
  <c r="Q279" i="187"/>
  <c r="Q281" i="187"/>
  <c r="Q283" i="187"/>
  <c r="Q284" i="187"/>
  <c r="Q285" i="187"/>
  <c r="Q287" i="187"/>
  <c r="Q288" i="187"/>
  <c r="Q289" i="187"/>
  <c r="Q290" i="187"/>
  <c r="Q291" i="187"/>
  <c r="Q292" i="187"/>
  <c r="Q293" i="187"/>
  <c r="Q294" i="187"/>
  <c r="Q295" i="187"/>
  <c r="Q296" i="187"/>
  <c r="Q297" i="187"/>
  <c r="Q298" i="187"/>
  <c r="Q299" i="187"/>
  <c r="Q300" i="187"/>
  <c r="Q301" i="187"/>
  <c r="Q302" i="187"/>
  <c r="Q304" i="187"/>
  <c r="Q306" i="187"/>
  <c r="Q307" i="187"/>
  <c r="Q308" i="187"/>
  <c r="Q309" i="187"/>
  <c r="Q310" i="187"/>
  <c r="Q311" i="187"/>
  <c r="Q312" i="187"/>
  <c r="Q313" i="187"/>
  <c r="Q314" i="187"/>
  <c r="Q315" i="187"/>
  <c r="Q316" i="187"/>
  <c r="Q317" i="187"/>
  <c r="Q318" i="187"/>
  <c r="Q319" i="187"/>
  <c r="Q320" i="187"/>
  <c r="Q321" i="187"/>
  <c r="Q322" i="187"/>
  <c r="Q323" i="187"/>
  <c r="Q327" i="187"/>
  <c r="Q329" i="187"/>
  <c r="Q330" i="187"/>
  <c r="Q331" i="187"/>
  <c r="Q332" i="187"/>
  <c r="Q334" i="187"/>
  <c r="Q335" i="187"/>
  <c r="Q336" i="187"/>
  <c r="Q338" i="187"/>
  <c r="Q339" i="187"/>
  <c r="Q340" i="187"/>
  <c r="Q341" i="187"/>
  <c r="Q342" i="187"/>
  <c r="Q343" i="187"/>
  <c r="Q344" i="187"/>
  <c r="Q346" i="187"/>
  <c r="Q348" i="187"/>
  <c r="Q350" i="187"/>
  <c r="Q354" i="187"/>
  <c r="Q355" i="187"/>
  <c r="Q356" i="187"/>
  <c r="Q357" i="187"/>
  <c r="Q358" i="187"/>
  <c r="Q359" i="187"/>
  <c r="Q360" i="187"/>
  <c r="Q361" i="187"/>
  <c r="Q363" i="187"/>
  <c r="Q364" i="187"/>
  <c r="Q365" i="187"/>
  <c r="Q366" i="187"/>
  <c r="Q367" i="187"/>
  <c r="Q369" i="187"/>
  <c r="Q371" i="187"/>
  <c r="Q372" i="187"/>
  <c r="Q373" i="187"/>
  <c r="Q374" i="187"/>
  <c r="Q375" i="187"/>
  <c r="Q376" i="187"/>
  <c r="Q378" i="187"/>
  <c r="Q379" i="187"/>
  <c r="Q380" i="187"/>
  <c r="Q381" i="187"/>
  <c r="Q383" i="187"/>
  <c r="Q384" i="187"/>
  <c r="Q385" i="187"/>
  <c r="Q386" i="187"/>
  <c r="Q387" i="187"/>
  <c r="Q388" i="187"/>
  <c r="Q389" i="187"/>
  <c r="Q390" i="187"/>
  <c r="Q391" i="187"/>
  <c r="Q392" i="187"/>
  <c r="Q393" i="187"/>
  <c r="Q394" i="187"/>
  <c r="Q395" i="187"/>
  <c r="Q396" i="187"/>
  <c r="Q397" i="187"/>
  <c r="Q398" i="187"/>
  <c r="Q399" i="187"/>
  <c r="Q400" i="187"/>
  <c r="Q401" i="187"/>
  <c r="Q402" i="187"/>
  <c r="Q403" i="187"/>
  <c r="Q404" i="187"/>
  <c r="Q405" i="187"/>
  <c r="Q406" i="187"/>
  <c r="Q407" i="187"/>
  <c r="Q408" i="187"/>
  <c r="Q409" i="187"/>
  <c r="Q410" i="187"/>
  <c r="Q411" i="187"/>
  <c r="Q412" i="187"/>
  <c r="Q413" i="187"/>
  <c r="Q414" i="187"/>
  <c r="Q415" i="187"/>
  <c r="Q416" i="187"/>
  <c r="Q417" i="187"/>
  <c r="Q418" i="187"/>
  <c r="Q419" i="187"/>
  <c r="Q420" i="187"/>
  <c r="Q421" i="187"/>
  <c r="Q422" i="187"/>
  <c r="Q423" i="187"/>
  <c r="Q424" i="187"/>
  <c r="Q425" i="187"/>
  <c r="Q426" i="187"/>
  <c r="Q427" i="187"/>
  <c r="Q428" i="187"/>
  <c r="Q429" i="187"/>
  <c r="Q430" i="187"/>
  <c r="Q431" i="187"/>
  <c r="Q432" i="187"/>
  <c r="Q433" i="187"/>
  <c r="Q434" i="187"/>
  <c r="Q436" i="187"/>
  <c r="Q437" i="187"/>
  <c r="Q438" i="187"/>
  <c r="Q439" i="187"/>
  <c r="Q440" i="187"/>
  <c r="Q441" i="187"/>
  <c r="Q442" i="187"/>
  <c r="Q443" i="187"/>
  <c r="Q445" i="187"/>
  <c r="Q446" i="187"/>
  <c r="Q447" i="187"/>
  <c r="Q448" i="187"/>
  <c r="Q449" i="187"/>
  <c r="Q450" i="187"/>
  <c r="Q451" i="187"/>
  <c r="Q452" i="187"/>
  <c r="Q453" i="187"/>
  <c r="Q454" i="187"/>
  <c r="Q455" i="187"/>
  <c r="Q456" i="187"/>
  <c r="Q457" i="187"/>
  <c r="Q458" i="187"/>
  <c r="Q460" i="187"/>
  <c r="Q461" i="187"/>
  <c r="Q462" i="187"/>
  <c r="Q463" i="187"/>
  <c r="Q464" i="187"/>
  <c r="Q467" i="187"/>
  <c r="Q469" i="187"/>
  <c r="Q470" i="187"/>
  <c r="Q472" i="187"/>
  <c r="Q473" i="187"/>
  <c r="Q474" i="187"/>
  <c r="Q475" i="187"/>
  <c r="Q476" i="187"/>
  <c r="Q477" i="187"/>
  <c r="Q481" i="187"/>
  <c r="Q482" i="187"/>
  <c r="Q483" i="187"/>
  <c r="Q484" i="187"/>
  <c r="Q485" i="187"/>
  <c r="Q486" i="187"/>
  <c r="Q487" i="187"/>
  <c r="Q489" i="187"/>
  <c r="Q491" i="187"/>
  <c r="Q495" i="187"/>
  <c r="Q496" i="187"/>
  <c r="Q498" i="187"/>
  <c r="Q499" i="187"/>
  <c r="Q500" i="187"/>
  <c r="Q501" i="187"/>
  <c r="Q502" i="187"/>
  <c r="Q504" i="187"/>
  <c r="Q506" i="187"/>
  <c r="Q507" i="187"/>
  <c r="Q509" i="187"/>
  <c r="Q510" i="187"/>
  <c r="Q511" i="187"/>
  <c r="Q514" i="187"/>
  <c r="Q515" i="187"/>
  <c r="Q516" i="187"/>
  <c r="Q517" i="187"/>
  <c r="Q518" i="187"/>
  <c r="Q519" i="187"/>
  <c r="Q520" i="187"/>
  <c r="Q521" i="187"/>
  <c r="Q522" i="187"/>
  <c r="Q523" i="187"/>
  <c r="Q524" i="187"/>
  <c r="Q525" i="187"/>
  <c r="Q526" i="187"/>
  <c r="Q527" i="187"/>
  <c r="Q528" i="187"/>
  <c r="Q529" i="187"/>
  <c r="Q530" i="187"/>
  <c r="Q531" i="187"/>
  <c r="Q532" i="187"/>
  <c r="Q533" i="187"/>
  <c r="Q534" i="187"/>
  <c r="Q535" i="187"/>
  <c r="Q536" i="187"/>
  <c r="Q537" i="187"/>
  <c r="Q538" i="187"/>
  <c r="Q539" i="187"/>
  <c r="Q540" i="187"/>
  <c r="Q541" i="187"/>
  <c r="Q543" i="187"/>
  <c r="Q544" i="187"/>
  <c r="Q545" i="187"/>
  <c r="Q546" i="187"/>
  <c r="Q547" i="187"/>
  <c r="Q549" i="187"/>
  <c r="Q551" i="187"/>
  <c r="Q552" i="187"/>
  <c r="Q555" i="187"/>
  <c r="Q556" i="187"/>
  <c r="Q557" i="187"/>
  <c r="Q560" i="187"/>
  <c r="Q564" i="187"/>
  <c r="Q565" i="187"/>
  <c r="Q566" i="187"/>
  <c r="Q567" i="187"/>
  <c r="Q568" i="187"/>
  <c r="Q569" i="187"/>
  <c r="Q570" i="187"/>
  <c r="Q571" i="187"/>
  <c r="Q572" i="187"/>
  <c r="Q576" i="187"/>
  <c r="Q577" i="187"/>
  <c r="Q578" i="187"/>
  <c r="Q579" i="187"/>
  <c r="Q580" i="187"/>
  <c r="Q581" i="187"/>
  <c r="Q582" i="187"/>
  <c r="Q583" i="187"/>
  <c r="Q584" i="187"/>
  <c r="Q585" i="187"/>
  <c r="Q586" i="187"/>
  <c r="Q590" i="187"/>
  <c r="Q591" i="187"/>
  <c r="Q592" i="187"/>
  <c r="Q593" i="187"/>
  <c r="Q594" i="187"/>
  <c r="Q595" i="187"/>
  <c r="Q596" i="187"/>
  <c r="Q597" i="187"/>
  <c r="Q598" i="187"/>
  <c r="Q599" i="187"/>
  <c r="Q600" i="187"/>
  <c r="Q601" i="187"/>
  <c r="Q602" i="187"/>
  <c r="Q603" i="187"/>
  <c r="Q604" i="187"/>
  <c r="Q605" i="187"/>
  <c r="Q606" i="187"/>
  <c r="Q607" i="187"/>
  <c r="Q608" i="187"/>
  <c r="Q609" i="187"/>
  <c r="Q610" i="187"/>
  <c r="Q611" i="187"/>
  <c r="Q612" i="187"/>
  <c r="Q613" i="187"/>
  <c r="Q614" i="187"/>
  <c r="Q615" i="187"/>
  <c r="Q616" i="187"/>
  <c r="Q617" i="187"/>
  <c r="Q618" i="187"/>
  <c r="Q651" i="187"/>
  <c r="Q652" i="187"/>
  <c r="Q653" i="187"/>
  <c r="Q654" i="187"/>
  <c r="Q655" i="187"/>
  <c r="Q656" i="187"/>
  <c r="Q659" i="187"/>
  <c r="Q660" i="187"/>
  <c r="Q661" i="187"/>
  <c r="Q662" i="187"/>
  <c r="Q664" i="187"/>
  <c r="Q665" i="187"/>
  <c r="Q666" i="187"/>
  <c r="Q670" i="187"/>
  <c r="Q671" i="187"/>
  <c r="Q672" i="187"/>
  <c r="Q673" i="187"/>
  <c r="Q674" i="187"/>
  <c r="Q675" i="187"/>
  <c r="Q676" i="187"/>
  <c r="Q680" i="187"/>
  <c r="Q681" i="187"/>
  <c r="Q682" i="187"/>
  <c r="Q683" i="187"/>
  <c r="Q684" i="187"/>
  <c r="Q685" i="187"/>
  <c r="Q686" i="187"/>
  <c r="Q687" i="187"/>
  <c r="Q689" i="187"/>
  <c r="Q692" i="187"/>
  <c r="Q693" i="187"/>
  <c r="Q694" i="187"/>
  <c r="Q695" i="187"/>
  <c r="Q697" i="187"/>
  <c r="Q698" i="187"/>
  <c r="Q699" i="187"/>
  <c r="Q700" i="187"/>
  <c r="Q701" i="187"/>
  <c r="Q705" i="187"/>
  <c r="Q706" i="187"/>
  <c r="Q707" i="187"/>
  <c r="Q708" i="187"/>
  <c r="Q710" i="187"/>
  <c r="Q711" i="187"/>
  <c r="Q713" i="187"/>
  <c r="Q714" i="187"/>
  <c r="Q715" i="187"/>
  <c r="Q716" i="187"/>
  <c r="Q718" i="187"/>
  <c r="Q719" i="187"/>
  <c r="Q720" i="187"/>
  <c r="Q723" i="187"/>
  <c r="Q725" i="187"/>
  <c r="Q729" i="187"/>
  <c r="Q730" i="187"/>
  <c r="Q731" i="187"/>
  <c r="Q732" i="187"/>
  <c r="Q734" i="187"/>
  <c r="Q735" i="187"/>
  <c r="Q736" i="187"/>
  <c r="Q737" i="187"/>
  <c r="Q740" i="187"/>
  <c r="Q742" i="187"/>
  <c r="Q743" i="187"/>
  <c r="Q745" i="187"/>
  <c r="Q747" i="187"/>
  <c r="Q749" i="187"/>
  <c r="Q751" i="187"/>
  <c r="Q752" i="187"/>
  <c r="Q754" i="187"/>
  <c r="Q756" i="187"/>
  <c r="Q758" i="187"/>
  <c r="Q761" i="187"/>
  <c r="Q768" i="187"/>
  <c r="Q769" i="187"/>
  <c r="Q770" i="187"/>
  <c r="Q771" i="187"/>
  <c r="Q772" i="187"/>
  <c r="Q773" i="187"/>
  <c r="Q774" i="187"/>
  <c r="Q775" i="187"/>
  <c r="Q776" i="187"/>
  <c r="Q777" i="187"/>
  <c r="Q778" i="187"/>
  <c r="Q780" i="187"/>
  <c r="Q781" i="187"/>
  <c r="Q782" i="187"/>
  <c r="Q784" i="187"/>
  <c r="Q785" i="187"/>
  <c r="Q787" i="187"/>
  <c r="Q788" i="187"/>
  <c r="Q790" i="187"/>
  <c r="Q791" i="187"/>
  <c r="Q793" i="187"/>
  <c r="Q794" i="187"/>
  <c r="Q796" i="187"/>
  <c r="Q798" i="187"/>
  <c r="Q799" i="187"/>
  <c r="Q800" i="187"/>
  <c r="Q802" i="187"/>
  <c r="Q803" i="187"/>
  <c r="Q804" i="187"/>
  <c r="Q805" i="187"/>
  <c r="Q806" i="187"/>
  <c r="Q807" i="187"/>
  <c r="Q808" i="187"/>
  <c r="Q809" i="187"/>
  <c r="Q810" i="187"/>
  <c r="Q811" i="187"/>
  <c r="Q814" i="187"/>
  <c r="Q815" i="187"/>
  <c r="Q817" i="187"/>
  <c r="Q818" i="187"/>
  <c r="Q819" i="187"/>
  <c r="Q822" i="187"/>
  <c r="Q824" i="187"/>
  <c r="Q825" i="187"/>
  <c r="Q826" i="187"/>
  <c r="Q827" i="187"/>
  <c r="Q828" i="187"/>
  <c r="Q829" i="187"/>
  <c r="Q830" i="187"/>
  <c r="Q832" i="187"/>
  <c r="Q833" i="187"/>
  <c r="P39" i="187"/>
  <c r="P45" i="187" s="1"/>
  <c r="P171" i="187"/>
  <c r="P222" i="187" s="1"/>
  <c r="P229" i="187"/>
  <c r="P234" i="187" s="1"/>
  <c r="P351" i="187"/>
  <c r="P478" i="187" s="1"/>
  <c r="P492" i="187"/>
  <c r="P677" i="187" s="1"/>
  <c r="P690" i="187"/>
  <c r="P702" i="187" s="1"/>
  <c r="P721" i="187"/>
  <c r="P726" i="187" s="1"/>
  <c r="P759" i="187"/>
  <c r="P762" i="187" s="1"/>
  <c r="P812" i="187"/>
  <c r="P820" i="187" s="1"/>
  <c r="P834" i="187"/>
  <c r="O39" i="187"/>
  <c r="O45" i="187" s="1"/>
  <c r="O171" i="187"/>
  <c r="O222" i="187" s="1"/>
  <c r="O229" i="187"/>
  <c r="O234" i="187" s="1"/>
  <c r="O351" i="187"/>
  <c r="O478" i="187" s="1"/>
  <c r="O492" i="187"/>
  <c r="O677" i="187" s="1"/>
  <c r="O690" i="187"/>
  <c r="O702" i="187" s="1"/>
  <c r="O721" i="187"/>
  <c r="O726" i="187" s="1"/>
  <c r="O759" i="187"/>
  <c r="O762" i="187" s="1"/>
  <c r="O812" i="187"/>
  <c r="O820" i="187" s="1"/>
  <c r="O834" i="187"/>
  <c r="N39" i="187"/>
  <c r="N45" i="187" s="1"/>
  <c r="N171" i="187"/>
  <c r="N222" i="187" s="1"/>
  <c r="N229" i="187"/>
  <c r="N234" i="187" s="1"/>
  <c r="N351" i="187"/>
  <c r="N478" i="187" s="1"/>
  <c r="N492" i="187"/>
  <c r="N677" i="187" s="1"/>
  <c r="N690" i="187"/>
  <c r="N702" i="187" s="1"/>
  <c r="N721" i="187"/>
  <c r="N726" i="187" s="1"/>
  <c r="N759" i="187"/>
  <c r="N762" i="187" s="1"/>
  <c r="N812" i="187"/>
  <c r="N820" i="187" s="1"/>
  <c r="N834" i="187"/>
  <c r="M39" i="187"/>
  <c r="M45" i="187" s="1"/>
  <c r="M171" i="187"/>
  <c r="M222" i="187" s="1"/>
  <c r="M229" i="187"/>
  <c r="M234" i="187" s="1"/>
  <c r="M351" i="187"/>
  <c r="M478" i="187" s="1"/>
  <c r="M492" i="187"/>
  <c r="M677" i="187" s="1"/>
  <c r="M690" i="187"/>
  <c r="M702" i="187" s="1"/>
  <c r="M721" i="187"/>
  <c r="M726" i="187" s="1"/>
  <c r="M759" i="187"/>
  <c r="M762" i="187" s="1"/>
  <c r="M812" i="187"/>
  <c r="M820" i="187" s="1"/>
  <c r="M834" i="187"/>
  <c r="L39" i="187"/>
  <c r="L45" i="187" s="1"/>
  <c r="L171" i="187"/>
  <c r="L222" i="187" s="1"/>
  <c r="L229" i="187"/>
  <c r="L234" i="187" s="1"/>
  <c r="L351" i="187"/>
  <c r="L478" i="187" s="1"/>
  <c r="L492" i="187"/>
  <c r="L677" i="187" s="1"/>
  <c r="L690" i="187"/>
  <c r="L702" i="187" s="1"/>
  <c r="L721" i="187"/>
  <c r="L726" i="187" s="1"/>
  <c r="L759" i="187"/>
  <c r="L762" i="187" s="1"/>
  <c r="L812" i="187"/>
  <c r="L820" i="187" s="1"/>
  <c r="L834" i="187"/>
  <c r="K39" i="187"/>
  <c r="K45" i="187" s="1"/>
  <c r="K171" i="187"/>
  <c r="K222" i="187" s="1"/>
  <c r="K229" i="187"/>
  <c r="K234" i="187" s="1"/>
  <c r="K351" i="187"/>
  <c r="K478" i="187" s="1"/>
  <c r="K492" i="187"/>
  <c r="K677" i="187" s="1"/>
  <c r="K690" i="187"/>
  <c r="K702" i="187" s="1"/>
  <c r="K721" i="187"/>
  <c r="K726" i="187" s="1"/>
  <c r="K759" i="187"/>
  <c r="K762" i="187" s="1"/>
  <c r="K812" i="187"/>
  <c r="K820" i="187" s="1"/>
  <c r="K834" i="187"/>
  <c r="J39" i="187"/>
  <c r="J45" i="187" s="1"/>
  <c r="J171" i="187"/>
  <c r="J222" i="187" s="1"/>
  <c r="J229" i="187"/>
  <c r="J234" i="187" s="1"/>
  <c r="J351" i="187"/>
  <c r="J478" i="187" s="1"/>
  <c r="J492" i="187"/>
  <c r="J677" i="187" s="1"/>
  <c r="J690" i="187"/>
  <c r="J702" i="187" s="1"/>
  <c r="J721" i="187"/>
  <c r="J726" i="187" s="1"/>
  <c r="J759" i="187"/>
  <c r="J762" i="187" s="1"/>
  <c r="J812" i="187"/>
  <c r="J820" i="187" s="1"/>
  <c r="J834" i="187"/>
  <c r="I39" i="187"/>
  <c r="I45" i="187" s="1"/>
  <c r="I171" i="187"/>
  <c r="I222" i="187" s="1"/>
  <c r="I229" i="187"/>
  <c r="I234" i="187" s="1"/>
  <c r="I351" i="187"/>
  <c r="I478" i="187" s="1"/>
  <c r="I492" i="187"/>
  <c r="I677" i="187" s="1"/>
  <c r="I690" i="187"/>
  <c r="I702" i="187" s="1"/>
  <c r="I721" i="187"/>
  <c r="I726" i="187" s="1"/>
  <c r="I759" i="187"/>
  <c r="I762" i="187" s="1"/>
  <c r="I812" i="187"/>
  <c r="I820" i="187" s="1"/>
  <c r="I834" i="187"/>
  <c r="I836" i="187"/>
  <c r="H39" i="187"/>
  <c r="H45" i="187" s="1"/>
  <c r="H171" i="187"/>
  <c r="H222" i="187" s="1"/>
  <c r="H229" i="187"/>
  <c r="H234" i="187" s="1"/>
  <c r="H351" i="187"/>
  <c r="H478" i="187" s="1"/>
  <c r="H492" i="187"/>
  <c r="H677" i="187" s="1"/>
  <c r="H690" i="187"/>
  <c r="H702" i="187" s="1"/>
  <c r="H721" i="187"/>
  <c r="H726" i="187" s="1"/>
  <c r="H759" i="187"/>
  <c r="H762" i="187" s="1"/>
  <c r="H812" i="187"/>
  <c r="H820" i="187" s="1"/>
  <c r="H834" i="187"/>
  <c r="G39" i="187"/>
  <c r="G45" i="187" s="1"/>
  <c r="G171" i="187"/>
  <c r="G222" i="187" s="1"/>
  <c r="G229" i="187"/>
  <c r="G234" i="187" s="1"/>
  <c r="G351" i="187"/>
  <c r="G478" i="187" s="1"/>
  <c r="G492" i="187"/>
  <c r="G677" i="187" s="1"/>
  <c r="G690" i="187"/>
  <c r="G702" i="187" s="1"/>
  <c r="G721" i="187"/>
  <c r="G726" i="187" s="1"/>
  <c r="G759" i="187"/>
  <c r="G762" i="187" s="1"/>
  <c r="G812" i="187"/>
  <c r="G820" i="187" s="1"/>
  <c r="G834" i="187"/>
  <c r="G836" i="187"/>
  <c r="L2" i="190"/>
  <c r="M2" i="190" s="1"/>
  <c r="L3" i="190"/>
  <c r="M3" i="190" s="1"/>
  <c r="L4" i="190"/>
  <c r="M4" i="190" s="1"/>
  <c r="L5" i="190"/>
  <c r="M5" i="190" s="1"/>
  <c r="L6" i="190"/>
  <c r="M6" i="190" s="1"/>
  <c r="L7" i="190"/>
  <c r="M7" i="190" s="1"/>
  <c r="L8" i="190"/>
  <c r="M8" i="190" s="1"/>
  <c r="L9" i="190"/>
  <c r="M9" i="190" s="1"/>
  <c r="L10" i="190"/>
  <c r="M10" i="190" s="1"/>
  <c r="L11" i="190"/>
  <c r="M11" i="190" s="1"/>
  <c r="L12" i="190"/>
  <c r="M12" i="190" s="1"/>
  <c r="L13" i="190"/>
  <c r="M13" i="190" s="1"/>
  <c r="L14" i="190"/>
  <c r="M14" i="190" s="1"/>
  <c r="L15" i="190"/>
  <c r="M15" i="190" s="1"/>
  <c r="L16" i="190"/>
  <c r="M16" i="190" s="1"/>
  <c r="L17" i="190"/>
  <c r="M17" i="190" s="1"/>
  <c r="L18" i="190"/>
  <c r="M18" i="190" s="1"/>
  <c r="L19" i="190"/>
  <c r="M19" i="190" s="1"/>
  <c r="L20" i="190"/>
  <c r="M20" i="190" s="1"/>
  <c r="K21" i="190"/>
  <c r="K22" i="190" s="1"/>
  <c r="J21" i="190"/>
  <c r="J22" i="190" s="1"/>
  <c r="I21" i="190"/>
  <c r="I22" i="190" s="1"/>
  <c r="H21" i="190"/>
  <c r="H22" i="190" s="1"/>
  <c r="G21" i="190"/>
  <c r="G22" i="190" s="1"/>
  <c r="F21" i="190"/>
  <c r="F22" i="190" s="1"/>
  <c r="E21" i="190"/>
  <c r="E22" i="190" s="1"/>
  <c r="M3" i="139"/>
  <c r="M4" i="139"/>
  <c r="M5" i="139"/>
  <c r="M6" i="139"/>
  <c r="M7" i="139"/>
  <c r="M8" i="139"/>
  <c r="M9" i="139"/>
  <c r="M10" i="139"/>
  <c r="M11" i="139"/>
  <c r="M12" i="139"/>
  <c r="M13" i="139"/>
  <c r="M14" i="139"/>
  <c r="M15" i="139"/>
  <c r="M16" i="139"/>
  <c r="M17" i="139"/>
  <c r="M18" i="139"/>
  <c r="M19" i="139"/>
  <c r="M20" i="139"/>
  <c r="L3" i="139"/>
  <c r="L4" i="139"/>
  <c r="L5" i="139"/>
  <c r="L6" i="139"/>
  <c r="L7" i="139"/>
  <c r="L8" i="139"/>
  <c r="L9" i="139"/>
  <c r="L10" i="139"/>
  <c r="L11" i="139"/>
  <c r="L12" i="139"/>
  <c r="L13" i="139"/>
  <c r="L14" i="139"/>
  <c r="L15" i="139"/>
  <c r="L16" i="139"/>
  <c r="L17" i="139"/>
  <c r="L18" i="139"/>
  <c r="L19" i="139"/>
  <c r="L20" i="139"/>
  <c r="K3" i="139"/>
  <c r="K4" i="139"/>
  <c r="K6" i="139"/>
  <c r="K7" i="139"/>
  <c r="K9" i="139"/>
  <c r="K12" i="139"/>
  <c r="K13" i="139"/>
  <c r="K14" i="139"/>
  <c r="K17" i="139"/>
  <c r="K18" i="139"/>
  <c r="K19" i="139"/>
  <c r="J7" i="139"/>
  <c r="J8" i="139"/>
  <c r="J9" i="139"/>
  <c r="J12" i="139"/>
  <c r="J13" i="139"/>
  <c r="J17" i="139"/>
  <c r="J18" i="139"/>
  <c r="J19" i="139"/>
  <c r="J20" i="139"/>
  <c r="I6" i="139"/>
  <c r="I9" i="139"/>
  <c r="I20" i="139"/>
  <c r="H3" i="139"/>
  <c r="H4" i="139"/>
  <c r="H5" i="139"/>
  <c r="H6" i="139"/>
  <c r="H8" i="139"/>
  <c r="H9" i="139"/>
  <c r="H10" i="139"/>
  <c r="H11" i="139"/>
  <c r="H12" i="139"/>
  <c r="H13" i="139"/>
  <c r="H14" i="139"/>
  <c r="H15" i="139"/>
  <c r="H16" i="139"/>
  <c r="H17" i="139"/>
  <c r="H18" i="139"/>
  <c r="H19" i="139"/>
  <c r="H20" i="139"/>
  <c r="G20" i="139"/>
  <c r="C21" i="139"/>
  <c r="Q209" i="180"/>
  <c r="Q435" i="180"/>
  <c r="P7" i="180"/>
  <c r="P9" i="180"/>
  <c r="P10" i="180"/>
  <c r="P12" i="180"/>
  <c r="P13" i="180"/>
  <c r="P14" i="180"/>
  <c r="P15" i="180"/>
  <c r="P16" i="180"/>
  <c r="P17" i="180"/>
  <c r="P19" i="180"/>
  <c r="P21" i="180"/>
  <c r="P23" i="180"/>
  <c r="P24" i="180"/>
  <c r="P25" i="180"/>
  <c r="P27" i="180"/>
  <c r="P29" i="180"/>
  <c r="P31" i="180"/>
  <c r="P33" i="180"/>
  <c r="P34" i="180"/>
  <c r="P36" i="180"/>
  <c r="P38" i="180"/>
  <c r="P41" i="180"/>
  <c r="P43" i="180"/>
  <c r="P44" i="180"/>
  <c r="P49" i="180"/>
  <c r="P50" i="180"/>
  <c r="P51" i="180"/>
  <c r="P52" i="180"/>
  <c r="P53" i="180"/>
  <c r="P54" i="180"/>
  <c r="P57" i="180"/>
  <c r="P58" i="180"/>
  <c r="P59" i="180"/>
  <c r="P60" i="180"/>
  <c r="P61" i="180"/>
  <c r="P62" i="180"/>
  <c r="P64" i="180"/>
  <c r="P66" i="180"/>
  <c r="P68" i="180"/>
  <c r="P69" i="180"/>
  <c r="P70" i="180"/>
  <c r="P71" i="180"/>
  <c r="P72" i="180"/>
  <c r="P73" i="180"/>
  <c r="P74" i="180"/>
  <c r="P75" i="180"/>
  <c r="P76" i="180"/>
  <c r="P77" i="180"/>
  <c r="P78" i="180"/>
  <c r="P79" i="180"/>
  <c r="P80" i="180"/>
  <c r="P81" i="180"/>
  <c r="P82" i="180"/>
  <c r="P83" i="180"/>
  <c r="P84" i="180"/>
  <c r="P85" i="180"/>
  <c r="P87" i="180"/>
  <c r="P88" i="180"/>
  <c r="P89" i="180"/>
  <c r="P90" i="180"/>
  <c r="P91" i="180"/>
  <c r="P92" i="180"/>
  <c r="P93" i="180"/>
  <c r="P94" i="180"/>
  <c r="P95" i="180"/>
  <c r="P97" i="180"/>
  <c r="P98" i="180"/>
  <c r="P99" i="180"/>
  <c r="P102" i="180"/>
  <c r="P103" i="180"/>
  <c r="P105" i="180"/>
  <c r="P107" i="180"/>
  <c r="P108" i="180"/>
  <c r="P110" i="180"/>
  <c r="P111" i="180"/>
  <c r="P112" i="180"/>
  <c r="P114" i="180"/>
  <c r="P116" i="180"/>
  <c r="P119" i="180"/>
  <c r="P120" i="180"/>
  <c r="P121" i="180"/>
  <c r="P123" i="180"/>
  <c r="P124" i="180"/>
  <c r="P125" i="180"/>
  <c r="P126" i="180"/>
  <c r="P128" i="180"/>
  <c r="P129" i="180"/>
  <c r="P130" i="180"/>
  <c r="P131" i="180"/>
  <c r="P132" i="180"/>
  <c r="P133" i="180"/>
  <c r="P134" i="180"/>
  <c r="P135" i="180"/>
  <c r="P136" i="180"/>
  <c r="P138" i="180"/>
  <c r="P139" i="180"/>
  <c r="P140" i="180"/>
  <c r="P141" i="180"/>
  <c r="P142" i="180"/>
  <c r="P143" i="180"/>
  <c r="P144" i="180"/>
  <c r="P145" i="180"/>
  <c r="P146" i="180"/>
  <c r="P147" i="180"/>
  <c r="P148" i="180"/>
  <c r="P149" i="180"/>
  <c r="P150" i="180"/>
  <c r="P151" i="180"/>
  <c r="P152" i="180"/>
  <c r="P153" i="180"/>
  <c r="P154" i="180"/>
  <c r="P155" i="180"/>
  <c r="P156" i="180"/>
  <c r="P157" i="180"/>
  <c r="P158" i="180"/>
  <c r="P159" i="180"/>
  <c r="P160" i="180"/>
  <c r="P161" i="180"/>
  <c r="P162" i="180"/>
  <c r="P163" i="180"/>
  <c r="P164" i="180"/>
  <c r="P165" i="180"/>
  <c r="P166" i="180"/>
  <c r="P168" i="180"/>
  <c r="P169" i="180"/>
  <c r="P170" i="180"/>
  <c r="P175" i="180"/>
  <c r="P176" i="180"/>
  <c r="P177" i="180"/>
  <c r="P178" i="180"/>
  <c r="P179" i="180"/>
  <c r="P180" i="180"/>
  <c r="P181" i="180"/>
  <c r="P182" i="180"/>
  <c r="P183" i="180"/>
  <c r="P184" i="180"/>
  <c r="P185" i="180"/>
  <c r="P186" i="180"/>
  <c r="P188" i="180"/>
  <c r="P189" i="180"/>
  <c r="P190" i="180"/>
  <c r="P191" i="180"/>
  <c r="P192" i="180"/>
  <c r="P193" i="180"/>
  <c r="P194" i="180"/>
  <c r="P195" i="180"/>
  <c r="P197" i="180"/>
  <c r="P199" i="180"/>
  <c r="P200" i="180"/>
  <c r="P201" i="180"/>
  <c r="P204" i="180"/>
  <c r="P205" i="180"/>
  <c r="P206" i="180"/>
  <c r="P207" i="180"/>
  <c r="P208" i="180"/>
  <c r="P210" i="180"/>
  <c r="P213" i="180"/>
  <c r="P214" i="180"/>
  <c r="P215" i="180"/>
  <c r="P216" i="180"/>
  <c r="P217" i="180"/>
  <c r="P218" i="180"/>
  <c r="P219" i="180"/>
  <c r="P220" i="180"/>
  <c r="P221" i="180"/>
  <c r="P225" i="180"/>
  <c r="P226" i="180"/>
  <c r="P227" i="180"/>
  <c r="P228" i="180"/>
  <c r="P232" i="180"/>
  <c r="P233" i="180"/>
  <c r="P237" i="180"/>
  <c r="P238" i="180"/>
  <c r="P239" i="180"/>
  <c r="P240" i="180"/>
  <c r="P241" i="180"/>
  <c r="P242" i="180"/>
  <c r="P243" i="180"/>
  <c r="P244" i="180"/>
  <c r="P245" i="180"/>
  <c r="P246" i="180"/>
  <c r="P247" i="180"/>
  <c r="P248" i="180"/>
  <c r="P249" i="180"/>
  <c r="P250" i="180"/>
  <c r="P251" i="180"/>
  <c r="P252" i="180"/>
  <c r="P253" i="180"/>
  <c r="P254" i="180"/>
  <c r="P255" i="180"/>
  <c r="P256" i="180"/>
  <c r="P257" i="180"/>
  <c r="P258" i="180"/>
  <c r="P259" i="180"/>
  <c r="P260" i="180"/>
  <c r="P261" i="180"/>
  <c r="P262" i="180"/>
  <c r="P264" i="180"/>
  <c r="P265" i="180"/>
  <c r="P266" i="180"/>
  <c r="P267" i="180"/>
  <c r="P268" i="180"/>
  <c r="P269" i="180"/>
  <c r="P270" i="180"/>
  <c r="P271" i="180"/>
  <c r="P272" i="180"/>
  <c r="P273" i="180"/>
  <c r="P274" i="180"/>
  <c r="P275" i="180"/>
  <c r="P276" i="180"/>
  <c r="P277" i="180"/>
  <c r="P278" i="180"/>
  <c r="P279" i="180"/>
  <c r="P281" i="180"/>
  <c r="P283" i="180"/>
  <c r="P284" i="180"/>
  <c r="P285" i="180"/>
  <c r="P287" i="180"/>
  <c r="P288" i="180"/>
  <c r="P289" i="180"/>
  <c r="P290" i="180"/>
  <c r="P291" i="180"/>
  <c r="P292" i="180"/>
  <c r="P293" i="180"/>
  <c r="P294" i="180"/>
  <c r="P295" i="180"/>
  <c r="P296" i="180"/>
  <c r="P297" i="180"/>
  <c r="P298" i="180"/>
  <c r="P299" i="180"/>
  <c r="P300" i="180"/>
  <c r="P301" i="180"/>
  <c r="P302" i="180"/>
  <c r="P304" i="180"/>
  <c r="P306" i="180"/>
  <c r="P307" i="180"/>
  <c r="P308" i="180"/>
  <c r="P309" i="180"/>
  <c r="P310" i="180"/>
  <c r="P311" i="180"/>
  <c r="P312" i="180"/>
  <c r="P313" i="180"/>
  <c r="P314" i="180"/>
  <c r="P315" i="180"/>
  <c r="P316" i="180"/>
  <c r="P317" i="180"/>
  <c r="P318" i="180"/>
  <c r="P319" i="180"/>
  <c r="P320" i="180"/>
  <c r="P321" i="180"/>
  <c r="P322" i="180"/>
  <c r="P323" i="180"/>
  <c r="P327" i="180"/>
  <c r="P329" i="180"/>
  <c r="P330" i="180"/>
  <c r="P331" i="180"/>
  <c r="P332" i="180"/>
  <c r="P334" i="180"/>
  <c r="P335" i="180"/>
  <c r="P336" i="180"/>
  <c r="P338" i="180"/>
  <c r="P339" i="180"/>
  <c r="P340" i="180"/>
  <c r="P341" i="180"/>
  <c r="P342" i="180"/>
  <c r="P343" i="180"/>
  <c r="P344" i="180"/>
  <c r="P346" i="180"/>
  <c r="P348" i="180"/>
  <c r="P350" i="180"/>
  <c r="P354" i="180"/>
  <c r="P355" i="180"/>
  <c r="P356" i="180"/>
  <c r="P357" i="180"/>
  <c r="P358" i="180"/>
  <c r="P359" i="180"/>
  <c r="P360" i="180"/>
  <c r="P361" i="180"/>
  <c r="P363" i="180"/>
  <c r="P364" i="180"/>
  <c r="P365" i="180"/>
  <c r="P366" i="180"/>
  <c r="P367" i="180"/>
  <c r="P369" i="180"/>
  <c r="P371" i="180"/>
  <c r="P372" i="180"/>
  <c r="P373" i="180"/>
  <c r="P374" i="180"/>
  <c r="P375" i="180"/>
  <c r="P376" i="180"/>
  <c r="P378" i="180"/>
  <c r="P379" i="180"/>
  <c r="P380" i="180"/>
  <c r="P381" i="180"/>
  <c r="P383" i="180"/>
  <c r="P384" i="180"/>
  <c r="P385" i="180"/>
  <c r="P386" i="180"/>
  <c r="P387" i="180"/>
  <c r="P388" i="180"/>
  <c r="P389" i="180"/>
  <c r="P390" i="180"/>
  <c r="P391" i="180"/>
  <c r="P392" i="180"/>
  <c r="P393" i="180"/>
  <c r="P394" i="180"/>
  <c r="P395" i="180"/>
  <c r="P396" i="180"/>
  <c r="P397" i="180"/>
  <c r="P398" i="180"/>
  <c r="P399" i="180"/>
  <c r="P400" i="180"/>
  <c r="P401" i="180"/>
  <c r="P402" i="180"/>
  <c r="P403" i="180"/>
  <c r="P404" i="180"/>
  <c r="P405" i="180"/>
  <c r="P406" i="180"/>
  <c r="P407" i="180"/>
  <c r="P408" i="180"/>
  <c r="P409" i="180"/>
  <c r="P410" i="180"/>
  <c r="P411" i="180"/>
  <c r="P412" i="180"/>
  <c r="P413" i="180"/>
  <c r="P414" i="180"/>
  <c r="P415" i="180"/>
  <c r="P416" i="180"/>
  <c r="P417" i="180"/>
  <c r="P418" i="180"/>
  <c r="P419" i="180"/>
  <c r="P420" i="180"/>
  <c r="P421" i="180"/>
  <c r="P422" i="180"/>
  <c r="P423" i="180"/>
  <c r="P424" i="180"/>
  <c r="P425" i="180"/>
  <c r="P426" i="180"/>
  <c r="P427" i="180"/>
  <c r="P428" i="180"/>
  <c r="P429" i="180"/>
  <c r="P430" i="180"/>
  <c r="P431" i="180"/>
  <c r="P432" i="180"/>
  <c r="P433" i="180"/>
  <c r="P434" i="180"/>
  <c r="P436" i="180"/>
  <c r="P437" i="180"/>
  <c r="P438" i="180"/>
  <c r="P439" i="180"/>
  <c r="P440" i="180"/>
  <c r="P441" i="180"/>
  <c r="P442" i="180"/>
  <c r="P443" i="180"/>
  <c r="P445" i="180"/>
  <c r="P446" i="180"/>
  <c r="P447" i="180"/>
  <c r="P448" i="180"/>
  <c r="P449" i="180"/>
  <c r="P450" i="180"/>
  <c r="P451" i="180"/>
  <c r="P452" i="180"/>
  <c r="P453" i="180"/>
  <c r="P454" i="180"/>
  <c r="P455" i="180"/>
  <c r="P456" i="180"/>
  <c r="P457" i="180"/>
  <c r="P458" i="180"/>
  <c r="P460" i="180"/>
  <c r="P461" i="180"/>
  <c r="P462" i="180"/>
  <c r="P463" i="180"/>
  <c r="P464" i="180"/>
  <c r="P467" i="180"/>
  <c r="P469" i="180"/>
  <c r="P470" i="180"/>
  <c r="P472" i="180"/>
  <c r="P473" i="180"/>
  <c r="P474" i="180"/>
  <c r="P475" i="180"/>
  <c r="P476" i="180"/>
  <c r="P477" i="180"/>
  <c r="P481" i="180"/>
  <c r="P482" i="180"/>
  <c r="P483" i="180"/>
  <c r="P484" i="180"/>
  <c r="P485" i="180"/>
  <c r="P486" i="180"/>
  <c r="P487" i="180"/>
  <c r="P489" i="180"/>
  <c r="P491" i="180"/>
  <c r="P495" i="180"/>
  <c r="P496" i="180"/>
  <c r="P498" i="180"/>
  <c r="P499" i="180"/>
  <c r="P500" i="180"/>
  <c r="P501" i="180"/>
  <c r="P502" i="180"/>
  <c r="P504" i="180"/>
  <c r="P506" i="180"/>
  <c r="P507" i="180"/>
  <c r="P509" i="180"/>
  <c r="P510" i="180"/>
  <c r="P511" i="180"/>
  <c r="P514" i="180"/>
  <c r="P515" i="180"/>
  <c r="P516" i="180"/>
  <c r="P517" i="180"/>
  <c r="P518" i="180"/>
  <c r="P519" i="180"/>
  <c r="P520" i="180"/>
  <c r="P521" i="180"/>
  <c r="P522" i="180"/>
  <c r="P523" i="180"/>
  <c r="P524" i="180"/>
  <c r="P525" i="180"/>
  <c r="P526" i="180"/>
  <c r="P527" i="180"/>
  <c r="P528" i="180"/>
  <c r="P529" i="180"/>
  <c r="P530" i="180"/>
  <c r="P531" i="180"/>
  <c r="P532" i="180"/>
  <c r="P533" i="180"/>
  <c r="P534" i="180"/>
  <c r="P535" i="180"/>
  <c r="P536" i="180"/>
  <c r="P537" i="180"/>
  <c r="P538" i="180"/>
  <c r="P539" i="180"/>
  <c r="P540" i="180"/>
  <c r="P541" i="180"/>
  <c r="P543" i="180"/>
  <c r="P544" i="180"/>
  <c r="P545" i="180"/>
  <c r="P546" i="180"/>
  <c r="P547" i="180"/>
  <c r="P549" i="180"/>
  <c r="P551" i="180"/>
  <c r="P552" i="180"/>
  <c r="P555" i="180"/>
  <c r="P556" i="180"/>
  <c r="P557" i="180"/>
  <c r="P560" i="180"/>
  <c r="P564" i="180"/>
  <c r="P565" i="180"/>
  <c r="P566" i="180"/>
  <c r="P567" i="180"/>
  <c r="P568" i="180"/>
  <c r="P569" i="180"/>
  <c r="P570" i="180"/>
  <c r="P571" i="180"/>
  <c r="P572" i="180"/>
  <c r="P576" i="180"/>
  <c r="P577" i="180"/>
  <c r="P578" i="180"/>
  <c r="P579" i="180"/>
  <c r="P580" i="180"/>
  <c r="P581" i="180"/>
  <c r="P582" i="180"/>
  <c r="P583" i="180"/>
  <c r="P584" i="180"/>
  <c r="P585" i="180"/>
  <c r="P586" i="180"/>
  <c r="P590" i="180"/>
  <c r="P591" i="180"/>
  <c r="P592" i="180"/>
  <c r="P593" i="180"/>
  <c r="P594" i="180"/>
  <c r="P595" i="180"/>
  <c r="P596" i="180"/>
  <c r="P597" i="180"/>
  <c r="P598" i="180"/>
  <c r="P599" i="180"/>
  <c r="P600" i="180"/>
  <c r="P601" i="180"/>
  <c r="P602" i="180"/>
  <c r="P603" i="180"/>
  <c r="P604" i="180"/>
  <c r="P605" i="180"/>
  <c r="P606" i="180"/>
  <c r="P607" i="180"/>
  <c r="P608" i="180"/>
  <c r="P609" i="180"/>
  <c r="P610" i="180"/>
  <c r="P611" i="180"/>
  <c r="P612" i="180"/>
  <c r="P613" i="180"/>
  <c r="P614" i="180"/>
  <c r="P615" i="180"/>
  <c r="P616" i="180"/>
  <c r="P617" i="180"/>
  <c r="P618" i="180"/>
  <c r="P619" i="180"/>
  <c r="P620" i="180"/>
  <c r="P621" i="180"/>
  <c r="P622" i="180"/>
  <c r="P623" i="180"/>
  <c r="P624" i="180"/>
  <c r="P625" i="180"/>
  <c r="P626" i="180"/>
  <c r="P627" i="180"/>
  <c r="P628" i="180"/>
  <c r="P629" i="180"/>
  <c r="P630" i="180"/>
  <c r="P631" i="180"/>
  <c r="P632" i="180"/>
  <c r="P633" i="180"/>
  <c r="P634" i="180"/>
  <c r="P635" i="180"/>
  <c r="P636" i="180"/>
  <c r="P637" i="180"/>
  <c r="P638" i="180"/>
  <c r="P639" i="180"/>
  <c r="P640" i="180"/>
  <c r="P641" i="180"/>
  <c r="P642" i="180"/>
  <c r="P643" i="180"/>
  <c r="P644" i="180"/>
  <c r="P645" i="180"/>
  <c r="P646" i="180"/>
  <c r="P647" i="180"/>
  <c r="P648" i="180"/>
  <c r="P649" i="180"/>
  <c r="P651" i="180"/>
  <c r="P652" i="180"/>
  <c r="P653" i="180"/>
  <c r="P654" i="180"/>
  <c r="P655" i="180"/>
  <c r="P656" i="180"/>
  <c r="P659" i="180"/>
  <c r="P660" i="180"/>
  <c r="P661" i="180"/>
  <c r="P662" i="180"/>
  <c r="P664" i="180"/>
  <c r="P665" i="180"/>
  <c r="P666" i="180"/>
  <c r="P670" i="180"/>
  <c r="P671" i="180"/>
  <c r="P672" i="180"/>
  <c r="P673" i="180"/>
  <c r="P674" i="180"/>
  <c r="P675" i="180"/>
  <c r="P676" i="180"/>
  <c r="P680" i="180"/>
  <c r="P681" i="180"/>
  <c r="P682" i="180"/>
  <c r="P683" i="180"/>
  <c r="P684" i="180"/>
  <c r="P685" i="180"/>
  <c r="P686" i="180"/>
  <c r="P687" i="180"/>
  <c r="P689" i="180"/>
  <c r="P692" i="180"/>
  <c r="P693" i="180"/>
  <c r="P694" i="180"/>
  <c r="P695" i="180"/>
  <c r="P697" i="180"/>
  <c r="P698" i="180"/>
  <c r="P699" i="180"/>
  <c r="P700" i="180"/>
  <c r="P701" i="180"/>
  <c r="P705" i="180"/>
  <c r="P706" i="180"/>
  <c r="P707" i="180"/>
  <c r="P708" i="180"/>
  <c r="P710" i="180"/>
  <c r="P711" i="180"/>
  <c r="P713" i="180"/>
  <c r="P714" i="180"/>
  <c r="P715" i="180"/>
  <c r="P716" i="180"/>
  <c r="P718" i="180"/>
  <c r="P719" i="180"/>
  <c r="P720" i="180"/>
  <c r="P723" i="180"/>
  <c r="P725" i="180"/>
  <c r="P729" i="180"/>
  <c r="P730" i="180"/>
  <c r="P731" i="180"/>
  <c r="P734" i="180"/>
  <c r="P735" i="180"/>
  <c r="P736" i="180"/>
  <c r="P737" i="180"/>
  <c r="P740" i="180"/>
  <c r="P742" i="180"/>
  <c r="P743" i="180"/>
  <c r="P745" i="180"/>
  <c r="P747" i="180"/>
  <c r="P749" i="180"/>
  <c r="P751" i="180"/>
  <c r="P754" i="180"/>
  <c r="P756" i="180"/>
  <c r="P758" i="180"/>
  <c r="P761" i="180"/>
  <c r="P768" i="180"/>
  <c r="P769" i="180"/>
  <c r="P770" i="180"/>
  <c r="P771" i="180"/>
  <c r="P772" i="180"/>
  <c r="P773" i="180"/>
  <c r="P774" i="180"/>
  <c r="P775" i="180"/>
  <c r="P776" i="180"/>
  <c r="P777" i="180"/>
  <c r="P778" i="180"/>
  <c r="P780" i="180"/>
  <c r="P781" i="180"/>
  <c r="P782" i="180"/>
  <c r="P784" i="180"/>
  <c r="P785" i="180"/>
  <c r="P787" i="180"/>
  <c r="P788" i="180"/>
  <c r="P790" i="180"/>
  <c r="P791" i="180"/>
  <c r="P793" i="180"/>
  <c r="P794" i="180"/>
  <c r="P796" i="180"/>
  <c r="P798" i="180"/>
  <c r="P799" i="180"/>
  <c r="P800" i="180"/>
  <c r="P802" i="180"/>
  <c r="P803" i="180"/>
  <c r="P804" i="180"/>
  <c r="P805" i="180"/>
  <c r="P806" i="180"/>
  <c r="P807" i="180"/>
  <c r="P808" i="180"/>
  <c r="P809" i="180"/>
  <c r="P810" i="180"/>
  <c r="P811" i="180"/>
  <c r="P814" i="180"/>
  <c r="P815" i="180"/>
  <c r="P817" i="180"/>
  <c r="P818" i="180"/>
  <c r="P819" i="180"/>
  <c r="P822" i="180"/>
  <c r="P824" i="180"/>
  <c r="P825" i="180"/>
  <c r="P826" i="180"/>
  <c r="P827" i="180"/>
  <c r="P828" i="180"/>
  <c r="P829" i="180"/>
  <c r="P830" i="180"/>
  <c r="P832" i="180"/>
  <c r="P833" i="180"/>
  <c r="O7" i="180"/>
  <c r="O9" i="180"/>
  <c r="O10" i="180"/>
  <c r="O12" i="180"/>
  <c r="O13" i="180"/>
  <c r="O14" i="180"/>
  <c r="O15" i="180"/>
  <c r="O16" i="180"/>
  <c r="O17" i="180"/>
  <c r="O19" i="180"/>
  <c r="O21" i="180"/>
  <c r="O23" i="180"/>
  <c r="O24" i="180"/>
  <c r="O25" i="180"/>
  <c r="O27" i="180"/>
  <c r="O29" i="180"/>
  <c r="O31" i="180"/>
  <c r="O33" i="180"/>
  <c r="O34" i="180"/>
  <c r="O36" i="180"/>
  <c r="O38" i="180"/>
  <c r="O41" i="180"/>
  <c r="O43" i="180"/>
  <c r="O44" i="180"/>
  <c r="O49" i="180"/>
  <c r="O50" i="180"/>
  <c r="O51" i="180"/>
  <c r="O52" i="180"/>
  <c r="O53" i="180"/>
  <c r="O54" i="180"/>
  <c r="O57" i="180"/>
  <c r="O58" i="180"/>
  <c r="O59" i="180"/>
  <c r="O60" i="180"/>
  <c r="O61" i="180"/>
  <c r="O62" i="180"/>
  <c r="O64" i="180"/>
  <c r="O66" i="180"/>
  <c r="O68" i="180"/>
  <c r="O69" i="180"/>
  <c r="O70" i="180"/>
  <c r="O71" i="180"/>
  <c r="O72" i="180"/>
  <c r="O73" i="180"/>
  <c r="O74" i="180"/>
  <c r="O75" i="180"/>
  <c r="O76" i="180"/>
  <c r="O77" i="180"/>
  <c r="O78" i="180"/>
  <c r="O79" i="180"/>
  <c r="O80" i="180"/>
  <c r="O81" i="180"/>
  <c r="O82" i="180"/>
  <c r="O83" i="180"/>
  <c r="O84" i="180"/>
  <c r="O85" i="180"/>
  <c r="O87" i="180"/>
  <c r="O88" i="180"/>
  <c r="O89" i="180"/>
  <c r="O90" i="180"/>
  <c r="O91" i="180"/>
  <c r="O92" i="180"/>
  <c r="O93" i="180"/>
  <c r="O94" i="180"/>
  <c r="O95" i="180"/>
  <c r="O97" i="180"/>
  <c r="O98" i="180"/>
  <c r="O99" i="180"/>
  <c r="O102" i="180"/>
  <c r="O103" i="180"/>
  <c r="O105" i="180"/>
  <c r="O107" i="180"/>
  <c r="O108" i="180"/>
  <c r="O110" i="180"/>
  <c r="O111" i="180"/>
  <c r="O112" i="180"/>
  <c r="O114" i="180"/>
  <c r="O116" i="180"/>
  <c r="O119" i="180"/>
  <c r="O120" i="180"/>
  <c r="O121" i="180"/>
  <c r="O123" i="180"/>
  <c r="O124" i="180"/>
  <c r="O125" i="180"/>
  <c r="O126" i="180"/>
  <c r="O128" i="180"/>
  <c r="O129" i="180"/>
  <c r="O130" i="180"/>
  <c r="O131" i="180"/>
  <c r="O132" i="180"/>
  <c r="O133" i="180"/>
  <c r="O134" i="180"/>
  <c r="O135" i="180"/>
  <c r="O136" i="180"/>
  <c r="O138" i="180"/>
  <c r="O139" i="180"/>
  <c r="O140" i="180"/>
  <c r="O141" i="180"/>
  <c r="O142" i="180"/>
  <c r="O143" i="180"/>
  <c r="O144" i="180"/>
  <c r="O145" i="180"/>
  <c r="O146" i="180"/>
  <c r="O147" i="180"/>
  <c r="O148" i="180"/>
  <c r="O149" i="180"/>
  <c r="O150" i="180"/>
  <c r="O151" i="180"/>
  <c r="O152" i="180"/>
  <c r="O153" i="180"/>
  <c r="O154" i="180"/>
  <c r="O155" i="180"/>
  <c r="O156" i="180"/>
  <c r="O157" i="180"/>
  <c r="O158" i="180"/>
  <c r="O159" i="180"/>
  <c r="O160" i="180"/>
  <c r="O161" i="180"/>
  <c r="O162" i="180"/>
  <c r="O163" i="180"/>
  <c r="O164" i="180"/>
  <c r="O165" i="180"/>
  <c r="O166" i="180"/>
  <c r="O168" i="180"/>
  <c r="O169" i="180"/>
  <c r="O170" i="180"/>
  <c r="O175" i="180"/>
  <c r="O176" i="180"/>
  <c r="O177" i="180"/>
  <c r="O178" i="180"/>
  <c r="O179" i="180"/>
  <c r="O180" i="180"/>
  <c r="O181" i="180"/>
  <c r="O182" i="180"/>
  <c r="O183" i="180"/>
  <c r="O184" i="180"/>
  <c r="O185" i="180"/>
  <c r="O186" i="180"/>
  <c r="O188" i="180"/>
  <c r="O189" i="180"/>
  <c r="O190" i="180"/>
  <c r="O191" i="180"/>
  <c r="O192" i="180"/>
  <c r="O193" i="180"/>
  <c r="O194" i="180"/>
  <c r="O195" i="180"/>
  <c r="O197" i="180"/>
  <c r="O199" i="180"/>
  <c r="O200" i="180"/>
  <c r="O201" i="180"/>
  <c r="O204" i="180"/>
  <c r="O205" i="180"/>
  <c r="O206" i="180"/>
  <c r="O207" i="180"/>
  <c r="O208" i="180"/>
  <c r="O210" i="180"/>
  <c r="O213" i="180"/>
  <c r="O214" i="180"/>
  <c r="O215" i="180"/>
  <c r="O216" i="180"/>
  <c r="O217" i="180"/>
  <c r="O218" i="180"/>
  <c r="O219" i="180"/>
  <c r="O220" i="180"/>
  <c r="O221" i="180"/>
  <c r="O225" i="180"/>
  <c r="O226" i="180"/>
  <c r="O227" i="180"/>
  <c r="O228" i="180"/>
  <c r="O232" i="180"/>
  <c r="O233" i="180"/>
  <c r="O237" i="180"/>
  <c r="O238" i="180"/>
  <c r="O239" i="180"/>
  <c r="O240" i="180"/>
  <c r="O241" i="180"/>
  <c r="O242" i="180"/>
  <c r="O243" i="180"/>
  <c r="O244" i="180"/>
  <c r="O245" i="180"/>
  <c r="O246" i="180"/>
  <c r="O247" i="180"/>
  <c r="O248" i="180"/>
  <c r="O249" i="180"/>
  <c r="O250" i="180"/>
  <c r="O251" i="180"/>
  <c r="O252" i="180"/>
  <c r="O253" i="180"/>
  <c r="O254" i="180"/>
  <c r="O255" i="180"/>
  <c r="O256" i="180"/>
  <c r="O257" i="180"/>
  <c r="O258" i="180"/>
  <c r="O259" i="180"/>
  <c r="O260" i="180"/>
  <c r="O261" i="180"/>
  <c r="O262" i="180"/>
  <c r="O264" i="180"/>
  <c r="O265" i="180"/>
  <c r="O266" i="180"/>
  <c r="O267" i="180"/>
  <c r="O268" i="180"/>
  <c r="O269" i="180"/>
  <c r="O270" i="180"/>
  <c r="O271" i="180"/>
  <c r="O272" i="180"/>
  <c r="O273" i="180"/>
  <c r="O274" i="180"/>
  <c r="O275" i="180"/>
  <c r="O276" i="180"/>
  <c r="O277" i="180"/>
  <c r="O278" i="180"/>
  <c r="O279" i="180"/>
  <c r="O281" i="180"/>
  <c r="O283" i="180"/>
  <c r="O284" i="180"/>
  <c r="O285" i="180"/>
  <c r="O287" i="180"/>
  <c r="O288" i="180"/>
  <c r="O289" i="180"/>
  <c r="O290" i="180"/>
  <c r="O291" i="180"/>
  <c r="O292" i="180"/>
  <c r="O293" i="180"/>
  <c r="O294" i="180"/>
  <c r="O295" i="180"/>
  <c r="O296" i="180"/>
  <c r="O297" i="180"/>
  <c r="O298" i="180"/>
  <c r="O299" i="180"/>
  <c r="O300" i="180"/>
  <c r="O301" i="180"/>
  <c r="O302" i="180"/>
  <c r="O304" i="180"/>
  <c r="O306" i="180"/>
  <c r="O307" i="180"/>
  <c r="O308" i="180"/>
  <c r="O309" i="180"/>
  <c r="O310" i="180"/>
  <c r="O311" i="180"/>
  <c r="O312" i="180"/>
  <c r="O313" i="180"/>
  <c r="O314" i="180"/>
  <c r="O315" i="180"/>
  <c r="O316" i="180"/>
  <c r="O317" i="180"/>
  <c r="O318" i="180"/>
  <c r="O319" i="180"/>
  <c r="O320" i="180"/>
  <c r="O321" i="180"/>
  <c r="O322" i="180"/>
  <c r="O323" i="180"/>
  <c r="O327" i="180"/>
  <c r="O329" i="180"/>
  <c r="O330" i="180"/>
  <c r="O331" i="180"/>
  <c r="O332" i="180"/>
  <c r="O334" i="180"/>
  <c r="O335" i="180"/>
  <c r="O336" i="180"/>
  <c r="O338" i="180"/>
  <c r="O339" i="180"/>
  <c r="O340" i="180"/>
  <c r="O341" i="180"/>
  <c r="O342" i="180"/>
  <c r="O343" i="180"/>
  <c r="O344" i="180"/>
  <c r="O346" i="180"/>
  <c r="O348" i="180"/>
  <c r="O350" i="180"/>
  <c r="O354" i="180"/>
  <c r="O355" i="180"/>
  <c r="O356" i="180"/>
  <c r="O357" i="180"/>
  <c r="O358" i="180"/>
  <c r="O359" i="180"/>
  <c r="O360" i="180"/>
  <c r="O361" i="180"/>
  <c r="O363" i="180"/>
  <c r="O364" i="180"/>
  <c r="O365" i="180"/>
  <c r="O366" i="180"/>
  <c r="O367" i="180"/>
  <c r="O369" i="180"/>
  <c r="O371" i="180"/>
  <c r="O372" i="180"/>
  <c r="O373" i="180"/>
  <c r="O374" i="180"/>
  <c r="O375" i="180"/>
  <c r="O376" i="180"/>
  <c r="O378" i="180"/>
  <c r="O379" i="180"/>
  <c r="O380" i="180"/>
  <c r="O381" i="180"/>
  <c r="O383" i="180"/>
  <c r="O384" i="180"/>
  <c r="O385" i="180"/>
  <c r="O386" i="180"/>
  <c r="O387" i="180"/>
  <c r="O388" i="180"/>
  <c r="O389" i="180"/>
  <c r="O390" i="180"/>
  <c r="O391" i="180"/>
  <c r="O392" i="180"/>
  <c r="O393" i="180"/>
  <c r="O394" i="180"/>
  <c r="O395" i="180"/>
  <c r="O396" i="180"/>
  <c r="O397" i="180"/>
  <c r="O398" i="180"/>
  <c r="O399" i="180"/>
  <c r="O400" i="180"/>
  <c r="O401" i="180"/>
  <c r="O402" i="180"/>
  <c r="O403" i="180"/>
  <c r="O404" i="180"/>
  <c r="O405" i="180"/>
  <c r="O406" i="180"/>
  <c r="O407" i="180"/>
  <c r="O408" i="180"/>
  <c r="O409" i="180"/>
  <c r="O410" i="180"/>
  <c r="O411" i="180"/>
  <c r="O412" i="180"/>
  <c r="O413" i="180"/>
  <c r="O414" i="180"/>
  <c r="O415" i="180"/>
  <c r="O416" i="180"/>
  <c r="O417" i="180"/>
  <c r="O418" i="180"/>
  <c r="O419" i="180"/>
  <c r="O420" i="180"/>
  <c r="O421" i="180"/>
  <c r="O422" i="180"/>
  <c r="O423" i="180"/>
  <c r="O424" i="180"/>
  <c r="O425" i="180"/>
  <c r="O426" i="180"/>
  <c r="O427" i="180"/>
  <c r="O428" i="180"/>
  <c r="O429" i="180"/>
  <c r="O430" i="180"/>
  <c r="O431" i="180"/>
  <c r="O432" i="180"/>
  <c r="O433" i="180"/>
  <c r="O434" i="180"/>
  <c r="O436" i="180"/>
  <c r="O437" i="180"/>
  <c r="O438" i="180"/>
  <c r="O439" i="180"/>
  <c r="O440" i="180"/>
  <c r="O441" i="180"/>
  <c r="O442" i="180"/>
  <c r="O443" i="180"/>
  <c r="O445" i="180"/>
  <c r="O446" i="180"/>
  <c r="O447" i="180"/>
  <c r="O448" i="180"/>
  <c r="O449" i="180"/>
  <c r="O450" i="180"/>
  <c r="O451" i="180"/>
  <c r="O452" i="180"/>
  <c r="O453" i="180"/>
  <c r="O454" i="180"/>
  <c r="O455" i="180"/>
  <c r="O456" i="180"/>
  <c r="O457" i="180"/>
  <c r="O458" i="180"/>
  <c r="O460" i="180"/>
  <c r="O461" i="180"/>
  <c r="O462" i="180"/>
  <c r="O463" i="180"/>
  <c r="O464" i="180"/>
  <c r="O467" i="180"/>
  <c r="O469" i="180"/>
  <c r="O470" i="180"/>
  <c r="O472" i="180"/>
  <c r="O473" i="180"/>
  <c r="O474" i="180"/>
  <c r="O475" i="180"/>
  <c r="O476" i="180"/>
  <c r="O477" i="180"/>
  <c r="O481" i="180"/>
  <c r="O482" i="180"/>
  <c r="O483" i="180"/>
  <c r="O484" i="180"/>
  <c r="O485" i="180"/>
  <c r="O486" i="180"/>
  <c r="O487" i="180"/>
  <c r="O489" i="180"/>
  <c r="O491" i="180"/>
  <c r="O495" i="180"/>
  <c r="O496" i="180"/>
  <c r="O498" i="180"/>
  <c r="O499" i="180"/>
  <c r="O500" i="180"/>
  <c r="O501" i="180"/>
  <c r="O502" i="180"/>
  <c r="O504" i="180"/>
  <c r="O506" i="180"/>
  <c r="O507" i="180"/>
  <c r="O509" i="180"/>
  <c r="O510" i="180"/>
  <c r="O511" i="180"/>
  <c r="O514" i="180"/>
  <c r="O515" i="180"/>
  <c r="O516" i="180"/>
  <c r="O517" i="180"/>
  <c r="O518" i="180"/>
  <c r="O519" i="180"/>
  <c r="O520" i="180"/>
  <c r="O521" i="180"/>
  <c r="O522" i="180"/>
  <c r="O523" i="180"/>
  <c r="O524" i="180"/>
  <c r="O525" i="180"/>
  <c r="O526" i="180"/>
  <c r="O527" i="180"/>
  <c r="O528" i="180"/>
  <c r="O529" i="180"/>
  <c r="O530" i="180"/>
  <c r="O531" i="180"/>
  <c r="O532" i="180"/>
  <c r="O533" i="180"/>
  <c r="O534" i="180"/>
  <c r="O535" i="180"/>
  <c r="O536" i="180"/>
  <c r="O537" i="180"/>
  <c r="O538" i="180"/>
  <c r="O539" i="180"/>
  <c r="O540" i="180"/>
  <c r="O541" i="180"/>
  <c r="O543" i="180"/>
  <c r="O544" i="180"/>
  <c r="O545" i="180"/>
  <c r="O546" i="180"/>
  <c r="O547" i="180"/>
  <c r="O549" i="180"/>
  <c r="O551" i="180"/>
  <c r="O552" i="180"/>
  <c r="O555" i="180"/>
  <c r="O556" i="180"/>
  <c r="O557" i="180"/>
  <c r="O560" i="180"/>
  <c r="O564" i="180"/>
  <c r="O565" i="180"/>
  <c r="O566" i="180"/>
  <c r="O567" i="180"/>
  <c r="O568" i="180"/>
  <c r="O569" i="180"/>
  <c r="O570" i="180"/>
  <c r="O571" i="180"/>
  <c r="O572" i="180"/>
  <c r="O576" i="180"/>
  <c r="O577" i="180"/>
  <c r="O578" i="180"/>
  <c r="O579" i="180"/>
  <c r="O580" i="180"/>
  <c r="O581" i="180"/>
  <c r="O582" i="180"/>
  <c r="O583" i="180"/>
  <c r="O584" i="180"/>
  <c r="O585" i="180"/>
  <c r="O586" i="180"/>
  <c r="O590" i="180"/>
  <c r="O591" i="180"/>
  <c r="O592" i="180"/>
  <c r="O593" i="180"/>
  <c r="O594" i="180"/>
  <c r="O595" i="180"/>
  <c r="O596" i="180"/>
  <c r="O597" i="180"/>
  <c r="O598" i="180"/>
  <c r="O599" i="180"/>
  <c r="O600" i="180"/>
  <c r="O601" i="180"/>
  <c r="O602" i="180"/>
  <c r="O603" i="180"/>
  <c r="O604" i="180"/>
  <c r="O605" i="180"/>
  <c r="O606" i="180"/>
  <c r="O607" i="180"/>
  <c r="O608" i="180"/>
  <c r="O609" i="180"/>
  <c r="O610" i="180"/>
  <c r="O611" i="180"/>
  <c r="O612" i="180"/>
  <c r="O613" i="180"/>
  <c r="O614" i="180"/>
  <c r="O615" i="180"/>
  <c r="O616" i="180"/>
  <c r="O617" i="180"/>
  <c r="O618" i="180"/>
  <c r="O619" i="180"/>
  <c r="O620" i="180"/>
  <c r="O621" i="180"/>
  <c r="O622" i="180"/>
  <c r="O623" i="180"/>
  <c r="O624" i="180"/>
  <c r="O625" i="180"/>
  <c r="O626" i="180"/>
  <c r="O627" i="180"/>
  <c r="O628" i="180"/>
  <c r="O629" i="180"/>
  <c r="O630" i="180"/>
  <c r="O631" i="180"/>
  <c r="O632" i="180"/>
  <c r="O633" i="180"/>
  <c r="O634" i="180"/>
  <c r="O635" i="180"/>
  <c r="O636" i="180"/>
  <c r="O637" i="180"/>
  <c r="O638" i="180"/>
  <c r="O639" i="180"/>
  <c r="O640" i="180"/>
  <c r="O641" i="180"/>
  <c r="O642" i="180"/>
  <c r="O643" i="180"/>
  <c r="O644" i="180"/>
  <c r="O645" i="180"/>
  <c r="O646" i="180"/>
  <c r="O647" i="180"/>
  <c r="O648" i="180"/>
  <c r="O649" i="180"/>
  <c r="O651" i="180"/>
  <c r="O652" i="180"/>
  <c r="O653" i="180"/>
  <c r="O654" i="180"/>
  <c r="O655" i="180"/>
  <c r="O656" i="180"/>
  <c r="O659" i="180"/>
  <c r="O660" i="180"/>
  <c r="O661" i="180"/>
  <c r="O662" i="180"/>
  <c r="O664" i="180"/>
  <c r="O665" i="180"/>
  <c r="O666" i="180"/>
  <c r="O670" i="180"/>
  <c r="O671" i="180"/>
  <c r="O672" i="180"/>
  <c r="O673" i="180"/>
  <c r="O674" i="180"/>
  <c r="O675" i="180"/>
  <c r="O676" i="180"/>
  <c r="O680" i="180"/>
  <c r="O681" i="180"/>
  <c r="O682" i="180"/>
  <c r="O683" i="180"/>
  <c r="O684" i="180"/>
  <c r="O685" i="180"/>
  <c r="O686" i="180"/>
  <c r="O687" i="180"/>
  <c r="O689" i="180"/>
  <c r="O692" i="180"/>
  <c r="O693" i="180"/>
  <c r="O694" i="180"/>
  <c r="O695" i="180"/>
  <c r="O697" i="180"/>
  <c r="O698" i="180"/>
  <c r="O699" i="180"/>
  <c r="O700" i="180"/>
  <c r="O701" i="180"/>
  <c r="O705" i="180"/>
  <c r="O706" i="180"/>
  <c r="O707" i="180"/>
  <c r="O708" i="180"/>
  <c r="O710" i="180"/>
  <c r="O711" i="180"/>
  <c r="O713" i="180"/>
  <c r="O714" i="180"/>
  <c r="O715" i="180"/>
  <c r="O716" i="180"/>
  <c r="O718" i="180"/>
  <c r="O719" i="180"/>
  <c r="O720" i="180"/>
  <c r="O723" i="180"/>
  <c r="O725" i="180"/>
  <c r="O729" i="180"/>
  <c r="O730" i="180"/>
  <c r="O731" i="180"/>
  <c r="O732" i="180"/>
  <c r="O734" i="180"/>
  <c r="O735" i="180"/>
  <c r="O736" i="180"/>
  <c r="O737" i="180"/>
  <c r="O740" i="180"/>
  <c r="O742" i="180"/>
  <c r="O743" i="180"/>
  <c r="O745" i="180"/>
  <c r="O747" i="180"/>
  <c r="O749" i="180"/>
  <c r="O751" i="180"/>
  <c r="O752" i="180"/>
  <c r="O754" i="180"/>
  <c r="O756" i="180"/>
  <c r="O758" i="180"/>
  <c r="O761" i="180"/>
  <c r="O768" i="180"/>
  <c r="O769" i="180"/>
  <c r="O770" i="180"/>
  <c r="O771" i="180"/>
  <c r="O772" i="180"/>
  <c r="O773" i="180"/>
  <c r="O774" i="180"/>
  <c r="O775" i="180"/>
  <c r="O776" i="180"/>
  <c r="O777" i="180"/>
  <c r="O778" i="180"/>
  <c r="O780" i="180"/>
  <c r="O781" i="180"/>
  <c r="O782" i="180"/>
  <c r="O784" i="180"/>
  <c r="O785" i="180"/>
  <c r="O787" i="180"/>
  <c r="O788" i="180"/>
  <c r="O790" i="180"/>
  <c r="O791" i="180"/>
  <c r="O793" i="180"/>
  <c r="O794" i="180"/>
  <c r="O796" i="180"/>
  <c r="O798" i="180"/>
  <c r="O799" i="180"/>
  <c r="O800" i="180"/>
  <c r="O802" i="180"/>
  <c r="O803" i="180"/>
  <c r="O804" i="180"/>
  <c r="O805" i="180"/>
  <c r="O806" i="180"/>
  <c r="O807" i="180"/>
  <c r="O808" i="180"/>
  <c r="O809" i="180"/>
  <c r="O810" i="180"/>
  <c r="O811" i="180"/>
  <c r="O814" i="180"/>
  <c r="O815" i="180"/>
  <c r="O817" i="180"/>
  <c r="O818" i="180"/>
  <c r="O819" i="180"/>
  <c r="O822" i="180"/>
  <c r="O824" i="180"/>
  <c r="O825" i="180"/>
  <c r="O826" i="180"/>
  <c r="O827" i="180"/>
  <c r="O828" i="180"/>
  <c r="O829" i="180"/>
  <c r="O830" i="180"/>
  <c r="O832" i="180"/>
  <c r="O833" i="180"/>
  <c r="N7" i="180"/>
  <c r="N9" i="180"/>
  <c r="N10" i="180"/>
  <c r="N12" i="180"/>
  <c r="N13" i="180"/>
  <c r="N14" i="180"/>
  <c r="N15" i="180"/>
  <c r="N16" i="180"/>
  <c r="N17" i="180"/>
  <c r="N19" i="180"/>
  <c r="N21" i="180"/>
  <c r="N23" i="180"/>
  <c r="N24" i="180"/>
  <c r="N25" i="180"/>
  <c r="N27" i="180"/>
  <c r="N29" i="180"/>
  <c r="N31" i="180"/>
  <c r="N33" i="180"/>
  <c r="N34" i="180"/>
  <c r="N36" i="180"/>
  <c r="N38" i="180"/>
  <c r="N41" i="180"/>
  <c r="N43" i="180"/>
  <c r="N44" i="180"/>
  <c r="N49" i="180"/>
  <c r="N50" i="180"/>
  <c r="N51" i="180"/>
  <c r="N52" i="180"/>
  <c r="N53" i="180"/>
  <c r="N54" i="180"/>
  <c r="N57" i="180"/>
  <c r="N58" i="180"/>
  <c r="N59" i="180"/>
  <c r="N60" i="180"/>
  <c r="N61" i="180"/>
  <c r="N62" i="180"/>
  <c r="N64" i="180"/>
  <c r="N66" i="180"/>
  <c r="N68" i="180"/>
  <c r="N69" i="180"/>
  <c r="N70" i="180"/>
  <c r="N71" i="180"/>
  <c r="N72" i="180"/>
  <c r="N73" i="180"/>
  <c r="N74" i="180"/>
  <c r="N75" i="180"/>
  <c r="N76" i="180"/>
  <c r="N77" i="180"/>
  <c r="N78" i="180"/>
  <c r="N79" i="180"/>
  <c r="N80" i="180"/>
  <c r="N81" i="180"/>
  <c r="N82" i="180"/>
  <c r="N83" i="180"/>
  <c r="N84" i="180"/>
  <c r="N85" i="180"/>
  <c r="N87" i="180"/>
  <c r="N88" i="180"/>
  <c r="N89" i="180"/>
  <c r="N90" i="180"/>
  <c r="N91" i="180"/>
  <c r="N92" i="180"/>
  <c r="N93" i="180"/>
  <c r="N94" i="180"/>
  <c r="N95" i="180"/>
  <c r="N97" i="180"/>
  <c r="N98" i="180"/>
  <c r="N99" i="180"/>
  <c r="N102" i="180"/>
  <c r="N103" i="180"/>
  <c r="N105" i="180"/>
  <c r="N107" i="180"/>
  <c r="N108" i="180"/>
  <c r="N110" i="180"/>
  <c r="N111" i="180"/>
  <c r="N112" i="180"/>
  <c r="N114" i="180"/>
  <c r="N116" i="180"/>
  <c r="N119" i="180"/>
  <c r="N120" i="180"/>
  <c r="N121" i="180"/>
  <c r="N123" i="180"/>
  <c r="N124" i="180"/>
  <c r="N125" i="180"/>
  <c r="N126" i="180"/>
  <c r="N128" i="180"/>
  <c r="N129" i="180"/>
  <c r="N130" i="180"/>
  <c r="N131" i="180"/>
  <c r="N132" i="180"/>
  <c r="N133" i="180"/>
  <c r="N134" i="180"/>
  <c r="N135" i="180"/>
  <c r="N136" i="180"/>
  <c r="N138" i="180"/>
  <c r="N139" i="180"/>
  <c r="N140" i="180"/>
  <c r="N141" i="180"/>
  <c r="N142" i="180"/>
  <c r="N143" i="180"/>
  <c r="N144" i="180"/>
  <c r="N145" i="180"/>
  <c r="N146" i="180"/>
  <c r="N147" i="180"/>
  <c r="N148" i="180"/>
  <c r="N149" i="180"/>
  <c r="N150" i="180"/>
  <c r="N151" i="180"/>
  <c r="N152" i="180"/>
  <c r="N153" i="180"/>
  <c r="N154" i="180"/>
  <c r="N155" i="180"/>
  <c r="N156" i="180"/>
  <c r="N157" i="180"/>
  <c r="N158" i="180"/>
  <c r="N159" i="180"/>
  <c r="N160" i="180"/>
  <c r="N161" i="180"/>
  <c r="N162" i="180"/>
  <c r="N163" i="180"/>
  <c r="N164" i="180"/>
  <c r="N165" i="180"/>
  <c r="N166" i="180"/>
  <c r="N168" i="180"/>
  <c r="N169" i="180"/>
  <c r="N170" i="180"/>
  <c r="N176" i="180"/>
  <c r="N177" i="180"/>
  <c r="N178" i="180"/>
  <c r="N179" i="180"/>
  <c r="N180" i="180"/>
  <c r="N183" i="180"/>
  <c r="N184" i="180"/>
  <c r="N185" i="180"/>
  <c r="N186" i="180"/>
  <c r="N190" i="180"/>
  <c r="N192" i="180"/>
  <c r="N194" i="180"/>
  <c r="N195" i="180"/>
  <c r="N197" i="180"/>
  <c r="N199" i="180"/>
  <c r="N200" i="180"/>
  <c r="N201" i="180"/>
  <c r="N204" i="180"/>
  <c r="N205" i="180"/>
  <c r="N206" i="180"/>
  <c r="N207" i="180"/>
  <c r="N208" i="180"/>
  <c r="N210" i="180"/>
  <c r="N213" i="180"/>
  <c r="N214" i="180"/>
  <c r="N216" i="180"/>
  <c r="N217" i="180"/>
  <c r="N218" i="180"/>
  <c r="N219" i="180"/>
  <c r="N220" i="180"/>
  <c r="N221" i="180"/>
  <c r="N225" i="180"/>
  <c r="N226" i="180"/>
  <c r="N227" i="180"/>
  <c r="N228" i="180"/>
  <c r="N232" i="180"/>
  <c r="N237" i="180"/>
  <c r="N238" i="180"/>
  <c r="N239" i="180"/>
  <c r="N240" i="180"/>
  <c r="N241" i="180"/>
  <c r="N242" i="180"/>
  <c r="N243" i="180"/>
  <c r="N244" i="180"/>
  <c r="N245" i="180"/>
  <c r="N246" i="180"/>
  <c r="N247" i="180"/>
  <c r="N248" i="180"/>
  <c r="N249" i="180"/>
  <c r="N250" i="180"/>
  <c r="N251" i="180"/>
  <c r="N252" i="180"/>
  <c r="N253" i="180"/>
  <c r="N254" i="180"/>
  <c r="N255" i="180"/>
  <c r="N256" i="180"/>
  <c r="N257" i="180"/>
  <c r="N258" i="180"/>
  <c r="N259" i="180"/>
  <c r="N260" i="180"/>
  <c r="N261" i="180"/>
  <c r="N262" i="180"/>
  <c r="N264" i="180"/>
  <c r="N265" i="180"/>
  <c r="N266" i="180"/>
  <c r="N267" i="180"/>
  <c r="N268" i="180"/>
  <c r="N269" i="180"/>
  <c r="N270" i="180"/>
  <c r="N271" i="180"/>
  <c r="N272" i="180"/>
  <c r="N273" i="180"/>
  <c r="N274" i="180"/>
  <c r="N275" i="180"/>
  <c r="N276" i="180"/>
  <c r="N277" i="180"/>
  <c r="N278" i="180"/>
  <c r="N279" i="180"/>
  <c r="N281" i="180"/>
  <c r="N283" i="180"/>
  <c r="N284" i="180"/>
  <c r="N285" i="180"/>
  <c r="N287" i="180"/>
  <c r="N288" i="180"/>
  <c r="N289" i="180"/>
  <c r="N290" i="180"/>
  <c r="N291" i="180"/>
  <c r="N292" i="180"/>
  <c r="N293" i="180"/>
  <c r="N294" i="180"/>
  <c r="N295" i="180"/>
  <c r="N296" i="180"/>
  <c r="N297" i="180"/>
  <c r="N298" i="180"/>
  <c r="N299" i="180"/>
  <c r="N300" i="180"/>
  <c r="N301" i="180"/>
  <c r="N302" i="180"/>
  <c r="N304" i="180"/>
  <c r="N306" i="180"/>
  <c r="N307" i="180"/>
  <c r="N308" i="180"/>
  <c r="N309" i="180"/>
  <c r="N310" i="180"/>
  <c r="N311" i="180"/>
  <c r="N312" i="180"/>
  <c r="N313" i="180"/>
  <c r="N314" i="180"/>
  <c r="N315" i="180"/>
  <c r="N316" i="180"/>
  <c r="N317" i="180"/>
  <c r="N318" i="180"/>
  <c r="N319" i="180"/>
  <c r="N320" i="180"/>
  <c r="N321" i="180"/>
  <c r="N322" i="180"/>
  <c r="N323" i="180"/>
  <c r="N327" i="180"/>
  <c r="N329" i="180"/>
  <c r="N330" i="180"/>
  <c r="N331" i="180"/>
  <c r="N332" i="180"/>
  <c r="N334" i="180"/>
  <c r="N335" i="180"/>
  <c r="N336" i="180"/>
  <c r="N338" i="180"/>
  <c r="N339" i="180"/>
  <c r="N340" i="180"/>
  <c r="N341" i="180"/>
  <c r="N342" i="180"/>
  <c r="N343" i="180"/>
  <c r="N344" i="180"/>
  <c r="N346" i="180"/>
  <c r="N348" i="180"/>
  <c r="N350" i="180"/>
  <c r="N354" i="180"/>
  <c r="N355" i="180"/>
  <c r="N356" i="180"/>
  <c r="N357" i="180"/>
  <c r="N358" i="180"/>
  <c r="N359" i="180"/>
  <c r="N360" i="180"/>
  <c r="N361" i="180"/>
  <c r="N363" i="180"/>
  <c r="N364" i="180"/>
  <c r="N365" i="180"/>
  <c r="N366" i="180"/>
  <c r="N367" i="180"/>
  <c r="N369" i="180"/>
  <c r="N371" i="180"/>
  <c r="N372" i="180"/>
  <c r="N373" i="180"/>
  <c r="N374" i="180"/>
  <c r="N375" i="180"/>
  <c r="N376" i="180"/>
  <c r="N378" i="180"/>
  <c r="N379" i="180"/>
  <c r="N380" i="180"/>
  <c r="N381" i="180"/>
  <c r="N383" i="180"/>
  <c r="N384" i="180"/>
  <c r="N385" i="180"/>
  <c r="N386" i="180"/>
  <c r="N387" i="180"/>
  <c r="N388" i="180"/>
  <c r="N389" i="180"/>
  <c r="N390" i="180"/>
  <c r="N391" i="180"/>
  <c r="N392" i="180"/>
  <c r="N393" i="180"/>
  <c r="N394" i="180"/>
  <c r="N395" i="180"/>
  <c r="N396" i="180"/>
  <c r="N397" i="180"/>
  <c r="N398" i="180"/>
  <c r="N399" i="180"/>
  <c r="N400" i="180"/>
  <c r="N401" i="180"/>
  <c r="N402" i="180"/>
  <c r="N403" i="180"/>
  <c r="N404" i="180"/>
  <c r="N405" i="180"/>
  <c r="N406" i="180"/>
  <c r="N407" i="180"/>
  <c r="N408" i="180"/>
  <c r="N409" i="180"/>
  <c r="N410" i="180"/>
  <c r="N411" i="180"/>
  <c r="N412" i="180"/>
  <c r="N413" i="180"/>
  <c r="N414" i="180"/>
  <c r="N415" i="180"/>
  <c r="N416" i="180"/>
  <c r="N417" i="180"/>
  <c r="N418" i="180"/>
  <c r="N419" i="180"/>
  <c r="N420" i="180"/>
  <c r="N421" i="180"/>
  <c r="N422" i="180"/>
  <c r="N423" i="180"/>
  <c r="N424" i="180"/>
  <c r="N425" i="180"/>
  <c r="N426" i="180"/>
  <c r="N427" i="180"/>
  <c r="N428" i="180"/>
  <c r="N429" i="180"/>
  <c r="N430" i="180"/>
  <c r="N431" i="180"/>
  <c r="N432" i="180"/>
  <c r="N433" i="180"/>
  <c r="N434" i="180"/>
  <c r="N436" i="180"/>
  <c r="N437" i="180"/>
  <c r="N438" i="180"/>
  <c r="N439" i="180"/>
  <c r="N440" i="180"/>
  <c r="N441" i="180"/>
  <c r="N442" i="180"/>
  <c r="N443" i="180"/>
  <c r="N445" i="180"/>
  <c r="N447" i="180"/>
  <c r="N448" i="180"/>
  <c r="N449" i="180"/>
  <c r="N450" i="180"/>
  <c r="N451" i="180"/>
  <c r="N452" i="180"/>
  <c r="N453" i="180"/>
  <c r="N454" i="180"/>
  <c r="N455" i="180"/>
  <c r="N456" i="180"/>
  <c r="N457" i="180"/>
  <c r="N458" i="180"/>
  <c r="N460" i="180"/>
  <c r="N461" i="180"/>
  <c r="N462" i="180"/>
  <c r="N463" i="180"/>
  <c r="N464" i="180"/>
  <c r="N467" i="180"/>
  <c r="N469" i="180"/>
  <c r="N470" i="180"/>
  <c r="N472" i="180"/>
  <c r="N473" i="180"/>
  <c r="N474" i="180"/>
  <c r="N475" i="180"/>
  <c r="N476" i="180"/>
  <c r="N477" i="180"/>
  <c r="N481" i="180"/>
  <c r="N482" i="180"/>
  <c r="N483" i="180"/>
  <c r="N484" i="180"/>
  <c r="N485" i="180"/>
  <c r="N486" i="180"/>
  <c r="N487" i="180"/>
  <c r="N489" i="180"/>
  <c r="N491" i="180"/>
  <c r="N495" i="180"/>
  <c r="N496" i="180"/>
  <c r="N498" i="180"/>
  <c r="N499" i="180"/>
  <c r="N500" i="180"/>
  <c r="N501" i="180"/>
  <c r="N502" i="180"/>
  <c r="N504" i="180"/>
  <c r="N506" i="180"/>
  <c r="N507" i="180"/>
  <c r="N509" i="180"/>
  <c r="N510" i="180"/>
  <c r="N511" i="180"/>
  <c r="N514" i="180"/>
  <c r="N515" i="180"/>
  <c r="N516" i="180"/>
  <c r="N517" i="180"/>
  <c r="N518" i="180"/>
  <c r="N519" i="180"/>
  <c r="N520" i="180"/>
  <c r="N521" i="180"/>
  <c r="N522" i="180"/>
  <c r="N523" i="180"/>
  <c r="N524" i="180"/>
  <c r="N525" i="180"/>
  <c r="N526" i="180"/>
  <c r="N527" i="180"/>
  <c r="N528" i="180"/>
  <c r="N529" i="180"/>
  <c r="N530" i="180"/>
  <c r="N531" i="180"/>
  <c r="N532" i="180"/>
  <c r="N533" i="180"/>
  <c r="N534" i="180"/>
  <c r="N535" i="180"/>
  <c r="N536" i="180"/>
  <c r="N537" i="180"/>
  <c r="N538" i="180"/>
  <c r="N539" i="180"/>
  <c r="N540" i="180"/>
  <c r="N541" i="180"/>
  <c r="N543" i="180"/>
  <c r="N544" i="180"/>
  <c r="N545" i="180"/>
  <c r="N546" i="180"/>
  <c r="N547" i="180"/>
  <c r="N549" i="180"/>
  <c r="N551" i="180"/>
  <c r="N552" i="180"/>
  <c r="N555" i="180"/>
  <c r="N556" i="180"/>
  <c r="N557" i="180"/>
  <c r="N560" i="180"/>
  <c r="N564" i="180"/>
  <c r="N565" i="180"/>
  <c r="N566" i="180"/>
  <c r="N568" i="180"/>
  <c r="N569" i="180"/>
  <c r="N570" i="180"/>
  <c r="N571" i="180"/>
  <c r="N576" i="180"/>
  <c r="N577" i="180"/>
  <c r="N578" i="180"/>
  <c r="N579" i="180"/>
  <c r="N580" i="180"/>
  <c r="N581" i="180"/>
  <c r="N582" i="180"/>
  <c r="N583" i="180"/>
  <c r="N584" i="180"/>
  <c r="N585" i="180"/>
  <c r="N586" i="180"/>
  <c r="N590" i="180"/>
  <c r="N591" i="180"/>
  <c r="N592" i="180"/>
  <c r="N593" i="180"/>
  <c r="N594" i="180"/>
  <c r="N595" i="180"/>
  <c r="N596" i="180"/>
  <c r="N597" i="180"/>
  <c r="N598" i="180"/>
  <c r="N599" i="180"/>
  <c r="N600" i="180"/>
  <c r="N601" i="180"/>
  <c r="N602" i="180"/>
  <c r="N603" i="180"/>
  <c r="N604" i="180"/>
  <c r="N605" i="180"/>
  <c r="N606" i="180"/>
  <c r="N607" i="180"/>
  <c r="N608" i="180"/>
  <c r="N609" i="180"/>
  <c r="N610" i="180"/>
  <c r="N611" i="180"/>
  <c r="N612" i="180"/>
  <c r="N613" i="180"/>
  <c r="N614" i="180"/>
  <c r="N615" i="180"/>
  <c r="N616" i="180"/>
  <c r="N617" i="180"/>
  <c r="N618" i="180"/>
  <c r="N619" i="180"/>
  <c r="N620" i="180"/>
  <c r="N621" i="180"/>
  <c r="N622" i="180"/>
  <c r="N623" i="180"/>
  <c r="N624" i="180"/>
  <c r="N625" i="180"/>
  <c r="N626" i="180"/>
  <c r="N627" i="180"/>
  <c r="N628" i="180"/>
  <c r="N629" i="180"/>
  <c r="N630" i="180"/>
  <c r="N631" i="180"/>
  <c r="N632" i="180"/>
  <c r="N633" i="180"/>
  <c r="N634" i="180"/>
  <c r="N635" i="180"/>
  <c r="N636" i="180"/>
  <c r="N637" i="180"/>
  <c r="N638" i="180"/>
  <c r="N639" i="180"/>
  <c r="N640" i="180"/>
  <c r="N641" i="180"/>
  <c r="N642" i="180"/>
  <c r="N643" i="180"/>
  <c r="N644" i="180"/>
  <c r="N645" i="180"/>
  <c r="N646" i="180"/>
  <c r="N647" i="180"/>
  <c r="N648" i="180"/>
  <c r="N649" i="180"/>
  <c r="N651" i="180"/>
  <c r="N652" i="180"/>
  <c r="N653" i="180"/>
  <c r="N654" i="180"/>
  <c r="N655" i="180"/>
  <c r="N656" i="180"/>
  <c r="N659" i="180"/>
  <c r="N660" i="180"/>
  <c r="N661" i="180"/>
  <c r="N662" i="180"/>
  <c r="N664" i="180"/>
  <c r="N665" i="180"/>
  <c r="N666" i="180"/>
  <c r="N670" i="180"/>
  <c r="N671" i="180"/>
  <c r="N672" i="180"/>
  <c r="N673" i="180"/>
  <c r="N674" i="180"/>
  <c r="N675" i="180"/>
  <c r="N676" i="180"/>
  <c r="N680" i="180"/>
  <c r="N681" i="180"/>
  <c r="N682" i="180"/>
  <c r="N683" i="180"/>
  <c r="N684" i="180"/>
  <c r="N685" i="180"/>
  <c r="N686" i="180"/>
  <c r="N687" i="180"/>
  <c r="N689" i="180"/>
  <c r="N692" i="180"/>
  <c r="N693" i="180"/>
  <c r="N694" i="180"/>
  <c r="N695" i="180"/>
  <c r="N697" i="180"/>
  <c r="N698" i="180"/>
  <c r="N699" i="180"/>
  <c r="N700" i="180"/>
  <c r="N701" i="180"/>
  <c r="N705" i="180"/>
  <c r="N706" i="180"/>
  <c r="N707" i="180"/>
  <c r="N708" i="180"/>
  <c r="N710" i="180"/>
  <c r="N711" i="180"/>
  <c r="N713" i="180"/>
  <c r="N714" i="180"/>
  <c r="N715" i="180"/>
  <c r="N716" i="180"/>
  <c r="N718" i="180"/>
  <c r="N719" i="180"/>
  <c r="N720" i="180"/>
  <c r="N723" i="180"/>
  <c r="N725" i="180"/>
  <c r="N729" i="180"/>
  <c r="N730" i="180"/>
  <c r="N731" i="180"/>
  <c r="N732" i="180"/>
  <c r="N734" i="180"/>
  <c r="N735" i="180"/>
  <c r="N736" i="180"/>
  <c r="N740" i="180"/>
  <c r="N742" i="180"/>
  <c r="N743" i="180"/>
  <c r="N745" i="180"/>
  <c r="N747" i="180"/>
  <c r="N749" i="180"/>
  <c r="N751" i="180"/>
  <c r="N752" i="180"/>
  <c r="N754" i="180"/>
  <c r="N756" i="180"/>
  <c r="N758" i="180"/>
  <c r="N761" i="180"/>
  <c r="N768" i="180"/>
  <c r="N769" i="180"/>
  <c r="N770" i="180"/>
  <c r="N771" i="180"/>
  <c r="N772" i="180"/>
  <c r="N773" i="180"/>
  <c r="N774" i="180"/>
  <c r="N775" i="180"/>
  <c r="N776" i="180"/>
  <c r="N777" i="180"/>
  <c r="N778" i="180"/>
  <c r="N780" i="180"/>
  <c r="N781" i="180"/>
  <c r="N782" i="180"/>
  <c r="N787" i="180"/>
  <c r="N788" i="180"/>
  <c r="N790" i="180"/>
  <c r="N791" i="180"/>
  <c r="N793" i="180"/>
  <c r="N794" i="180"/>
  <c r="N796" i="180"/>
  <c r="N798" i="180"/>
  <c r="N799" i="180"/>
  <c r="N800" i="180"/>
  <c r="N802" i="180"/>
  <c r="N803" i="180"/>
  <c r="N804" i="180"/>
  <c r="N805" i="180"/>
  <c r="N806" i="180"/>
  <c r="N807" i="180"/>
  <c r="N808" i="180"/>
  <c r="N809" i="180"/>
  <c r="N810" i="180"/>
  <c r="N811" i="180"/>
  <c r="N814" i="180"/>
  <c r="N815" i="180"/>
  <c r="N817" i="180"/>
  <c r="N818" i="180"/>
  <c r="N819" i="180"/>
  <c r="N822" i="180"/>
  <c r="N824" i="180"/>
  <c r="N825" i="180"/>
  <c r="N826" i="180"/>
  <c r="N827" i="180"/>
  <c r="N828" i="180"/>
  <c r="N829" i="180"/>
  <c r="N830" i="180"/>
  <c r="N832" i="180"/>
  <c r="N833" i="180"/>
  <c r="M7" i="180"/>
  <c r="M9" i="180"/>
  <c r="M10" i="180"/>
  <c r="M12" i="180"/>
  <c r="M13" i="180"/>
  <c r="M14" i="180"/>
  <c r="M15" i="180"/>
  <c r="M16" i="180"/>
  <c r="M17" i="180"/>
  <c r="M19" i="180"/>
  <c r="M21" i="180"/>
  <c r="M23" i="180"/>
  <c r="M24" i="180"/>
  <c r="M25" i="180"/>
  <c r="M27" i="180"/>
  <c r="M29" i="180"/>
  <c r="M31" i="180"/>
  <c r="M33" i="180"/>
  <c r="M34" i="180"/>
  <c r="M36" i="180"/>
  <c r="M38" i="180"/>
  <c r="M41" i="180"/>
  <c r="M43" i="180"/>
  <c r="M44" i="180"/>
  <c r="M49" i="180"/>
  <c r="M50" i="180"/>
  <c r="M51" i="180"/>
  <c r="M52" i="180"/>
  <c r="M53" i="180"/>
  <c r="M54" i="180"/>
  <c r="M57" i="180"/>
  <c r="M58" i="180"/>
  <c r="M59" i="180"/>
  <c r="M60" i="180"/>
  <c r="M61" i="180"/>
  <c r="M62" i="180"/>
  <c r="M64" i="180"/>
  <c r="M66" i="180"/>
  <c r="M68" i="180"/>
  <c r="M69" i="180"/>
  <c r="M70" i="180"/>
  <c r="M71" i="180"/>
  <c r="M72" i="180"/>
  <c r="M73" i="180"/>
  <c r="M74" i="180"/>
  <c r="M75" i="180"/>
  <c r="M76" i="180"/>
  <c r="M77" i="180"/>
  <c r="M78" i="180"/>
  <c r="M79" i="180"/>
  <c r="M80" i="180"/>
  <c r="M81" i="180"/>
  <c r="M82" i="180"/>
  <c r="M83" i="180"/>
  <c r="M84" i="180"/>
  <c r="M85" i="180"/>
  <c r="M87" i="180"/>
  <c r="M88" i="180"/>
  <c r="M89" i="180"/>
  <c r="M90" i="180"/>
  <c r="M91" i="180"/>
  <c r="M92" i="180"/>
  <c r="M93" i="180"/>
  <c r="M94" i="180"/>
  <c r="M95" i="180"/>
  <c r="M97" i="180"/>
  <c r="M98" i="180"/>
  <c r="M99" i="180"/>
  <c r="M102" i="180"/>
  <c r="M103" i="180"/>
  <c r="M105" i="180"/>
  <c r="M107" i="180"/>
  <c r="M108" i="180"/>
  <c r="M110" i="180"/>
  <c r="M111" i="180"/>
  <c r="M112" i="180"/>
  <c r="M114" i="180"/>
  <c r="M116" i="180"/>
  <c r="M119" i="180"/>
  <c r="M120" i="180"/>
  <c r="M121" i="180"/>
  <c r="M123" i="180"/>
  <c r="M124" i="180"/>
  <c r="M125" i="180"/>
  <c r="M126" i="180"/>
  <c r="M128" i="180"/>
  <c r="M129" i="180"/>
  <c r="M130" i="180"/>
  <c r="M131" i="180"/>
  <c r="M132" i="180"/>
  <c r="M133" i="180"/>
  <c r="M134" i="180"/>
  <c r="M135" i="180"/>
  <c r="M136" i="180"/>
  <c r="M138" i="180"/>
  <c r="M139" i="180"/>
  <c r="M140" i="180"/>
  <c r="M141" i="180"/>
  <c r="M142" i="180"/>
  <c r="M143" i="180"/>
  <c r="M144" i="180"/>
  <c r="M145" i="180"/>
  <c r="M146" i="180"/>
  <c r="M147" i="180"/>
  <c r="M148" i="180"/>
  <c r="M149" i="180"/>
  <c r="M150" i="180"/>
  <c r="M151" i="180"/>
  <c r="M152" i="180"/>
  <c r="M153" i="180"/>
  <c r="M154" i="180"/>
  <c r="M155" i="180"/>
  <c r="M156" i="180"/>
  <c r="M157" i="180"/>
  <c r="M158" i="180"/>
  <c r="M159" i="180"/>
  <c r="M160" i="180"/>
  <c r="M161" i="180"/>
  <c r="M162" i="180"/>
  <c r="M163" i="180"/>
  <c r="M164" i="180"/>
  <c r="M165" i="180"/>
  <c r="M166" i="180"/>
  <c r="M168" i="180"/>
  <c r="M169" i="180"/>
  <c r="M170" i="180"/>
  <c r="M175" i="180"/>
  <c r="M176" i="180"/>
  <c r="M177" i="180"/>
  <c r="M178" i="180"/>
  <c r="M179" i="180"/>
  <c r="M180" i="180"/>
  <c r="M181" i="180"/>
  <c r="M182" i="180"/>
  <c r="M184" i="180"/>
  <c r="M186" i="180"/>
  <c r="M188" i="180"/>
  <c r="M189" i="180"/>
  <c r="M190" i="180"/>
  <c r="M191" i="180"/>
  <c r="M192" i="180"/>
  <c r="M193" i="180"/>
  <c r="M195" i="180"/>
  <c r="M197" i="180"/>
  <c r="M199" i="180"/>
  <c r="M200" i="180"/>
  <c r="M201" i="180"/>
  <c r="M204" i="180"/>
  <c r="M205" i="180"/>
  <c r="M207" i="180"/>
  <c r="M208" i="180"/>
  <c r="M210" i="180"/>
  <c r="M213" i="180"/>
  <c r="M214" i="180"/>
  <c r="M215" i="180"/>
  <c r="M216" i="180"/>
  <c r="M217" i="180"/>
  <c r="M218" i="180"/>
  <c r="M219" i="180"/>
  <c r="M220" i="180"/>
  <c r="M221" i="180"/>
  <c r="M225" i="180"/>
  <c r="M226" i="180"/>
  <c r="M227" i="180"/>
  <c r="M228" i="180"/>
  <c r="M232" i="180"/>
  <c r="M233" i="180"/>
  <c r="M237" i="180"/>
  <c r="M238" i="180"/>
  <c r="M239" i="180"/>
  <c r="M240" i="180"/>
  <c r="M241" i="180"/>
  <c r="M242" i="180"/>
  <c r="M243" i="180"/>
  <c r="M244" i="180"/>
  <c r="M245" i="180"/>
  <c r="M246" i="180"/>
  <c r="M247" i="180"/>
  <c r="M248" i="180"/>
  <c r="M249" i="180"/>
  <c r="M250" i="180"/>
  <c r="M251" i="180"/>
  <c r="M252" i="180"/>
  <c r="M253" i="180"/>
  <c r="M254" i="180"/>
  <c r="M255" i="180"/>
  <c r="M256" i="180"/>
  <c r="M257" i="180"/>
  <c r="M258" i="180"/>
  <c r="M259" i="180"/>
  <c r="M260" i="180"/>
  <c r="M261" i="180"/>
  <c r="M262" i="180"/>
  <c r="M264" i="180"/>
  <c r="M265" i="180"/>
  <c r="M266" i="180"/>
  <c r="M267" i="180"/>
  <c r="M268" i="180"/>
  <c r="M269" i="180"/>
  <c r="M270" i="180"/>
  <c r="M271" i="180"/>
  <c r="M272" i="180"/>
  <c r="M273" i="180"/>
  <c r="M274" i="180"/>
  <c r="M275" i="180"/>
  <c r="M276" i="180"/>
  <c r="M277" i="180"/>
  <c r="M278" i="180"/>
  <c r="M279" i="180"/>
  <c r="M281" i="180"/>
  <c r="M283" i="180"/>
  <c r="M284" i="180"/>
  <c r="M285" i="180"/>
  <c r="M287" i="180"/>
  <c r="M288" i="180"/>
  <c r="M289" i="180"/>
  <c r="M290" i="180"/>
  <c r="M291" i="180"/>
  <c r="M292" i="180"/>
  <c r="M293" i="180"/>
  <c r="M294" i="180"/>
  <c r="M295" i="180"/>
  <c r="M296" i="180"/>
  <c r="M297" i="180"/>
  <c r="M298" i="180"/>
  <c r="M299" i="180"/>
  <c r="M300" i="180"/>
  <c r="M301" i="180"/>
  <c r="M302" i="180"/>
  <c r="M304" i="180"/>
  <c r="M306" i="180"/>
  <c r="M307" i="180"/>
  <c r="M308" i="180"/>
  <c r="M309" i="180"/>
  <c r="M310" i="180"/>
  <c r="M311" i="180"/>
  <c r="M312" i="180"/>
  <c r="M313" i="180"/>
  <c r="M314" i="180"/>
  <c r="M315" i="180"/>
  <c r="M316" i="180"/>
  <c r="M317" i="180"/>
  <c r="M318" i="180"/>
  <c r="M319" i="180"/>
  <c r="M320" i="180"/>
  <c r="M321" i="180"/>
  <c r="M322" i="180"/>
  <c r="M323" i="180"/>
  <c r="M327" i="180"/>
  <c r="M329" i="180"/>
  <c r="M330" i="180"/>
  <c r="M331" i="180"/>
  <c r="M332" i="180"/>
  <c r="M334" i="180"/>
  <c r="M335" i="180"/>
  <c r="M336" i="180"/>
  <c r="M338" i="180"/>
  <c r="M339" i="180"/>
  <c r="M340" i="180"/>
  <c r="M341" i="180"/>
  <c r="M342" i="180"/>
  <c r="M343" i="180"/>
  <c r="M344" i="180"/>
  <c r="M346" i="180"/>
  <c r="M348" i="180"/>
  <c r="M350" i="180"/>
  <c r="M355" i="180"/>
  <c r="M356" i="180"/>
  <c r="M357" i="180"/>
  <c r="M358" i="180"/>
  <c r="M359" i="180"/>
  <c r="M360" i="180"/>
  <c r="M361" i="180"/>
  <c r="M364" i="180"/>
  <c r="M365" i="180"/>
  <c r="M366" i="180"/>
  <c r="M367" i="180"/>
  <c r="M371" i="180"/>
  <c r="M372" i="180"/>
  <c r="M373" i="180"/>
  <c r="M374" i="180"/>
  <c r="M375" i="180"/>
  <c r="M376" i="180"/>
  <c r="M378" i="180"/>
  <c r="M379" i="180"/>
  <c r="M380" i="180"/>
  <c r="M381" i="180"/>
  <c r="M383" i="180"/>
  <c r="M387" i="180"/>
  <c r="M389" i="180"/>
  <c r="M391" i="180"/>
  <c r="M393" i="180"/>
  <c r="M400" i="180"/>
  <c r="M401" i="180"/>
  <c r="M402" i="180"/>
  <c r="M405" i="180"/>
  <c r="M407" i="180"/>
  <c r="M410" i="180"/>
  <c r="M413" i="180"/>
  <c r="M417" i="180"/>
  <c r="M419" i="180"/>
  <c r="M425" i="180"/>
  <c r="M429" i="180"/>
  <c r="M430" i="180"/>
  <c r="M431" i="180"/>
  <c r="M439" i="180"/>
  <c r="M440" i="180"/>
  <c r="M441" i="180"/>
  <c r="M442" i="180"/>
  <c r="M443" i="180"/>
  <c r="M445" i="180"/>
  <c r="M446" i="180"/>
  <c r="M448" i="180"/>
  <c r="M449" i="180"/>
  <c r="M450" i="180"/>
  <c r="M451" i="180"/>
  <c r="M452" i="180"/>
  <c r="M453" i="180"/>
  <c r="M455" i="180"/>
  <c r="M456" i="180"/>
  <c r="M457" i="180"/>
  <c r="M458" i="180"/>
  <c r="M460" i="180"/>
  <c r="M461" i="180"/>
  <c r="M462" i="180"/>
  <c r="M463" i="180"/>
  <c r="M464" i="180"/>
  <c r="M467" i="180"/>
  <c r="M469" i="180"/>
  <c r="M470" i="180"/>
  <c r="M472" i="180"/>
  <c r="M473" i="180"/>
  <c r="M474" i="180"/>
  <c r="M475" i="180"/>
  <c r="M476" i="180"/>
  <c r="M477" i="180"/>
  <c r="M481" i="180"/>
  <c r="M482" i="180"/>
  <c r="M483" i="180"/>
  <c r="M484" i="180"/>
  <c r="M485" i="180"/>
  <c r="M486" i="180"/>
  <c r="M487" i="180"/>
  <c r="M489" i="180"/>
  <c r="M491" i="180"/>
  <c r="M495" i="180"/>
  <c r="M496" i="180"/>
  <c r="M498" i="180"/>
  <c r="M499" i="180"/>
  <c r="M500" i="180"/>
  <c r="M501" i="180"/>
  <c r="M502" i="180"/>
  <c r="M504" i="180"/>
  <c r="M506" i="180"/>
  <c r="M507" i="180"/>
  <c r="M509" i="180"/>
  <c r="M510" i="180"/>
  <c r="M515" i="180"/>
  <c r="M516" i="180"/>
  <c r="M517" i="180"/>
  <c r="M518" i="180"/>
  <c r="M519" i="180"/>
  <c r="M520" i="180"/>
  <c r="M521" i="180"/>
  <c r="M522" i="180"/>
  <c r="M523" i="180"/>
  <c r="M524" i="180"/>
  <c r="M525" i="180"/>
  <c r="M526" i="180"/>
  <c r="M529" i="180"/>
  <c r="M530" i="180"/>
  <c r="M531" i="180"/>
  <c r="M532" i="180"/>
  <c r="M534" i="180"/>
  <c r="M535" i="180"/>
  <c r="M536" i="180"/>
  <c r="M538" i="180"/>
  <c r="M539" i="180"/>
  <c r="M540" i="180"/>
  <c r="M541" i="180"/>
  <c r="M543" i="180"/>
  <c r="M545" i="180"/>
  <c r="M546" i="180"/>
  <c r="M547" i="180"/>
  <c r="M549" i="180"/>
  <c r="M551" i="180"/>
  <c r="M552" i="180"/>
  <c r="M555" i="180"/>
  <c r="M556" i="180"/>
  <c r="M557" i="180"/>
  <c r="M560" i="180"/>
  <c r="M564" i="180"/>
  <c r="M565" i="180"/>
  <c r="M566" i="180"/>
  <c r="M567" i="180"/>
  <c r="M569" i="180"/>
  <c r="M570" i="180"/>
  <c r="M572" i="180"/>
  <c r="M576" i="180"/>
  <c r="M577" i="180"/>
  <c r="M578" i="180"/>
  <c r="M579" i="180"/>
  <c r="M580" i="180"/>
  <c r="M583" i="180"/>
  <c r="M584" i="180"/>
  <c r="M585" i="180"/>
  <c r="M586" i="180"/>
  <c r="M590" i="180"/>
  <c r="M591" i="180"/>
  <c r="M592" i="180"/>
  <c r="M593" i="180"/>
  <c r="M594" i="180"/>
  <c r="M595" i="180"/>
  <c r="M596" i="180"/>
  <c r="M597" i="180"/>
  <c r="M598" i="180"/>
  <c r="M599" i="180"/>
  <c r="M600" i="180"/>
  <c r="M601" i="180"/>
  <c r="M602" i="180"/>
  <c r="M603" i="180"/>
  <c r="M604" i="180"/>
  <c r="M605" i="180"/>
  <c r="M606" i="180"/>
  <c r="M607" i="180"/>
  <c r="M608" i="180"/>
  <c r="M609" i="180"/>
  <c r="M610" i="180"/>
  <c r="M611" i="180"/>
  <c r="M612" i="180"/>
  <c r="M614" i="180"/>
  <c r="M616" i="180"/>
  <c r="M619" i="180"/>
  <c r="M620" i="180"/>
  <c r="M621" i="180"/>
  <c r="M622" i="180"/>
  <c r="M623" i="180"/>
  <c r="M624" i="180"/>
  <c r="M625" i="180"/>
  <c r="M626" i="180"/>
  <c r="M627" i="180"/>
  <c r="M628" i="180"/>
  <c r="M629" i="180"/>
  <c r="M630" i="180"/>
  <c r="M631" i="180"/>
  <c r="M632" i="180"/>
  <c r="M633" i="180"/>
  <c r="M634" i="180"/>
  <c r="M635" i="180"/>
  <c r="M636" i="180"/>
  <c r="M637" i="180"/>
  <c r="M638" i="180"/>
  <c r="M639" i="180"/>
  <c r="M640" i="180"/>
  <c r="M641" i="180"/>
  <c r="M642" i="180"/>
  <c r="M643" i="180"/>
  <c r="M644" i="180"/>
  <c r="M645" i="180"/>
  <c r="M646" i="180"/>
  <c r="M647" i="180"/>
  <c r="M648" i="180"/>
  <c r="M649" i="180"/>
  <c r="M651" i="180"/>
  <c r="M652" i="180"/>
  <c r="M653" i="180"/>
  <c r="M654" i="180"/>
  <c r="M655" i="180"/>
  <c r="M656" i="180"/>
  <c r="M659" i="180"/>
  <c r="M660" i="180"/>
  <c r="M661" i="180"/>
  <c r="M662" i="180"/>
  <c r="M664" i="180"/>
  <c r="M665" i="180"/>
  <c r="M666" i="180"/>
  <c r="M670" i="180"/>
  <c r="M671" i="180"/>
  <c r="M672" i="180"/>
  <c r="M673" i="180"/>
  <c r="M674" i="180"/>
  <c r="M675" i="180"/>
  <c r="M676" i="180"/>
  <c r="M681" i="180"/>
  <c r="M682" i="180"/>
  <c r="M683" i="180"/>
  <c r="M684" i="180"/>
  <c r="M685" i="180"/>
  <c r="M686" i="180"/>
  <c r="M687" i="180"/>
  <c r="M689" i="180"/>
  <c r="M692" i="180"/>
  <c r="M693" i="180"/>
  <c r="M694" i="180"/>
  <c r="M695" i="180"/>
  <c r="M697" i="180"/>
  <c r="M698" i="180"/>
  <c r="M699" i="180"/>
  <c r="M700" i="180"/>
  <c r="M701" i="180"/>
  <c r="M705" i="180"/>
  <c r="M706" i="180"/>
  <c r="M707" i="180"/>
  <c r="M708" i="180"/>
  <c r="M710" i="180"/>
  <c r="M711" i="180"/>
  <c r="M713" i="180"/>
  <c r="M714" i="180"/>
  <c r="M715" i="180"/>
  <c r="M716" i="180"/>
  <c r="M718" i="180"/>
  <c r="M719" i="180"/>
  <c r="M720" i="180"/>
  <c r="M723" i="180"/>
  <c r="M725" i="180"/>
  <c r="M729" i="180"/>
  <c r="M730" i="180"/>
  <c r="M731" i="180"/>
  <c r="M732" i="180"/>
  <c r="M734" i="180"/>
  <c r="M735" i="180"/>
  <c r="M736" i="180"/>
  <c r="M737" i="180"/>
  <c r="M740" i="180"/>
  <c r="M742" i="180"/>
  <c r="M743" i="180"/>
  <c r="M745" i="180"/>
  <c r="M747" i="180"/>
  <c r="M749" i="180"/>
  <c r="M751" i="180"/>
  <c r="M752" i="180"/>
  <c r="M754" i="180"/>
  <c r="M756" i="180"/>
  <c r="M758" i="180"/>
  <c r="M761" i="180"/>
  <c r="M768" i="180"/>
  <c r="M769" i="180"/>
  <c r="M770" i="180"/>
  <c r="M771" i="180"/>
  <c r="M772" i="180"/>
  <c r="M773" i="180"/>
  <c r="M774" i="180"/>
  <c r="M775" i="180"/>
  <c r="M776" i="180"/>
  <c r="M777" i="180"/>
  <c r="M778" i="180"/>
  <c r="M780" i="180"/>
  <c r="M781" i="180"/>
  <c r="M782" i="180"/>
  <c r="M784" i="180"/>
  <c r="M785" i="180"/>
  <c r="M787" i="180"/>
  <c r="M788" i="180"/>
  <c r="M790" i="180"/>
  <c r="M791" i="180"/>
  <c r="M793" i="180"/>
  <c r="M794" i="180"/>
  <c r="M796" i="180"/>
  <c r="M798" i="180"/>
  <c r="M799" i="180"/>
  <c r="M800" i="180"/>
  <c r="M802" i="180"/>
  <c r="M803" i="180"/>
  <c r="M804" i="180"/>
  <c r="M805" i="180"/>
  <c r="M806" i="180"/>
  <c r="M807" i="180"/>
  <c r="M808" i="180"/>
  <c r="M809" i="180"/>
  <c r="M810" i="180"/>
  <c r="M811" i="180"/>
  <c r="M814" i="180"/>
  <c r="M815" i="180"/>
  <c r="M817" i="180"/>
  <c r="M818" i="180"/>
  <c r="M819" i="180"/>
  <c r="M822" i="180"/>
  <c r="M824" i="180"/>
  <c r="M825" i="180"/>
  <c r="M826" i="180"/>
  <c r="M827" i="180"/>
  <c r="M828" i="180"/>
  <c r="M829" i="180"/>
  <c r="M830" i="180"/>
  <c r="M833" i="180"/>
  <c r="L7" i="180"/>
  <c r="L9" i="180"/>
  <c r="L10" i="180"/>
  <c r="L12" i="180"/>
  <c r="L13" i="180"/>
  <c r="L14" i="180"/>
  <c r="L15" i="180"/>
  <c r="L16" i="180"/>
  <c r="L17" i="180"/>
  <c r="L19" i="180"/>
  <c r="L21" i="180"/>
  <c r="L23" i="180"/>
  <c r="L24" i="180"/>
  <c r="L25" i="180"/>
  <c r="L27" i="180"/>
  <c r="L29" i="180"/>
  <c r="L31" i="180"/>
  <c r="L33" i="180"/>
  <c r="L34" i="180"/>
  <c r="L36" i="180"/>
  <c r="L38" i="180"/>
  <c r="L41" i="180"/>
  <c r="L43" i="180"/>
  <c r="L44" i="180"/>
  <c r="L49" i="180"/>
  <c r="L50" i="180"/>
  <c r="L51" i="180"/>
  <c r="L52" i="180"/>
  <c r="L53" i="180"/>
  <c r="L54" i="180"/>
  <c r="L57" i="180"/>
  <c r="L58" i="180"/>
  <c r="L59" i="180"/>
  <c r="L60" i="180"/>
  <c r="L61" i="180"/>
  <c r="L62" i="180"/>
  <c r="L64" i="180"/>
  <c r="L66" i="180"/>
  <c r="L68" i="180"/>
  <c r="L69" i="180"/>
  <c r="L70" i="180"/>
  <c r="L71" i="180"/>
  <c r="L72" i="180"/>
  <c r="L73" i="180"/>
  <c r="L74" i="180"/>
  <c r="L75" i="180"/>
  <c r="L76" i="180"/>
  <c r="L77" i="180"/>
  <c r="L78" i="180"/>
  <c r="L79" i="180"/>
  <c r="L80" i="180"/>
  <c r="L81" i="180"/>
  <c r="L82" i="180"/>
  <c r="L83" i="180"/>
  <c r="L84" i="180"/>
  <c r="L85" i="180"/>
  <c r="L87" i="180"/>
  <c r="L88" i="180"/>
  <c r="L89" i="180"/>
  <c r="L90" i="180"/>
  <c r="L91" i="180"/>
  <c r="L92" i="180"/>
  <c r="L93" i="180"/>
  <c r="L94" i="180"/>
  <c r="L95" i="180"/>
  <c r="L97" i="180"/>
  <c r="L98" i="180"/>
  <c r="L99" i="180"/>
  <c r="L102" i="180"/>
  <c r="L103" i="180"/>
  <c r="L105" i="180"/>
  <c r="L107" i="180"/>
  <c r="L108" i="180"/>
  <c r="L110" i="180"/>
  <c r="L111" i="180"/>
  <c r="L112" i="180"/>
  <c r="L114" i="180"/>
  <c r="L116" i="180"/>
  <c r="L119" i="180"/>
  <c r="L120" i="180"/>
  <c r="L121" i="180"/>
  <c r="L123" i="180"/>
  <c r="L124" i="180"/>
  <c r="L125" i="180"/>
  <c r="L126" i="180"/>
  <c r="L128" i="180"/>
  <c r="L129" i="180"/>
  <c r="L130" i="180"/>
  <c r="L131" i="180"/>
  <c r="L132" i="180"/>
  <c r="L133" i="180"/>
  <c r="L134" i="180"/>
  <c r="L135" i="180"/>
  <c r="L136" i="180"/>
  <c r="L138" i="180"/>
  <c r="L139" i="180"/>
  <c r="L140" i="180"/>
  <c r="L141" i="180"/>
  <c r="L142" i="180"/>
  <c r="L143" i="180"/>
  <c r="L144" i="180"/>
  <c r="L145" i="180"/>
  <c r="L146" i="180"/>
  <c r="L147" i="180"/>
  <c r="L148" i="180"/>
  <c r="L149" i="180"/>
  <c r="L150" i="180"/>
  <c r="L151" i="180"/>
  <c r="L152" i="180"/>
  <c r="L153" i="180"/>
  <c r="L154" i="180"/>
  <c r="L155" i="180"/>
  <c r="L156" i="180"/>
  <c r="L157" i="180"/>
  <c r="L158" i="180"/>
  <c r="L160" i="180"/>
  <c r="L161" i="180"/>
  <c r="L162" i="180"/>
  <c r="L163" i="180"/>
  <c r="L164" i="180"/>
  <c r="L165" i="180"/>
  <c r="L166" i="180"/>
  <c r="L168" i="180"/>
  <c r="L169" i="180"/>
  <c r="L170" i="180"/>
  <c r="L175" i="180"/>
  <c r="L176" i="180"/>
  <c r="L177" i="180"/>
  <c r="L180" i="180"/>
  <c r="L181" i="180"/>
  <c r="L183" i="180"/>
  <c r="L185" i="180"/>
  <c r="L186" i="180"/>
  <c r="L188" i="180"/>
  <c r="L189" i="180"/>
  <c r="L190" i="180"/>
  <c r="L191" i="180"/>
  <c r="L193" i="180"/>
  <c r="L194" i="180"/>
  <c r="L195" i="180"/>
  <c r="L197" i="180"/>
  <c r="L200" i="180"/>
  <c r="L201" i="180"/>
  <c r="L204" i="180"/>
  <c r="L205" i="180"/>
  <c r="L206" i="180"/>
  <c r="L207" i="180"/>
  <c r="L208" i="180"/>
  <c r="L210" i="180"/>
  <c r="L214" i="180"/>
  <c r="L215" i="180"/>
  <c r="L216" i="180"/>
  <c r="L217" i="180"/>
  <c r="L218" i="180"/>
  <c r="L219" i="180"/>
  <c r="L220" i="180"/>
  <c r="L225" i="180"/>
  <c r="L226" i="180"/>
  <c r="L227" i="180"/>
  <c r="L228" i="180"/>
  <c r="L232" i="180"/>
  <c r="L233" i="180"/>
  <c r="L238" i="180"/>
  <c r="L239" i="180"/>
  <c r="L240" i="180"/>
  <c r="L241" i="180"/>
  <c r="L242" i="180"/>
  <c r="L244" i="180"/>
  <c r="L245" i="180"/>
  <c r="L246" i="180"/>
  <c r="L247" i="180"/>
  <c r="L248" i="180"/>
  <c r="L249" i="180"/>
  <c r="L250" i="180"/>
  <c r="L251" i="180"/>
  <c r="L252" i="180"/>
  <c r="L253" i="180"/>
  <c r="L254" i="180"/>
  <c r="L255" i="180"/>
  <c r="L256" i="180"/>
  <c r="L257" i="180"/>
  <c r="L258" i="180"/>
  <c r="L259" i="180"/>
  <c r="L260" i="180"/>
  <c r="L261" i="180"/>
  <c r="L262" i="180"/>
  <c r="L264" i="180"/>
  <c r="L265" i="180"/>
  <c r="L266" i="180"/>
  <c r="L267" i="180"/>
  <c r="L268" i="180"/>
  <c r="L269" i="180"/>
  <c r="L270" i="180"/>
  <c r="L271" i="180"/>
  <c r="L272" i="180"/>
  <c r="L273" i="180"/>
  <c r="L274" i="180"/>
  <c r="L275" i="180"/>
  <c r="L276" i="180"/>
  <c r="L277" i="180"/>
  <c r="L278" i="180"/>
  <c r="L279" i="180"/>
  <c r="L281" i="180"/>
  <c r="L283" i="180"/>
  <c r="L284" i="180"/>
  <c r="L285" i="180"/>
  <c r="L287" i="180"/>
  <c r="L288" i="180"/>
  <c r="L289" i="180"/>
  <c r="L290" i="180"/>
  <c r="L291" i="180"/>
  <c r="L292" i="180"/>
  <c r="L293" i="180"/>
  <c r="L294" i="180"/>
  <c r="L295" i="180"/>
  <c r="L296" i="180"/>
  <c r="L297" i="180"/>
  <c r="L298" i="180"/>
  <c r="L299" i="180"/>
  <c r="L300" i="180"/>
  <c r="L301" i="180"/>
  <c r="L302" i="180"/>
  <c r="L304" i="180"/>
  <c r="L306" i="180"/>
  <c r="L307" i="180"/>
  <c r="L308" i="180"/>
  <c r="L309" i="180"/>
  <c r="L310" i="180"/>
  <c r="L311" i="180"/>
  <c r="L312" i="180"/>
  <c r="L313" i="180"/>
  <c r="L314" i="180"/>
  <c r="L315" i="180"/>
  <c r="L316" i="180"/>
  <c r="L317" i="180"/>
  <c r="L318" i="180"/>
  <c r="L319" i="180"/>
  <c r="L320" i="180"/>
  <c r="L321" i="180"/>
  <c r="L322" i="180"/>
  <c r="L323" i="180"/>
  <c r="L327" i="180"/>
  <c r="L329" i="180"/>
  <c r="L330" i="180"/>
  <c r="L331" i="180"/>
  <c r="L332" i="180"/>
  <c r="L334" i="180"/>
  <c r="L335" i="180"/>
  <c r="L336" i="180"/>
  <c r="L338" i="180"/>
  <c r="L339" i="180"/>
  <c r="L340" i="180"/>
  <c r="L341" i="180"/>
  <c r="L342" i="180"/>
  <c r="L343" i="180"/>
  <c r="L344" i="180"/>
  <c r="L346" i="180"/>
  <c r="L348" i="180"/>
  <c r="L350" i="180"/>
  <c r="L354" i="180"/>
  <c r="L358" i="180"/>
  <c r="L359" i="180"/>
  <c r="L360" i="180"/>
  <c r="L363" i="180"/>
  <c r="L364" i="180"/>
  <c r="L365" i="180"/>
  <c r="L366" i="180"/>
  <c r="L367" i="180"/>
  <c r="L369" i="180"/>
  <c r="L379" i="180"/>
  <c r="L383" i="180"/>
  <c r="L384" i="180"/>
  <c r="L385" i="180"/>
  <c r="L386" i="180"/>
  <c r="L388" i="180"/>
  <c r="L390" i="180"/>
  <c r="L391" i="180"/>
  <c r="L392" i="180"/>
  <c r="L393" i="180"/>
  <c r="L394" i="180"/>
  <c r="L395" i="180"/>
  <c r="L396" i="180"/>
  <c r="L397" i="180"/>
  <c r="L398" i="180"/>
  <c r="L399" i="180"/>
  <c r="L403" i="180"/>
  <c r="L404" i="180"/>
  <c r="L406" i="180"/>
  <c r="L407" i="180"/>
  <c r="L408" i="180"/>
  <c r="L409" i="180"/>
  <c r="L410" i="180"/>
  <c r="L411" i="180"/>
  <c r="L412" i="180"/>
  <c r="L413" i="180"/>
  <c r="L414" i="180"/>
  <c r="L415" i="180"/>
  <c r="L416" i="180"/>
  <c r="L418" i="180"/>
  <c r="L419" i="180"/>
  <c r="L420" i="180"/>
  <c r="L421" i="180"/>
  <c r="L422" i="180"/>
  <c r="L423" i="180"/>
  <c r="L424" i="180"/>
  <c r="L425" i="180"/>
  <c r="L426" i="180"/>
  <c r="L427" i="180"/>
  <c r="L428" i="180"/>
  <c r="L429" i="180"/>
  <c r="L430" i="180"/>
  <c r="L432" i="180"/>
  <c r="L433" i="180"/>
  <c r="L434" i="180"/>
  <c r="L436" i="180"/>
  <c r="L437" i="180"/>
  <c r="L438" i="180"/>
  <c r="L439" i="180"/>
  <c r="L441" i="180"/>
  <c r="L442" i="180"/>
  <c r="L443" i="180"/>
  <c r="L445" i="180"/>
  <c r="L446" i="180"/>
  <c r="L447" i="180"/>
  <c r="L454" i="180"/>
  <c r="L457" i="180"/>
  <c r="L458" i="180"/>
  <c r="L460" i="180"/>
  <c r="L461" i="180"/>
  <c r="L462" i="180"/>
  <c r="L463" i="180"/>
  <c r="L464" i="180"/>
  <c r="L469" i="180"/>
  <c r="L476" i="180"/>
  <c r="L477" i="180"/>
  <c r="L481" i="180"/>
  <c r="L482" i="180"/>
  <c r="L483" i="180"/>
  <c r="L484" i="180"/>
  <c r="L485" i="180"/>
  <c r="L486" i="180"/>
  <c r="L487" i="180"/>
  <c r="L489" i="180"/>
  <c r="L491" i="180"/>
  <c r="L495" i="180"/>
  <c r="L496" i="180"/>
  <c r="L500" i="180"/>
  <c r="L501" i="180"/>
  <c r="L502" i="180"/>
  <c r="L504" i="180"/>
  <c r="L506" i="180"/>
  <c r="L507" i="180"/>
  <c r="L511" i="180"/>
  <c r="L514" i="180"/>
  <c r="L517" i="180"/>
  <c r="L522" i="180"/>
  <c r="L527" i="180"/>
  <c r="L528" i="180"/>
  <c r="L529" i="180"/>
  <c r="L530" i="180"/>
  <c r="L533" i="180"/>
  <c r="L537" i="180"/>
  <c r="L543" i="180"/>
  <c r="L544" i="180"/>
  <c r="L546" i="180"/>
  <c r="L551" i="180"/>
  <c r="L552" i="180"/>
  <c r="L555" i="180"/>
  <c r="L556" i="180"/>
  <c r="L560" i="180"/>
  <c r="L564" i="180"/>
  <c r="L565" i="180"/>
  <c r="L567" i="180"/>
  <c r="L568" i="180"/>
  <c r="L571" i="180"/>
  <c r="L572" i="180"/>
  <c r="L576" i="180"/>
  <c r="L577" i="180"/>
  <c r="L578" i="180"/>
  <c r="L579" i="180"/>
  <c r="L580" i="180"/>
  <c r="L581" i="180"/>
  <c r="L582" i="180"/>
  <c r="L583" i="180"/>
  <c r="L584" i="180"/>
  <c r="L585" i="180"/>
  <c r="L586" i="180"/>
  <c r="L590" i="180"/>
  <c r="L591" i="180"/>
  <c r="L592" i="180"/>
  <c r="L594" i="180"/>
  <c r="L595" i="180"/>
  <c r="L596" i="180"/>
  <c r="L597" i="180"/>
  <c r="L598" i="180"/>
  <c r="L599" i="180"/>
  <c r="L600" i="180"/>
  <c r="L601" i="180"/>
  <c r="L602" i="180"/>
  <c r="L603" i="180"/>
  <c r="L604" i="180"/>
  <c r="L605" i="180"/>
  <c r="L606" i="180"/>
  <c r="L607" i="180"/>
  <c r="L608" i="180"/>
  <c r="L609" i="180"/>
  <c r="L610" i="180"/>
  <c r="L611" i="180"/>
  <c r="L612" i="180"/>
  <c r="L613" i="180"/>
  <c r="L614" i="180"/>
  <c r="L615" i="180"/>
  <c r="L616" i="180"/>
  <c r="L617" i="180"/>
  <c r="L618" i="180"/>
  <c r="L619" i="180"/>
  <c r="L620" i="180"/>
  <c r="L621" i="180"/>
  <c r="L622" i="180"/>
  <c r="L623" i="180"/>
  <c r="L624" i="180"/>
  <c r="L625" i="180"/>
  <c r="L626" i="180"/>
  <c r="L627" i="180"/>
  <c r="L628" i="180"/>
  <c r="L629" i="180"/>
  <c r="L630" i="180"/>
  <c r="L631" i="180"/>
  <c r="L632" i="180"/>
  <c r="L633" i="180"/>
  <c r="L634" i="180"/>
  <c r="L635" i="180"/>
  <c r="L636" i="180"/>
  <c r="L637" i="180"/>
  <c r="L638" i="180"/>
  <c r="L639" i="180"/>
  <c r="L640" i="180"/>
  <c r="L641" i="180"/>
  <c r="L642" i="180"/>
  <c r="L643" i="180"/>
  <c r="L644" i="180"/>
  <c r="L645" i="180"/>
  <c r="L646" i="180"/>
  <c r="L647" i="180"/>
  <c r="L648" i="180"/>
  <c r="L649" i="180"/>
  <c r="L651" i="180"/>
  <c r="L652" i="180"/>
  <c r="L653" i="180"/>
  <c r="L654" i="180"/>
  <c r="L655" i="180"/>
  <c r="L656" i="180"/>
  <c r="L659" i="180"/>
  <c r="L660" i="180"/>
  <c r="L661" i="180"/>
  <c r="L662" i="180"/>
  <c r="L664" i="180"/>
  <c r="L665" i="180"/>
  <c r="L666" i="180"/>
  <c r="L670" i="180"/>
  <c r="L672" i="180"/>
  <c r="L673" i="180"/>
  <c r="L675" i="180"/>
  <c r="L676" i="180"/>
  <c r="L680" i="180"/>
  <c r="L681" i="180"/>
  <c r="L682" i="180"/>
  <c r="L683" i="180"/>
  <c r="L684" i="180"/>
  <c r="L685" i="180"/>
  <c r="L686" i="180"/>
  <c r="L687" i="180"/>
  <c r="L689" i="180"/>
  <c r="L692" i="180"/>
  <c r="L693" i="180"/>
  <c r="L694" i="180"/>
  <c r="L697" i="180"/>
  <c r="L698" i="180"/>
  <c r="L699" i="180"/>
  <c r="L700" i="180"/>
  <c r="L701" i="180"/>
  <c r="L705" i="180"/>
  <c r="L706" i="180"/>
  <c r="L707" i="180"/>
  <c r="L708" i="180"/>
  <c r="L710" i="180"/>
  <c r="L711" i="180"/>
  <c r="L713" i="180"/>
  <c r="L714" i="180"/>
  <c r="L715" i="180"/>
  <c r="L716" i="180"/>
  <c r="L718" i="180"/>
  <c r="L719" i="180"/>
  <c r="L720" i="180"/>
  <c r="L723" i="180"/>
  <c r="L725" i="180"/>
  <c r="L729" i="180"/>
  <c r="L730" i="180"/>
  <c r="L731" i="180"/>
  <c r="L732" i="180"/>
  <c r="L734" i="180"/>
  <c r="L735" i="180"/>
  <c r="L736" i="180"/>
  <c r="L737" i="180"/>
  <c r="L740" i="180"/>
  <c r="L742" i="180"/>
  <c r="L743" i="180"/>
  <c r="L745" i="180"/>
  <c r="L747" i="180"/>
  <c r="L749" i="180"/>
  <c r="L751" i="180"/>
  <c r="L752" i="180"/>
  <c r="L754" i="180"/>
  <c r="L756" i="180"/>
  <c r="L758" i="180"/>
  <c r="L761" i="180"/>
  <c r="L768" i="180"/>
  <c r="L769" i="180"/>
  <c r="L770" i="180"/>
  <c r="L771" i="180"/>
  <c r="L772" i="180"/>
  <c r="L773" i="180"/>
  <c r="L774" i="180"/>
  <c r="L775" i="180"/>
  <c r="L776" i="180"/>
  <c r="L777" i="180"/>
  <c r="L778" i="180"/>
  <c r="L780" i="180"/>
  <c r="L781" i="180"/>
  <c r="L782" i="180"/>
  <c r="L784" i="180"/>
  <c r="L785" i="180"/>
  <c r="L787" i="180"/>
  <c r="L788" i="180"/>
  <c r="L790" i="180"/>
  <c r="L791" i="180"/>
  <c r="L793" i="180"/>
  <c r="L794" i="180"/>
  <c r="L796" i="180"/>
  <c r="L798" i="180"/>
  <c r="L799" i="180"/>
  <c r="L800" i="180"/>
  <c r="L802" i="180"/>
  <c r="L803" i="180"/>
  <c r="L804" i="180"/>
  <c r="L805" i="180"/>
  <c r="L806" i="180"/>
  <c r="L807" i="180"/>
  <c r="L808" i="180"/>
  <c r="L809" i="180"/>
  <c r="L810" i="180"/>
  <c r="L811" i="180"/>
  <c r="L814" i="180"/>
  <c r="L815" i="180"/>
  <c r="L817" i="180"/>
  <c r="L818" i="180"/>
  <c r="L819" i="180"/>
  <c r="L822" i="180"/>
  <c r="L824" i="180"/>
  <c r="L825" i="180"/>
  <c r="L826" i="180"/>
  <c r="L827" i="180"/>
  <c r="L828" i="180"/>
  <c r="L829" i="180"/>
  <c r="L830" i="180"/>
  <c r="L832" i="180"/>
  <c r="L833" i="180"/>
  <c r="K7" i="180"/>
  <c r="K9" i="180"/>
  <c r="K10" i="180"/>
  <c r="K12" i="180"/>
  <c r="K13" i="180"/>
  <c r="K14" i="180"/>
  <c r="K15" i="180"/>
  <c r="K16" i="180"/>
  <c r="K17" i="180"/>
  <c r="K19" i="180"/>
  <c r="K21" i="180"/>
  <c r="K23" i="180"/>
  <c r="K24" i="180"/>
  <c r="K25" i="180"/>
  <c r="K27" i="180"/>
  <c r="K29" i="180"/>
  <c r="K31" i="180"/>
  <c r="K33" i="180"/>
  <c r="K34" i="180"/>
  <c r="K36" i="180"/>
  <c r="K38" i="180"/>
  <c r="K41" i="180"/>
  <c r="K43" i="180"/>
  <c r="K44" i="180"/>
  <c r="K49" i="180"/>
  <c r="K50" i="180"/>
  <c r="K53" i="180"/>
  <c r="K57" i="180"/>
  <c r="K58" i="180"/>
  <c r="K59" i="180"/>
  <c r="K60" i="180"/>
  <c r="K61" i="180"/>
  <c r="K62" i="180"/>
  <c r="K64" i="180"/>
  <c r="K66" i="180"/>
  <c r="K68" i="180"/>
  <c r="K69" i="180"/>
  <c r="K71" i="180"/>
  <c r="K72" i="180"/>
  <c r="K73" i="180"/>
  <c r="K74" i="180"/>
  <c r="K77" i="180"/>
  <c r="K78" i="180"/>
  <c r="K80" i="180"/>
  <c r="K81" i="180"/>
  <c r="K87" i="180"/>
  <c r="K88" i="180"/>
  <c r="K92" i="180"/>
  <c r="K93" i="180"/>
  <c r="K94" i="180"/>
  <c r="K95" i="180"/>
  <c r="K97" i="180"/>
  <c r="K102" i="180"/>
  <c r="K103" i="180"/>
  <c r="K105" i="180"/>
  <c r="K107" i="180"/>
  <c r="K108" i="180"/>
  <c r="K110" i="180"/>
  <c r="K111" i="180"/>
  <c r="K119" i="180"/>
  <c r="K120" i="180"/>
  <c r="K123" i="180"/>
  <c r="K125" i="180"/>
  <c r="K126" i="180"/>
  <c r="K136" i="180"/>
  <c r="K147" i="180"/>
  <c r="K153" i="180"/>
  <c r="K155" i="180"/>
  <c r="K159" i="180"/>
  <c r="K160" i="180"/>
  <c r="K168" i="180"/>
  <c r="K169" i="180"/>
  <c r="K170" i="180"/>
  <c r="K175" i="180"/>
  <c r="K176" i="180"/>
  <c r="K177" i="180"/>
  <c r="K178" i="180"/>
  <c r="K179" i="180"/>
  <c r="K180" i="180"/>
  <c r="K181" i="180"/>
  <c r="K182" i="180"/>
  <c r="K183" i="180"/>
  <c r="K184" i="180"/>
  <c r="K185" i="180"/>
  <c r="K186" i="180"/>
  <c r="K188" i="180"/>
  <c r="K189" i="180"/>
  <c r="K190" i="180"/>
  <c r="K191" i="180"/>
  <c r="K192" i="180"/>
  <c r="K193" i="180"/>
  <c r="K194" i="180"/>
  <c r="K195" i="180"/>
  <c r="K197" i="180"/>
  <c r="K199" i="180"/>
  <c r="K200" i="180"/>
  <c r="K201" i="180"/>
  <c r="K204" i="180"/>
  <c r="K205" i="180"/>
  <c r="K206" i="180"/>
  <c r="K207" i="180"/>
  <c r="K208" i="180"/>
  <c r="K210" i="180"/>
  <c r="K213" i="180"/>
  <c r="K214" i="180"/>
  <c r="K215" i="180"/>
  <c r="K216" i="180"/>
  <c r="K217" i="180"/>
  <c r="K218" i="180"/>
  <c r="K219" i="180"/>
  <c r="K220" i="180"/>
  <c r="K221" i="180"/>
  <c r="K225" i="180"/>
  <c r="K226" i="180"/>
  <c r="K227" i="180"/>
  <c r="K228" i="180"/>
  <c r="K232" i="180"/>
  <c r="K233" i="180"/>
  <c r="K237" i="180"/>
  <c r="K238" i="180"/>
  <c r="K239" i="180"/>
  <c r="K240" i="180"/>
  <c r="K241" i="180"/>
  <c r="K242" i="180"/>
  <c r="K243" i="180"/>
  <c r="K244" i="180"/>
  <c r="K245" i="180"/>
  <c r="K246" i="180"/>
  <c r="K247" i="180"/>
  <c r="K248" i="180"/>
  <c r="K249" i="180"/>
  <c r="K250" i="180"/>
  <c r="K251" i="180"/>
  <c r="K252" i="180"/>
  <c r="K253" i="180"/>
  <c r="K254" i="180"/>
  <c r="K255" i="180"/>
  <c r="K256" i="180"/>
  <c r="K257" i="180"/>
  <c r="K258" i="180"/>
  <c r="K259" i="180"/>
  <c r="K260" i="180"/>
  <c r="K261" i="180"/>
  <c r="K262" i="180"/>
  <c r="K264" i="180"/>
  <c r="K265" i="180"/>
  <c r="K266" i="180"/>
  <c r="K267" i="180"/>
  <c r="K268" i="180"/>
  <c r="K269" i="180"/>
  <c r="K270" i="180"/>
  <c r="K271" i="180"/>
  <c r="K272" i="180"/>
  <c r="K273" i="180"/>
  <c r="K274" i="180"/>
  <c r="K275" i="180"/>
  <c r="K276" i="180"/>
  <c r="K277" i="180"/>
  <c r="K278" i="180"/>
  <c r="K279" i="180"/>
  <c r="K281" i="180"/>
  <c r="K283" i="180"/>
  <c r="K284" i="180"/>
  <c r="K285" i="180"/>
  <c r="K287" i="180"/>
  <c r="K288" i="180"/>
  <c r="K289" i="180"/>
  <c r="K290" i="180"/>
  <c r="K291" i="180"/>
  <c r="K292" i="180"/>
  <c r="K293" i="180"/>
  <c r="K294" i="180"/>
  <c r="K295" i="180"/>
  <c r="K296" i="180"/>
  <c r="K297" i="180"/>
  <c r="K298" i="180"/>
  <c r="K299" i="180"/>
  <c r="K300" i="180"/>
  <c r="K301" i="180"/>
  <c r="K302" i="180"/>
  <c r="K304" i="180"/>
  <c r="K306" i="180"/>
  <c r="K307" i="180"/>
  <c r="K308" i="180"/>
  <c r="K310" i="180"/>
  <c r="K311" i="180"/>
  <c r="K312" i="180"/>
  <c r="K313" i="180"/>
  <c r="K314" i="180"/>
  <c r="K315" i="180"/>
  <c r="K316" i="180"/>
  <c r="K317" i="180"/>
  <c r="K318" i="180"/>
  <c r="K319" i="180"/>
  <c r="K320" i="180"/>
  <c r="K321" i="180"/>
  <c r="K322" i="180"/>
  <c r="K327" i="180"/>
  <c r="K329" i="180"/>
  <c r="K330" i="180"/>
  <c r="K331" i="180"/>
  <c r="K332" i="180"/>
  <c r="K334" i="180"/>
  <c r="K335" i="180"/>
  <c r="K336" i="180"/>
  <c r="K338" i="180"/>
  <c r="K339" i="180"/>
  <c r="K340" i="180"/>
  <c r="K341" i="180"/>
  <c r="K342" i="180"/>
  <c r="K343" i="180"/>
  <c r="K344" i="180"/>
  <c r="K346" i="180"/>
  <c r="K348" i="180"/>
  <c r="K350" i="180"/>
  <c r="K354" i="180"/>
  <c r="K355" i="180"/>
  <c r="K356" i="180"/>
  <c r="K357" i="180"/>
  <c r="K358" i="180"/>
  <c r="K359" i="180"/>
  <c r="K360" i="180"/>
  <c r="K361" i="180"/>
  <c r="K363" i="180"/>
  <c r="K364" i="180"/>
  <c r="K365" i="180"/>
  <c r="K366" i="180"/>
  <c r="K367" i="180"/>
  <c r="K369" i="180"/>
  <c r="K371" i="180"/>
  <c r="K372" i="180"/>
  <c r="K373" i="180"/>
  <c r="K374" i="180"/>
  <c r="K375" i="180"/>
  <c r="K376" i="180"/>
  <c r="K378" i="180"/>
  <c r="K379" i="180"/>
  <c r="K380" i="180"/>
  <c r="K381" i="180"/>
  <c r="K383" i="180"/>
  <c r="K384" i="180"/>
  <c r="K385" i="180"/>
  <c r="K386" i="180"/>
  <c r="K387" i="180"/>
  <c r="K388" i="180"/>
  <c r="K389" i="180"/>
  <c r="K390" i="180"/>
  <c r="K391" i="180"/>
  <c r="K392" i="180"/>
  <c r="K393" i="180"/>
  <c r="K394" i="180"/>
  <c r="K395" i="180"/>
  <c r="K396" i="180"/>
  <c r="K397" i="180"/>
  <c r="K398" i="180"/>
  <c r="K399" i="180"/>
  <c r="K400" i="180"/>
  <c r="K401" i="180"/>
  <c r="K402" i="180"/>
  <c r="K403" i="180"/>
  <c r="K404" i="180"/>
  <c r="K405" i="180"/>
  <c r="K406" i="180"/>
  <c r="K407" i="180"/>
  <c r="K408" i="180"/>
  <c r="K409" i="180"/>
  <c r="K410" i="180"/>
  <c r="K411" i="180"/>
  <c r="K412" i="180"/>
  <c r="K413" i="180"/>
  <c r="K414" i="180"/>
  <c r="K415" i="180"/>
  <c r="K416" i="180"/>
  <c r="K417" i="180"/>
  <c r="K418" i="180"/>
  <c r="K419" i="180"/>
  <c r="K420" i="180"/>
  <c r="K421" i="180"/>
  <c r="K422" i="180"/>
  <c r="K423" i="180"/>
  <c r="K424" i="180"/>
  <c r="K425" i="180"/>
  <c r="K426" i="180"/>
  <c r="K427" i="180"/>
  <c r="K428" i="180"/>
  <c r="K429" i="180"/>
  <c r="K430" i="180"/>
  <c r="K431" i="180"/>
  <c r="K432" i="180"/>
  <c r="K433" i="180"/>
  <c r="K434" i="180"/>
  <c r="K436" i="180"/>
  <c r="K437" i="180"/>
  <c r="K438" i="180"/>
  <c r="K439" i="180"/>
  <c r="K440" i="180"/>
  <c r="K441" i="180"/>
  <c r="K442" i="180"/>
  <c r="K443" i="180"/>
  <c r="K445" i="180"/>
  <c r="K446" i="180"/>
  <c r="K447" i="180"/>
  <c r="K448" i="180"/>
  <c r="K449" i="180"/>
  <c r="K450" i="180"/>
  <c r="K451" i="180"/>
  <c r="K452" i="180"/>
  <c r="K453" i="180"/>
  <c r="K454" i="180"/>
  <c r="K455" i="180"/>
  <c r="K456" i="180"/>
  <c r="K457" i="180"/>
  <c r="K458" i="180"/>
  <c r="K460" i="180"/>
  <c r="K461" i="180"/>
  <c r="K462" i="180"/>
  <c r="K463" i="180"/>
  <c r="K464" i="180"/>
  <c r="K467" i="180"/>
  <c r="K469" i="180"/>
  <c r="K470" i="180"/>
  <c r="K472" i="180"/>
  <c r="K473" i="180"/>
  <c r="K474" i="180"/>
  <c r="K475" i="180"/>
  <c r="K476" i="180"/>
  <c r="K477" i="180"/>
  <c r="K481" i="180"/>
  <c r="K482" i="180"/>
  <c r="K483" i="180"/>
  <c r="K484" i="180"/>
  <c r="K485" i="180"/>
  <c r="K486" i="180"/>
  <c r="K487" i="180"/>
  <c r="K491" i="180"/>
  <c r="K495" i="180"/>
  <c r="K496" i="180"/>
  <c r="K498" i="180"/>
  <c r="K499" i="180"/>
  <c r="K500" i="180"/>
  <c r="K501" i="180"/>
  <c r="K502" i="180"/>
  <c r="K504" i="180"/>
  <c r="K506" i="180"/>
  <c r="K507" i="180"/>
  <c r="K509" i="180"/>
  <c r="K510" i="180"/>
  <c r="K511" i="180"/>
  <c r="K514" i="180"/>
  <c r="K515" i="180"/>
  <c r="K516" i="180"/>
  <c r="K517" i="180"/>
  <c r="K518" i="180"/>
  <c r="K519" i="180"/>
  <c r="K520" i="180"/>
  <c r="K521" i="180"/>
  <c r="K522" i="180"/>
  <c r="K523" i="180"/>
  <c r="K524" i="180"/>
  <c r="K525" i="180"/>
  <c r="K526" i="180"/>
  <c r="K527" i="180"/>
  <c r="K528" i="180"/>
  <c r="K529" i="180"/>
  <c r="K530" i="180"/>
  <c r="K531" i="180"/>
  <c r="K532" i="180"/>
  <c r="K533" i="180"/>
  <c r="K534" i="180"/>
  <c r="K535" i="180"/>
  <c r="K536" i="180"/>
  <c r="K537" i="180"/>
  <c r="K538" i="180"/>
  <c r="K539" i="180"/>
  <c r="K540" i="180"/>
  <c r="K541" i="180"/>
  <c r="K543" i="180"/>
  <c r="K544" i="180"/>
  <c r="K545" i="180"/>
  <c r="K546" i="180"/>
  <c r="K547" i="180"/>
  <c r="K549" i="180"/>
  <c r="K551" i="180"/>
  <c r="K552" i="180"/>
  <c r="K555" i="180"/>
  <c r="K556" i="180"/>
  <c r="K557" i="180"/>
  <c r="K560" i="180"/>
  <c r="K564" i="180"/>
  <c r="K565" i="180"/>
  <c r="K566" i="180"/>
  <c r="K567" i="180"/>
  <c r="K568" i="180"/>
  <c r="K569" i="180"/>
  <c r="K570" i="180"/>
  <c r="K571" i="180"/>
  <c r="K572" i="180"/>
  <c r="K576" i="180"/>
  <c r="K577" i="180"/>
  <c r="K578" i="180"/>
  <c r="K579" i="180"/>
  <c r="K580" i="180"/>
  <c r="K581" i="180"/>
  <c r="K582" i="180"/>
  <c r="K583" i="180"/>
  <c r="K584" i="180"/>
  <c r="K585" i="180"/>
  <c r="K586" i="180"/>
  <c r="K590" i="180"/>
  <c r="K591" i="180"/>
  <c r="K592" i="180"/>
  <c r="K593" i="180"/>
  <c r="K594" i="180"/>
  <c r="K595" i="180"/>
  <c r="K596" i="180"/>
  <c r="K597" i="180"/>
  <c r="K598" i="180"/>
  <c r="K599" i="180"/>
  <c r="K600" i="180"/>
  <c r="K601" i="180"/>
  <c r="K602" i="180"/>
  <c r="K603" i="180"/>
  <c r="K604" i="180"/>
  <c r="K605" i="180"/>
  <c r="K606" i="180"/>
  <c r="K607" i="180"/>
  <c r="K608" i="180"/>
  <c r="K609" i="180"/>
  <c r="K610" i="180"/>
  <c r="K611" i="180"/>
  <c r="K612" i="180"/>
  <c r="K613" i="180"/>
  <c r="K614" i="180"/>
  <c r="K615" i="180"/>
  <c r="K616" i="180"/>
  <c r="K617" i="180"/>
  <c r="K618" i="180"/>
  <c r="K619" i="180"/>
  <c r="K620" i="180"/>
  <c r="K621" i="180"/>
  <c r="K622" i="180"/>
  <c r="K623" i="180"/>
  <c r="K624" i="180"/>
  <c r="K625" i="180"/>
  <c r="K626" i="180"/>
  <c r="K627" i="180"/>
  <c r="K628" i="180"/>
  <c r="K629" i="180"/>
  <c r="K630" i="180"/>
  <c r="K631" i="180"/>
  <c r="K632" i="180"/>
  <c r="K633" i="180"/>
  <c r="K634" i="180"/>
  <c r="K635" i="180"/>
  <c r="K636" i="180"/>
  <c r="K637" i="180"/>
  <c r="K638" i="180"/>
  <c r="K639" i="180"/>
  <c r="K640" i="180"/>
  <c r="K641" i="180"/>
  <c r="K642" i="180"/>
  <c r="K643" i="180"/>
  <c r="K644" i="180"/>
  <c r="K645" i="180"/>
  <c r="K646" i="180"/>
  <c r="K647" i="180"/>
  <c r="K648" i="180"/>
  <c r="K649" i="180"/>
  <c r="K651" i="180"/>
  <c r="K652" i="180"/>
  <c r="K653" i="180"/>
  <c r="K654" i="180"/>
  <c r="K655" i="180"/>
  <c r="K656" i="180"/>
  <c r="K659" i="180"/>
  <c r="K660" i="180"/>
  <c r="K661" i="180"/>
  <c r="K662" i="180"/>
  <c r="K664" i="180"/>
  <c r="K665" i="180"/>
  <c r="K666" i="180"/>
  <c r="K670" i="180"/>
  <c r="K671" i="180"/>
  <c r="K672" i="180"/>
  <c r="K673" i="180"/>
  <c r="K674" i="180"/>
  <c r="K675" i="180"/>
  <c r="K680" i="180"/>
  <c r="K681" i="180"/>
  <c r="K682" i="180"/>
  <c r="K683" i="180"/>
  <c r="K684" i="180"/>
  <c r="K685" i="180"/>
  <c r="K686" i="180"/>
  <c r="K687" i="180"/>
  <c r="K689" i="180"/>
  <c r="K692" i="180"/>
  <c r="K693" i="180"/>
  <c r="K694" i="180"/>
  <c r="K695" i="180"/>
  <c r="K697" i="180"/>
  <c r="K698" i="180"/>
  <c r="K699" i="180"/>
  <c r="K700" i="180"/>
  <c r="K701" i="180"/>
  <c r="K705" i="180"/>
  <c r="K706" i="180"/>
  <c r="K707" i="180"/>
  <c r="K708" i="180"/>
  <c r="K710" i="180"/>
  <c r="K711" i="180"/>
  <c r="K713" i="180"/>
  <c r="K714" i="180"/>
  <c r="K715" i="180"/>
  <c r="K716" i="180"/>
  <c r="K718" i="180"/>
  <c r="K719" i="180"/>
  <c r="K720" i="180"/>
  <c r="K723" i="180"/>
  <c r="K725" i="180"/>
  <c r="K729" i="180"/>
  <c r="K730" i="180"/>
  <c r="K731" i="180"/>
  <c r="K732" i="180"/>
  <c r="K734" i="180"/>
  <c r="K735" i="180"/>
  <c r="K736" i="180"/>
  <c r="K737" i="180"/>
  <c r="K740" i="180"/>
  <c r="K742" i="180"/>
  <c r="K743" i="180"/>
  <c r="K745" i="180"/>
  <c r="K749" i="180"/>
  <c r="K751" i="180"/>
  <c r="K752" i="180"/>
  <c r="K756" i="180"/>
  <c r="K761" i="180"/>
  <c r="K768" i="180"/>
  <c r="K769" i="180"/>
  <c r="K770" i="180"/>
  <c r="K771" i="180"/>
  <c r="K772" i="180"/>
  <c r="K773" i="180"/>
  <c r="K774" i="180"/>
  <c r="K777" i="180"/>
  <c r="K778" i="180"/>
  <c r="K780" i="180"/>
  <c r="K781" i="180"/>
  <c r="K782" i="180"/>
  <c r="K787" i="180"/>
  <c r="K788" i="180"/>
  <c r="K790" i="180"/>
  <c r="K791" i="180"/>
  <c r="K792" i="180"/>
  <c r="K794" i="180"/>
  <c r="K796" i="180"/>
  <c r="K798" i="180"/>
  <c r="K799" i="180"/>
  <c r="K802" i="180"/>
  <c r="K803" i="180"/>
  <c r="K804" i="180"/>
  <c r="K805" i="180"/>
  <c r="K806" i="180"/>
  <c r="K807" i="180"/>
  <c r="K808" i="180"/>
  <c r="K809" i="180"/>
  <c r="K810" i="180"/>
  <c r="K811" i="180"/>
  <c r="K814" i="180"/>
  <c r="K815" i="180"/>
  <c r="K817" i="180"/>
  <c r="K818" i="180"/>
  <c r="K819" i="180"/>
  <c r="K822" i="180"/>
  <c r="K824" i="180"/>
  <c r="K828" i="180"/>
  <c r="K830" i="180"/>
  <c r="K832" i="180"/>
  <c r="K833" i="180"/>
  <c r="J7" i="180"/>
  <c r="J9" i="180"/>
  <c r="J10" i="180"/>
  <c r="J12" i="180"/>
  <c r="J13" i="180"/>
  <c r="J14" i="180"/>
  <c r="J15" i="180"/>
  <c r="J16" i="180"/>
  <c r="J17" i="180"/>
  <c r="J19" i="180"/>
  <c r="J21" i="180"/>
  <c r="J23" i="180"/>
  <c r="J24" i="180"/>
  <c r="J25" i="180"/>
  <c r="J27" i="180"/>
  <c r="J29" i="180"/>
  <c r="J31" i="180"/>
  <c r="J33" i="180"/>
  <c r="J34" i="180"/>
  <c r="J36" i="180"/>
  <c r="J38" i="180"/>
  <c r="J41" i="180"/>
  <c r="J43" i="180"/>
  <c r="J44" i="180"/>
  <c r="J49" i="180"/>
  <c r="J50" i="180"/>
  <c r="J51" i="180"/>
  <c r="J52" i="180"/>
  <c r="J53" i="180"/>
  <c r="J54" i="180"/>
  <c r="J57" i="180"/>
  <c r="J58" i="180"/>
  <c r="J59" i="180"/>
  <c r="J60" i="180"/>
  <c r="J61" i="180"/>
  <c r="J62" i="180"/>
  <c r="J64" i="180"/>
  <c r="J66" i="180"/>
  <c r="J68" i="180"/>
  <c r="J69" i="180"/>
  <c r="J70" i="180"/>
  <c r="J71" i="180"/>
  <c r="J72" i="180"/>
  <c r="J73" i="180"/>
  <c r="J74" i="180"/>
  <c r="J75" i="180"/>
  <c r="J76" i="180"/>
  <c r="J77" i="180"/>
  <c r="J78" i="180"/>
  <c r="J79" i="180"/>
  <c r="J80" i="180"/>
  <c r="J81" i="180"/>
  <c r="J82" i="180"/>
  <c r="J83" i="180"/>
  <c r="J84" i="180"/>
  <c r="J85" i="180"/>
  <c r="J87" i="180"/>
  <c r="J88" i="180"/>
  <c r="J89" i="180"/>
  <c r="J90" i="180"/>
  <c r="J91" i="180"/>
  <c r="J92" i="180"/>
  <c r="J93" i="180"/>
  <c r="J94" i="180"/>
  <c r="J95" i="180"/>
  <c r="J97" i="180"/>
  <c r="J98" i="180"/>
  <c r="J99" i="180"/>
  <c r="J102" i="180"/>
  <c r="J103" i="180"/>
  <c r="J105" i="180"/>
  <c r="J107" i="180"/>
  <c r="J108" i="180"/>
  <c r="J110" i="180"/>
  <c r="J111" i="180"/>
  <c r="J112" i="180"/>
  <c r="J114" i="180"/>
  <c r="J116" i="180"/>
  <c r="J119" i="180"/>
  <c r="J120" i="180"/>
  <c r="J121" i="180"/>
  <c r="J123" i="180"/>
  <c r="J124" i="180"/>
  <c r="J125" i="180"/>
  <c r="J126" i="180"/>
  <c r="J128" i="180"/>
  <c r="J129" i="180"/>
  <c r="J130" i="180"/>
  <c r="J131" i="180"/>
  <c r="J132" i="180"/>
  <c r="J133" i="180"/>
  <c r="J134" i="180"/>
  <c r="J135" i="180"/>
  <c r="J136" i="180"/>
  <c r="J138" i="180"/>
  <c r="J139" i="180"/>
  <c r="J140" i="180"/>
  <c r="J141" i="180"/>
  <c r="J142" i="180"/>
  <c r="J143" i="180"/>
  <c r="J144" i="180"/>
  <c r="J145" i="180"/>
  <c r="J146" i="180"/>
  <c r="J147" i="180"/>
  <c r="J148" i="180"/>
  <c r="J149" i="180"/>
  <c r="J150" i="180"/>
  <c r="J151" i="180"/>
  <c r="J152" i="180"/>
  <c r="J153" i="180"/>
  <c r="J154" i="180"/>
  <c r="J155" i="180"/>
  <c r="J156" i="180"/>
  <c r="J157" i="180"/>
  <c r="J158" i="180"/>
  <c r="J159" i="180"/>
  <c r="J160" i="180"/>
  <c r="J161" i="180"/>
  <c r="J162" i="180"/>
  <c r="J163" i="180"/>
  <c r="J164" i="180"/>
  <c r="J165" i="180"/>
  <c r="J166" i="180"/>
  <c r="J168" i="180"/>
  <c r="J169" i="180"/>
  <c r="J170" i="180"/>
  <c r="J175" i="180"/>
  <c r="J176" i="180"/>
  <c r="J177" i="180"/>
  <c r="J178" i="180"/>
  <c r="J179" i="180"/>
  <c r="J180" i="180"/>
  <c r="J181" i="180"/>
  <c r="J182" i="180"/>
  <c r="J183" i="180"/>
  <c r="J184" i="180"/>
  <c r="J185" i="180"/>
  <c r="J186" i="180"/>
  <c r="J188" i="180"/>
  <c r="J189" i="180"/>
  <c r="J190" i="180"/>
  <c r="J191" i="180"/>
  <c r="J192" i="180"/>
  <c r="J193" i="180"/>
  <c r="J194" i="180"/>
  <c r="J195" i="180"/>
  <c r="J197" i="180"/>
  <c r="J199" i="180"/>
  <c r="J200" i="180"/>
  <c r="J201" i="180"/>
  <c r="J204" i="180"/>
  <c r="J205" i="180"/>
  <c r="J206" i="180"/>
  <c r="J207" i="180"/>
  <c r="J208" i="180"/>
  <c r="J210" i="180"/>
  <c r="J213" i="180"/>
  <c r="J214" i="180"/>
  <c r="J215" i="180"/>
  <c r="J216" i="180"/>
  <c r="J217" i="180"/>
  <c r="J218" i="180"/>
  <c r="J219" i="180"/>
  <c r="J220" i="180"/>
  <c r="J221" i="180"/>
  <c r="J225" i="180"/>
  <c r="J226" i="180"/>
  <c r="J227" i="180"/>
  <c r="J228" i="180"/>
  <c r="J232" i="180"/>
  <c r="J233" i="180"/>
  <c r="J237" i="180"/>
  <c r="J238" i="180"/>
  <c r="J239" i="180"/>
  <c r="J240" i="180"/>
  <c r="J241" i="180"/>
  <c r="J242" i="180"/>
  <c r="J243" i="180"/>
  <c r="J244" i="180"/>
  <c r="J245" i="180"/>
  <c r="J246" i="180"/>
  <c r="J247" i="180"/>
  <c r="J248" i="180"/>
  <c r="J249" i="180"/>
  <c r="J250" i="180"/>
  <c r="J251" i="180"/>
  <c r="J252" i="180"/>
  <c r="J253" i="180"/>
  <c r="J254" i="180"/>
  <c r="J255" i="180"/>
  <c r="J256" i="180"/>
  <c r="J257" i="180"/>
  <c r="J258" i="180"/>
  <c r="J259" i="180"/>
  <c r="J260" i="180"/>
  <c r="J261" i="180"/>
  <c r="J262" i="180"/>
  <c r="J264" i="180"/>
  <c r="J265" i="180"/>
  <c r="J266" i="180"/>
  <c r="J267" i="180"/>
  <c r="J268" i="180"/>
  <c r="J269" i="180"/>
  <c r="J270" i="180"/>
  <c r="J271" i="180"/>
  <c r="J272" i="180"/>
  <c r="J273" i="180"/>
  <c r="J274" i="180"/>
  <c r="J275" i="180"/>
  <c r="J276" i="180"/>
  <c r="J277" i="180"/>
  <c r="J278" i="180"/>
  <c r="J279" i="180"/>
  <c r="J281" i="180"/>
  <c r="J283" i="180"/>
  <c r="J284" i="180"/>
  <c r="J285" i="180"/>
  <c r="J287" i="180"/>
  <c r="J288" i="180"/>
  <c r="J289" i="180"/>
  <c r="J290" i="180"/>
  <c r="J291" i="180"/>
  <c r="J292" i="180"/>
  <c r="J293" i="180"/>
  <c r="J294" i="180"/>
  <c r="J295" i="180"/>
  <c r="J296" i="180"/>
  <c r="J297" i="180"/>
  <c r="J298" i="180"/>
  <c r="J299" i="180"/>
  <c r="J300" i="180"/>
  <c r="J301" i="180"/>
  <c r="J302" i="180"/>
  <c r="J304" i="180"/>
  <c r="J306" i="180"/>
  <c r="J307" i="180"/>
  <c r="J308" i="180"/>
  <c r="J309" i="180"/>
  <c r="J310" i="180"/>
  <c r="J311" i="180"/>
  <c r="J312" i="180"/>
  <c r="J313" i="180"/>
  <c r="J314" i="180"/>
  <c r="J315" i="180"/>
  <c r="J316" i="180"/>
  <c r="J317" i="180"/>
  <c r="J318" i="180"/>
  <c r="J319" i="180"/>
  <c r="J320" i="180"/>
  <c r="J321" i="180"/>
  <c r="J322" i="180"/>
  <c r="J323" i="180"/>
  <c r="J327" i="180"/>
  <c r="J329" i="180"/>
  <c r="J330" i="180"/>
  <c r="J331" i="180"/>
  <c r="J332" i="180"/>
  <c r="J334" i="180"/>
  <c r="J335" i="180"/>
  <c r="J336" i="180"/>
  <c r="J338" i="180"/>
  <c r="J339" i="180"/>
  <c r="J340" i="180"/>
  <c r="J341" i="180"/>
  <c r="J342" i="180"/>
  <c r="J343" i="180"/>
  <c r="J344" i="180"/>
  <c r="J346" i="180"/>
  <c r="J348" i="180"/>
  <c r="J350" i="180"/>
  <c r="J354" i="180"/>
  <c r="J355" i="180"/>
  <c r="J356" i="180"/>
  <c r="J357" i="180"/>
  <c r="J358" i="180"/>
  <c r="J359" i="180"/>
  <c r="J360" i="180"/>
  <c r="J361" i="180"/>
  <c r="J363" i="180"/>
  <c r="J364" i="180"/>
  <c r="J365" i="180"/>
  <c r="J366" i="180"/>
  <c r="J367" i="180"/>
  <c r="J369" i="180"/>
  <c r="J371" i="180"/>
  <c r="J372" i="180"/>
  <c r="J373" i="180"/>
  <c r="J374" i="180"/>
  <c r="J375" i="180"/>
  <c r="J376" i="180"/>
  <c r="J378" i="180"/>
  <c r="J379" i="180"/>
  <c r="J380" i="180"/>
  <c r="J381" i="180"/>
  <c r="J383" i="180"/>
  <c r="J384" i="180"/>
  <c r="J385" i="180"/>
  <c r="J386" i="180"/>
  <c r="J387" i="180"/>
  <c r="J388" i="180"/>
  <c r="J389" i="180"/>
  <c r="J390" i="180"/>
  <c r="J391" i="180"/>
  <c r="J392" i="180"/>
  <c r="J393" i="180"/>
  <c r="J394" i="180"/>
  <c r="J395" i="180"/>
  <c r="J396" i="180"/>
  <c r="J397" i="180"/>
  <c r="J398" i="180"/>
  <c r="J399" i="180"/>
  <c r="J400" i="180"/>
  <c r="J401" i="180"/>
  <c r="J402" i="180"/>
  <c r="J403" i="180"/>
  <c r="J404" i="180"/>
  <c r="J405" i="180"/>
  <c r="J406" i="180"/>
  <c r="J407" i="180"/>
  <c r="J408" i="180"/>
  <c r="J409" i="180"/>
  <c r="J410" i="180"/>
  <c r="J411" i="180"/>
  <c r="J412" i="180"/>
  <c r="J413" i="180"/>
  <c r="J414" i="180"/>
  <c r="J415" i="180"/>
  <c r="J416" i="180"/>
  <c r="J417" i="180"/>
  <c r="J418" i="180"/>
  <c r="J419" i="180"/>
  <c r="J420" i="180"/>
  <c r="J421" i="180"/>
  <c r="J422" i="180"/>
  <c r="J423" i="180"/>
  <c r="J424" i="180"/>
  <c r="J425" i="180"/>
  <c r="J426" i="180"/>
  <c r="J427" i="180"/>
  <c r="J428" i="180"/>
  <c r="J429" i="180"/>
  <c r="J430" i="180"/>
  <c r="J431" i="180"/>
  <c r="J432" i="180"/>
  <c r="J433" i="180"/>
  <c r="J434" i="180"/>
  <c r="J436" i="180"/>
  <c r="J437" i="180"/>
  <c r="J438" i="180"/>
  <c r="J439" i="180"/>
  <c r="J440" i="180"/>
  <c r="J441" i="180"/>
  <c r="J442" i="180"/>
  <c r="J443" i="180"/>
  <c r="J445" i="180"/>
  <c r="J446" i="180"/>
  <c r="J447" i="180"/>
  <c r="J448" i="180"/>
  <c r="J449" i="180"/>
  <c r="J450" i="180"/>
  <c r="J451" i="180"/>
  <c r="J452" i="180"/>
  <c r="J453" i="180"/>
  <c r="J454" i="180"/>
  <c r="J455" i="180"/>
  <c r="J456" i="180"/>
  <c r="J457" i="180"/>
  <c r="J458" i="180"/>
  <c r="J460" i="180"/>
  <c r="J461" i="180"/>
  <c r="J462" i="180"/>
  <c r="J463" i="180"/>
  <c r="J464" i="180"/>
  <c r="J467" i="180"/>
  <c r="J469" i="180"/>
  <c r="J470" i="180"/>
  <c r="J472" i="180"/>
  <c r="J473" i="180"/>
  <c r="J474" i="180"/>
  <c r="J475" i="180"/>
  <c r="J476" i="180"/>
  <c r="J477" i="180"/>
  <c r="J481" i="180"/>
  <c r="J482" i="180"/>
  <c r="J483" i="180"/>
  <c r="J484" i="180"/>
  <c r="J485" i="180"/>
  <c r="J486" i="180"/>
  <c r="J487" i="180"/>
  <c r="J489" i="180"/>
  <c r="J491" i="180"/>
  <c r="J495" i="180"/>
  <c r="J496" i="180"/>
  <c r="J498" i="180"/>
  <c r="J499" i="180"/>
  <c r="J500" i="180"/>
  <c r="J501" i="180"/>
  <c r="J502" i="180"/>
  <c r="J504" i="180"/>
  <c r="J506" i="180"/>
  <c r="J507" i="180"/>
  <c r="J509" i="180"/>
  <c r="J510" i="180"/>
  <c r="J511" i="180"/>
  <c r="J514" i="180"/>
  <c r="J515" i="180"/>
  <c r="J516" i="180"/>
  <c r="J517" i="180"/>
  <c r="J518" i="180"/>
  <c r="J519" i="180"/>
  <c r="J520" i="180"/>
  <c r="J521" i="180"/>
  <c r="J522" i="180"/>
  <c r="J523" i="180"/>
  <c r="J524" i="180"/>
  <c r="J525" i="180"/>
  <c r="J526" i="180"/>
  <c r="J527" i="180"/>
  <c r="J528" i="180"/>
  <c r="J529" i="180"/>
  <c r="J530" i="180"/>
  <c r="J531" i="180"/>
  <c r="J532" i="180"/>
  <c r="J533" i="180"/>
  <c r="J534" i="180"/>
  <c r="J535" i="180"/>
  <c r="J536" i="180"/>
  <c r="J537" i="180"/>
  <c r="J538" i="180"/>
  <c r="J539" i="180"/>
  <c r="J540" i="180"/>
  <c r="J541" i="180"/>
  <c r="J543" i="180"/>
  <c r="J544" i="180"/>
  <c r="J545" i="180"/>
  <c r="J546" i="180"/>
  <c r="J547" i="180"/>
  <c r="J549" i="180"/>
  <c r="J551" i="180"/>
  <c r="J552" i="180"/>
  <c r="J555" i="180"/>
  <c r="J556" i="180"/>
  <c r="J557" i="180"/>
  <c r="J560" i="180"/>
  <c r="J564" i="180"/>
  <c r="J565" i="180"/>
  <c r="J566" i="180"/>
  <c r="J567" i="180"/>
  <c r="J568" i="180"/>
  <c r="J569" i="180"/>
  <c r="J570" i="180"/>
  <c r="J571" i="180"/>
  <c r="J572" i="180"/>
  <c r="J576" i="180"/>
  <c r="J577" i="180"/>
  <c r="J578" i="180"/>
  <c r="J579" i="180"/>
  <c r="J580" i="180"/>
  <c r="J581" i="180"/>
  <c r="J582" i="180"/>
  <c r="J583" i="180"/>
  <c r="J584" i="180"/>
  <c r="J585" i="180"/>
  <c r="J586" i="180"/>
  <c r="J590" i="180"/>
  <c r="J591" i="180"/>
  <c r="J592" i="180"/>
  <c r="J593" i="180"/>
  <c r="J594" i="180"/>
  <c r="J595" i="180"/>
  <c r="J596" i="180"/>
  <c r="J597" i="180"/>
  <c r="J598" i="180"/>
  <c r="J599" i="180"/>
  <c r="J600" i="180"/>
  <c r="J601" i="180"/>
  <c r="J602" i="180"/>
  <c r="J603" i="180"/>
  <c r="J604" i="180"/>
  <c r="J605" i="180"/>
  <c r="J606" i="180"/>
  <c r="J607" i="180"/>
  <c r="J608" i="180"/>
  <c r="J609" i="180"/>
  <c r="J610" i="180"/>
  <c r="J611" i="180"/>
  <c r="J612" i="180"/>
  <c r="J613" i="180"/>
  <c r="J614" i="180"/>
  <c r="J615" i="180"/>
  <c r="J616" i="180"/>
  <c r="J617" i="180"/>
  <c r="J618" i="180"/>
  <c r="J619" i="180"/>
  <c r="J620" i="180"/>
  <c r="J621" i="180"/>
  <c r="J622" i="180"/>
  <c r="J623" i="180"/>
  <c r="J624" i="180"/>
  <c r="J625" i="180"/>
  <c r="J626" i="180"/>
  <c r="J627" i="180"/>
  <c r="J628" i="180"/>
  <c r="J629" i="180"/>
  <c r="J630" i="180"/>
  <c r="J631" i="180"/>
  <c r="J632" i="180"/>
  <c r="J633" i="180"/>
  <c r="J634" i="180"/>
  <c r="J635" i="180"/>
  <c r="J636" i="180"/>
  <c r="J637" i="180"/>
  <c r="J638" i="180"/>
  <c r="J639" i="180"/>
  <c r="J640" i="180"/>
  <c r="J641" i="180"/>
  <c r="J642" i="180"/>
  <c r="J643" i="180"/>
  <c r="J644" i="180"/>
  <c r="J645" i="180"/>
  <c r="J646" i="180"/>
  <c r="J647" i="180"/>
  <c r="J648" i="180"/>
  <c r="J649" i="180"/>
  <c r="J651" i="180"/>
  <c r="J652" i="180"/>
  <c r="J653" i="180"/>
  <c r="J654" i="180"/>
  <c r="J655" i="180"/>
  <c r="J656" i="180"/>
  <c r="J659" i="180"/>
  <c r="J660" i="180"/>
  <c r="J661" i="180"/>
  <c r="J662" i="180"/>
  <c r="J664" i="180"/>
  <c r="J665" i="180"/>
  <c r="J666" i="180"/>
  <c r="J670" i="180"/>
  <c r="J671" i="180"/>
  <c r="J672" i="180"/>
  <c r="J673" i="180"/>
  <c r="J674" i="180"/>
  <c r="J675" i="180"/>
  <c r="J676" i="180"/>
  <c r="J680" i="180"/>
  <c r="J681" i="180"/>
  <c r="J682" i="180"/>
  <c r="J683" i="180"/>
  <c r="J684" i="180"/>
  <c r="J685" i="180"/>
  <c r="J686" i="180"/>
  <c r="J687" i="180"/>
  <c r="J689" i="180"/>
  <c r="J692" i="180"/>
  <c r="J693" i="180"/>
  <c r="J694" i="180"/>
  <c r="J695" i="180"/>
  <c r="J697" i="180"/>
  <c r="J698" i="180"/>
  <c r="J699" i="180"/>
  <c r="J700" i="180"/>
  <c r="J701" i="180"/>
  <c r="J705" i="180"/>
  <c r="J706" i="180"/>
  <c r="J707" i="180"/>
  <c r="J708" i="180"/>
  <c r="J710" i="180"/>
  <c r="J711" i="180"/>
  <c r="J713" i="180"/>
  <c r="J714" i="180"/>
  <c r="J715" i="180"/>
  <c r="J716" i="180"/>
  <c r="J718" i="180"/>
  <c r="J719" i="180"/>
  <c r="J720" i="180"/>
  <c r="J723" i="180"/>
  <c r="J725" i="180"/>
  <c r="J729" i="180"/>
  <c r="J730" i="180"/>
  <c r="J731" i="180"/>
  <c r="J732" i="180"/>
  <c r="J734" i="180"/>
  <c r="J735" i="180"/>
  <c r="J736" i="180"/>
  <c r="J737" i="180"/>
  <c r="J740" i="180"/>
  <c r="J742" i="180"/>
  <c r="J743" i="180"/>
  <c r="J745" i="180"/>
  <c r="J747" i="180"/>
  <c r="J749" i="180"/>
  <c r="J751" i="180"/>
  <c r="J752" i="180"/>
  <c r="J754" i="180"/>
  <c r="J756" i="180"/>
  <c r="J758" i="180"/>
  <c r="J761" i="180"/>
  <c r="J768" i="180"/>
  <c r="J769" i="180"/>
  <c r="J770" i="180"/>
  <c r="J771" i="180"/>
  <c r="J772" i="180"/>
  <c r="J773" i="180"/>
  <c r="J774" i="180"/>
  <c r="J775" i="180"/>
  <c r="J776" i="180"/>
  <c r="J777" i="180"/>
  <c r="J778" i="180"/>
  <c r="J780" i="180"/>
  <c r="J781" i="180"/>
  <c r="J782" i="180"/>
  <c r="J784" i="180"/>
  <c r="J785" i="180"/>
  <c r="J787" i="180"/>
  <c r="J788" i="180"/>
  <c r="J790" i="180"/>
  <c r="J791" i="180"/>
  <c r="J793" i="180"/>
  <c r="J794" i="180"/>
  <c r="J796" i="180"/>
  <c r="J798" i="180"/>
  <c r="J799" i="180"/>
  <c r="J800" i="180"/>
  <c r="J802" i="180"/>
  <c r="J803" i="180"/>
  <c r="J804" i="180"/>
  <c r="J805" i="180"/>
  <c r="J806" i="180"/>
  <c r="J807" i="180"/>
  <c r="J808" i="180"/>
  <c r="J809" i="180"/>
  <c r="J810" i="180"/>
  <c r="J811" i="180"/>
  <c r="J814" i="180"/>
  <c r="J815" i="180"/>
  <c r="J817" i="180"/>
  <c r="J818" i="180"/>
  <c r="J819" i="180"/>
  <c r="J822" i="180"/>
  <c r="J824" i="180"/>
  <c r="J825" i="180"/>
  <c r="J826" i="180"/>
  <c r="J827" i="180"/>
  <c r="J828" i="180"/>
  <c r="J829" i="180"/>
  <c r="J830" i="180"/>
  <c r="J832" i="180"/>
  <c r="J833" i="180"/>
  <c r="I7" i="180"/>
  <c r="I9" i="180"/>
  <c r="I10" i="180"/>
  <c r="I12" i="180"/>
  <c r="I13" i="180"/>
  <c r="I14" i="180"/>
  <c r="I15" i="180"/>
  <c r="I16" i="180"/>
  <c r="I17" i="180"/>
  <c r="I19" i="180"/>
  <c r="I21" i="180"/>
  <c r="I23" i="180"/>
  <c r="I24" i="180"/>
  <c r="I25" i="180"/>
  <c r="I27" i="180"/>
  <c r="I29" i="180"/>
  <c r="I31" i="180"/>
  <c r="I33" i="180"/>
  <c r="I34" i="180"/>
  <c r="I36" i="180"/>
  <c r="I38" i="180"/>
  <c r="I41" i="180"/>
  <c r="I43" i="180"/>
  <c r="I44" i="180"/>
  <c r="I49" i="180"/>
  <c r="I50" i="180"/>
  <c r="I52" i="180"/>
  <c r="I53" i="180"/>
  <c r="I54" i="180"/>
  <c r="I57" i="180"/>
  <c r="I58" i="180"/>
  <c r="I59" i="180"/>
  <c r="I60" i="180"/>
  <c r="I61" i="180"/>
  <c r="I62" i="180"/>
  <c r="I64" i="180"/>
  <c r="I66" i="180"/>
  <c r="I68" i="180"/>
  <c r="I69" i="180"/>
  <c r="I70" i="180"/>
  <c r="I71" i="180"/>
  <c r="I72" i="180"/>
  <c r="I73" i="180"/>
  <c r="I74" i="180"/>
  <c r="I75" i="180"/>
  <c r="I76" i="180"/>
  <c r="I77" i="180"/>
  <c r="I78" i="180"/>
  <c r="I79" i="180"/>
  <c r="I80" i="180"/>
  <c r="I81" i="180"/>
  <c r="I83" i="180"/>
  <c r="I84" i="180"/>
  <c r="I85" i="180"/>
  <c r="I87" i="180"/>
  <c r="I88" i="180"/>
  <c r="I89" i="180"/>
  <c r="I90" i="180"/>
  <c r="I91" i="180"/>
  <c r="I92" i="180"/>
  <c r="I93" i="180"/>
  <c r="I94" i="180"/>
  <c r="I95" i="180"/>
  <c r="I97" i="180"/>
  <c r="I98" i="180"/>
  <c r="I99" i="180"/>
  <c r="I102" i="180"/>
  <c r="I103" i="180"/>
  <c r="I107" i="180"/>
  <c r="I108" i="180"/>
  <c r="I110" i="180"/>
  <c r="I111" i="180"/>
  <c r="I112" i="180"/>
  <c r="I116" i="180"/>
  <c r="I119" i="180"/>
  <c r="I120" i="180"/>
  <c r="I121" i="180"/>
  <c r="I123" i="180"/>
  <c r="I124" i="180"/>
  <c r="I125" i="180"/>
  <c r="I126" i="180"/>
  <c r="I128" i="180"/>
  <c r="I129" i="180"/>
  <c r="I130" i="180"/>
  <c r="I131" i="180"/>
  <c r="I132" i="180"/>
  <c r="I133" i="180"/>
  <c r="I134" i="180"/>
  <c r="I135" i="180"/>
  <c r="I136" i="180"/>
  <c r="I138" i="180"/>
  <c r="I139" i="180"/>
  <c r="I140" i="180"/>
  <c r="I141" i="180"/>
  <c r="I142" i="180"/>
  <c r="I143" i="180"/>
  <c r="I144" i="180"/>
  <c r="I145" i="180"/>
  <c r="I146" i="180"/>
  <c r="I147" i="180"/>
  <c r="I148" i="180"/>
  <c r="I149" i="180"/>
  <c r="I150" i="180"/>
  <c r="I151" i="180"/>
  <c r="I152" i="180"/>
  <c r="I153" i="180"/>
  <c r="I154" i="180"/>
  <c r="I155" i="180"/>
  <c r="I156" i="180"/>
  <c r="I157" i="180"/>
  <c r="I158" i="180"/>
  <c r="I160" i="180"/>
  <c r="I161" i="180"/>
  <c r="I162" i="180"/>
  <c r="I163" i="180"/>
  <c r="I164" i="180"/>
  <c r="I165" i="180"/>
  <c r="I166" i="180"/>
  <c r="I168" i="180"/>
  <c r="I169" i="180"/>
  <c r="I170" i="180"/>
  <c r="I175" i="180"/>
  <c r="I176" i="180"/>
  <c r="I177" i="180"/>
  <c r="I178" i="180"/>
  <c r="I179" i="180"/>
  <c r="I180" i="180"/>
  <c r="I181" i="180"/>
  <c r="I182" i="180"/>
  <c r="I183" i="180"/>
  <c r="I185" i="180"/>
  <c r="I186" i="180"/>
  <c r="I188" i="180"/>
  <c r="I189" i="180"/>
  <c r="I190" i="180"/>
  <c r="I191" i="180"/>
  <c r="I192" i="180"/>
  <c r="I193" i="180"/>
  <c r="I194" i="180"/>
  <c r="I195" i="180"/>
  <c r="I197" i="180"/>
  <c r="I199" i="180"/>
  <c r="I200" i="180"/>
  <c r="I201" i="180"/>
  <c r="I204" i="180"/>
  <c r="I205" i="180"/>
  <c r="I207" i="180"/>
  <c r="I208" i="180"/>
  <c r="I210" i="180"/>
  <c r="I213" i="180"/>
  <c r="I214" i="180"/>
  <c r="I215" i="180"/>
  <c r="I216" i="180"/>
  <c r="I217" i="180"/>
  <c r="I218" i="180"/>
  <c r="I219" i="180"/>
  <c r="I220" i="180"/>
  <c r="I221" i="180"/>
  <c r="I225" i="180"/>
  <c r="I226" i="180"/>
  <c r="I227" i="180"/>
  <c r="I228" i="180"/>
  <c r="I232" i="180"/>
  <c r="I233" i="180"/>
  <c r="I238" i="180"/>
  <c r="I239" i="180"/>
  <c r="I241" i="180"/>
  <c r="I242" i="180"/>
  <c r="I246" i="180"/>
  <c r="I247" i="180"/>
  <c r="I250" i="180"/>
  <c r="I252" i="180"/>
  <c r="I253" i="180"/>
  <c r="I256" i="180"/>
  <c r="I257" i="180"/>
  <c r="I258" i="180"/>
  <c r="I265" i="180"/>
  <c r="I270" i="180"/>
  <c r="I274" i="180"/>
  <c r="I276" i="180"/>
  <c r="I277" i="180"/>
  <c r="I281" i="180"/>
  <c r="I283" i="180"/>
  <c r="I284" i="180"/>
  <c r="I288" i="180"/>
  <c r="I289" i="180"/>
  <c r="I290" i="180"/>
  <c r="I292" i="180"/>
  <c r="I293" i="180"/>
  <c r="I295" i="180"/>
  <c r="I296" i="180"/>
  <c r="I297" i="180"/>
  <c r="I298" i="180"/>
  <c r="I302" i="180"/>
  <c r="I304" i="180"/>
  <c r="I307" i="180"/>
  <c r="I310" i="180"/>
  <c r="I312" i="180"/>
  <c r="I313" i="180"/>
  <c r="I314" i="180"/>
  <c r="I315" i="180"/>
  <c r="I316" i="180"/>
  <c r="I317" i="180"/>
  <c r="I319" i="180"/>
  <c r="I320" i="180"/>
  <c r="I321" i="180"/>
  <c r="I322" i="180"/>
  <c r="I323" i="180"/>
  <c r="I327" i="180"/>
  <c r="I329" i="180"/>
  <c r="I330" i="180"/>
  <c r="I331" i="180"/>
  <c r="I334" i="180"/>
  <c r="I335" i="180"/>
  <c r="I336" i="180"/>
  <c r="I338" i="180"/>
  <c r="I339" i="180"/>
  <c r="I340" i="180"/>
  <c r="I341" i="180"/>
  <c r="I343" i="180"/>
  <c r="I344" i="180"/>
  <c r="I346" i="180"/>
  <c r="I348" i="180"/>
  <c r="I350" i="180"/>
  <c r="I354" i="180"/>
  <c r="I355" i="180"/>
  <c r="I356" i="180"/>
  <c r="I357" i="180"/>
  <c r="I358" i="180"/>
  <c r="I359" i="180"/>
  <c r="I360" i="180"/>
  <c r="I361" i="180"/>
  <c r="I363" i="180"/>
  <c r="I364" i="180"/>
  <c r="I365" i="180"/>
  <c r="I366" i="180"/>
  <c r="I367" i="180"/>
  <c r="I369" i="180"/>
  <c r="I371" i="180"/>
  <c r="I372" i="180"/>
  <c r="I373" i="180"/>
  <c r="I374" i="180"/>
  <c r="I375" i="180"/>
  <c r="I376" i="180"/>
  <c r="I378" i="180"/>
  <c r="I379" i="180"/>
  <c r="I380" i="180"/>
  <c r="I381" i="180"/>
  <c r="I383" i="180"/>
  <c r="I384" i="180"/>
  <c r="I385" i="180"/>
  <c r="I386" i="180"/>
  <c r="I387" i="180"/>
  <c r="I388" i="180"/>
  <c r="I389" i="180"/>
  <c r="I390" i="180"/>
  <c r="I391" i="180"/>
  <c r="I392" i="180"/>
  <c r="I393" i="180"/>
  <c r="I394" i="180"/>
  <c r="I395" i="180"/>
  <c r="I396" i="180"/>
  <c r="I397" i="180"/>
  <c r="I398" i="180"/>
  <c r="I399" i="180"/>
  <c r="I400" i="180"/>
  <c r="I401" i="180"/>
  <c r="I402" i="180"/>
  <c r="I403" i="180"/>
  <c r="I404" i="180"/>
  <c r="I405" i="180"/>
  <c r="I406" i="180"/>
  <c r="I407" i="180"/>
  <c r="I408" i="180"/>
  <c r="I409" i="180"/>
  <c r="I410" i="180"/>
  <c r="I411" i="180"/>
  <c r="I412" i="180"/>
  <c r="I413" i="180"/>
  <c r="I414" i="180"/>
  <c r="I415" i="180"/>
  <c r="I416" i="180"/>
  <c r="I417" i="180"/>
  <c r="I418" i="180"/>
  <c r="I419" i="180"/>
  <c r="I420" i="180"/>
  <c r="I421" i="180"/>
  <c r="I422" i="180"/>
  <c r="I423" i="180"/>
  <c r="I424" i="180"/>
  <c r="I425" i="180"/>
  <c r="I426" i="180"/>
  <c r="I427" i="180"/>
  <c r="I428" i="180"/>
  <c r="I429" i="180"/>
  <c r="I430" i="180"/>
  <c r="I431" i="180"/>
  <c r="I432" i="180"/>
  <c r="I433" i="180"/>
  <c r="I434" i="180"/>
  <c r="I436" i="180"/>
  <c r="I437" i="180"/>
  <c r="I438" i="180"/>
  <c r="I439" i="180"/>
  <c r="I440" i="180"/>
  <c r="I441" i="180"/>
  <c r="I442" i="180"/>
  <c r="I443" i="180"/>
  <c r="I445" i="180"/>
  <c r="I446" i="180"/>
  <c r="I447" i="180"/>
  <c r="I448" i="180"/>
  <c r="I449" i="180"/>
  <c r="I450" i="180"/>
  <c r="I451" i="180"/>
  <c r="I452" i="180"/>
  <c r="I453" i="180"/>
  <c r="I454" i="180"/>
  <c r="I455" i="180"/>
  <c r="I456" i="180"/>
  <c r="I457" i="180"/>
  <c r="I458" i="180"/>
  <c r="I460" i="180"/>
  <c r="I461" i="180"/>
  <c r="I462" i="180"/>
  <c r="I463" i="180"/>
  <c r="I464" i="180"/>
  <c r="I467" i="180"/>
  <c r="I469" i="180"/>
  <c r="I470" i="180"/>
  <c r="I473" i="180"/>
  <c r="I474" i="180"/>
  <c r="I475" i="180"/>
  <c r="I476" i="180"/>
  <c r="I477" i="180"/>
  <c r="I481" i="180"/>
  <c r="I483" i="180"/>
  <c r="I484" i="180"/>
  <c r="I485" i="180"/>
  <c r="I487" i="180"/>
  <c r="I489" i="180"/>
  <c r="I495" i="180"/>
  <c r="I496" i="180"/>
  <c r="I498" i="180"/>
  <c r="I499" i="180"/>
  <c r="I500" i="180"/>
  <c r="I501" i="180"/>
  <c r="I502" i="180"/>
  <c r="I504" i="180"/>
  <c r="I506" i="180"/>
  <c r="I507" i="180"/>
  <c r="I509" i="180"/>
  <c r="I510" i="180"/>
  <c r="I511" i="180"/>
  <c r="I514" i="180"/>
  <c r="I515" i="180"/>
  <c r="I516" i="180"/>
  <c r="I517" i="180"/>
  <c r="I518" i="180"/>
  <c r="I519" i="180"/>
  <c r="I520" i="180"/>
  <c r="I522" i="180"/>
  <c r="I523" i="180"/>
  <c r="I524" i="180"/>
  <c r="I525" i="180"/>
  <c r="I526" i="180"/>
  <c r="I527" i="180"/>
  <c r="I528" i="180"/>
  <c r="I529" i="180"/>
  <c r="I530" i="180"/>
  <c r="I531" i="180"/>
  <c r="I532" i="180"/>
  <c r="I533" i="180"/>
  <c r="I534" i="180"/>
  <c r="I535" i="180"/>
  <c r="I536" i="180"/>
  <c r="I537" i="180"/>
  <c r="I538" i="180"/>
  <c r="I539" i="180"/>
  <c r="I540" i="180"/>
  <c r="I541" i="180"/>
  <c r="I543" i="180"/>
  <c r="I544" i="180"/>
  <c r="I545" i="180"/>
  <c r="I546" i="180"/>
  <c r="I547" i="180"/>
  <c r="I549" i="180"/>
  <c r="I551" i="180"/>
  <c r="I552" i="180"/>
  <c r="I555" i="180"/>
  <c r="I556" i="180"/>
  <c r="I557" i="180"/>
  <c r="I560" i="180"/>
  <c r="I564" i="180"/>
  <c r="I565" i="180"/>
  <c r="I566" i="180"/>
  <c r="I567" i="180"/>
  <c r="I568" i="180"/>
  <c r="I570" i="180"/>
  <c r="I571" i="180"/>
  <c r="I572" i="180"/>
  <c r="I576" i="180"/>
  <c r="I577" i="180"/>
  <c r="I578" i="180"/>
  <c r="I579" i="180"/>
  <c r="I580" i="180"/>
  <c r="I581" i="180"/>
  <c r="I582" i="180"/>
  <c r="I583" i="180"/>
  <c r="I584" i="180"/>
  <c r="I585" i="180"/>
  <c r="I586" i="180"/>
  <c r="I590" i="180"/>
  <c r="I591" i="180"/>
  <c r="I592" i="180"/>
  <c r="I594" i="180"/>
  <c r="I595" i="180"/>
  <c r="I596" i="180"/>
  <c r="I597" i="180"/>
  <c r="I598" i="180"/>
  <c r="I599" i="180"/>
  <c r="I600" i="180"/>
  <c r="I601" i="180"/>
  <c r="I602" i="180"/>
  <c r="I603" i="180"/>
  <c r="I604" i="180"/>
  <c r="I605" i="180"/>
  <c r="I606" i="180"/>
  <c r="I607" i="180"/>
  <c r="I608" i="180"/>
  <c r="I609" i="180"/>
  <c r="I610" i="180"/>
  <c r="I611" i="180"/>
  <c r="I612" i="180"/>
  <c r="I613" i="180"/>
  <c r="I614" i="180"/>
  <c r="I615" i="180"/>
  <c r="I616" i="180"/>
  <c r="I617" i="180"/>
  <c r="I619" i="180"/>
  <c r="I620" i="180"/>
  <c r="I621" i="180"/>
  <c r="I622" i="180"/>
  <c r="I623" i="180"/>
  <c r="I624" i="180"/>
  <c r="I625" i="180"/>
  <c r="I626" i="180"/>
  <c r="I627" i="180"/>
  <c r="I628" i="180"/>
  <c r="I629" i="180"/>
  <c r="I630" i="180"/>
  <c r="I631" i="180"/>
  <c r="I632" i="180"/>
  <c r="I633" i="180"/>
  <c r="I634" i="180"/>
  <c r="I635" i="180"/>
  <c r="I636" i="180"/>
  <c r="I637" i="180"/>
  <c r="I638" i="180"/>
  <c r="I639" i="180"/>
  <c r="I640" i="180"/>
  <c r="I641" i="180"/>
  <c r="I642" i="180"/>
  <c r="I643" i="180"/>
  <c r="I644" i="180"/>
  <c r="I645" i="180"/>
  <c r="I646" i="180"/>
  <c r="I647" i="180"/>
  <c r="I648" i="180"/>
  <c r="I649" i="180"/>
  <c r="I651" i="180"/>
  <c r="I652" i="180"/>
  <c r="I653" i="180"/>
  <c r="I654" i="180"/>
  <c r="I655" i="180"/>
  <c r="I656" i="180"/>
  <c r="I659" i="180"/>
  <c r="I660" i="180"/>
  <c r="I661" i="180"/>
  <c r="I662" i="180"/>
  <c r="I664" i="180"/>
  <c r="I665" i="180"/>
  <c r="I666" i="180"/>
  <c r="I670" i="180"/>
  <c r="I671" i="180"/>
  <c r="I672" i="180"/>
  <c r="I673" i="180"/>
  <c r="I674" i="180"/>
  <c r="I675" i="180"/>
  <c r="I676" i="180"/>
  <c r="I681" i="180"/>
  <c r="I682" i="180"/>
  <c r="I683" i="180"/>
  <c r="I684" i="180"/>
  <c r="I685" i="180"/>
  <c r="I686" i="180"/>
  <c r="I687" i="180"/>
  <c r="I689" i="180"/>
  <c r="I692" i="180"/>
  <c r="I693" i="180"/>
  <c r="I694" i="180"/>
  <c r="I695" i="180"/>
  <c r="I697" i="180"/>
  <c r="I698" i="180"/>
  <c r="I699" i="180"/>
  <c r="I700" i="180"/>
  <c r="I705" i="180"/>
  <c r="I707" i="180"/>
  <c r="I708" i="180"/>
  <c r="I710" i="180"/>
  <c r="I713" i="180"/>
  <c r="I714" i="180"/>
  <c r="I715" i="180"/>
  <c r="I716" i="180"/>
  <c r="I718" i="180"/>
  <c r="I719" i="180"/>
  <c r="I720" i="180"/>
  <c r="I723" i="180"/>
  <c r="I725" i="180"/>
  <c r="I729" i="180"/>
  <c r="I730" i="180"/>
  <c r="I731" i="180"/>
  <c r="I732" i="180"/>
  <c r="I734" i="180"/>
  <c r="I736" i="180"/>
  <c r="I737" i="180"/>
  <c r="I740" i="180"/>
  <c r="I742" i="180"/>
  <c r="I743" i="180"/>
  <c r="I745" i="180"/>
  <c r="I747" i="180"/>
  <c r="I749" i="180"/>
  <c r="I751" i="180"/>
  <c r="I754" i="180"/>
  <c r="I756" i="180"/>
  <c r="I758" i="180"/>
  <c r="I761" i="180"/>
  <c r="I769" i="180"/>
  <c r="I770" i="180"/>
  <c r="I771" i="180"/>
  <c r="I772" i="180"/>
  <c r="I773" i="180"/>
  <c r="I775" i="180"/>
  <c r="I776" i="180"/>
  <c r="I777" i="180"/>
  <c r="I778" i="180"/>
  <c r="I780" i="180"/>
  <c r="I781" i="180"/>
  <c r="I782" i="180"/>
  <c r="I784" i="180"/>
  <c r="I787" i="180"/>
  <c r="I788" i="180"/>
  <c r="I790" i="180"/>
  <c r="I793" i="180"/>
  <c r="I796" i="180"/>
  <c r="I798" i="180"/>
  <c r="I799" i="180"/>
  <c r="I800" i="180"/>
  <c r="I802" i="180"/>
  <c r="I803" i="180"/>
  <c r="I804" i="180"/>
  <c r="I805" i="180"/>
  <c r="I806" i="180"/>
  <c r="I807" i="180"/>
  <c r="I808" i="180"/>
  <c r="I809" i="180"/>
  <c r="I810" i="180"/>
  <c r="I811" i="180"/>
  <c r="I815" i="180"/>
  <c r="I817" i="180"/>
  <c r="I818" i="180"/>
  <c r="I819" i="180"/>
  <c r="I822" i="180"/>
  <c r="I824" i="180"/>
  <c r="I825" i="180"/>
  <c r="I826" i="180"/>
  <c r="I827" i="180"/>
  <c r="I828" i="180"/>
  <c r="I829" i="180"/>
  <c r="I830" i="180"/>
  <c r="I832" i="180"/>
  <c r="I833" i="180"/>
  <c r="H7" i="180"/>
  <c r="H9" i="180"/>
  <c r="H10" i="180"/>
  <c r="H12" i="180"/>
  <c r="H13" i="180"/>
  <c r="H14" i="180"/>
  <c r="H15" i="180"/>
  <c r="H16" i="180"/>
  <c r="H17" i="180"/>
  <c r="H19" i="180"/>
  <c r="H21" i="180"/>
  <c r="H23" i="180"/>
  <c r="H24" i="180"/>
  <c r="H25" i="180"/>
  <c r="H27" i="180"/>
  <c r="H29" i="180"/>
  <c r="H31" i="180"/>
  <c r="H33" i="180"/>
  <c r="H34" i="180"/>
  <c r="H36" i="180"/>
  <c r="H38" i="180"/>
  <c r="H41" i="180"/>
  <c r="H43" i="180"/>
  <c r="H44" i="180"/>
  <c r="H49" i="180"/>
  <c r="H50" i="180"/>
  <c r="H52" i="180"/>
  <c r="H53" i="180"/>
  <c r="H54" i="180"/>
  <c r="H57" i="180"/>
  <c r="H59" i="180"/>
  <c r="H60" i="180"/>
  <c r="H61" i="180"/>
  <c r="H62" i="180"/>
  <c r="H64" i="180"/>
  <c r="H66" i="180"/>
  <c r="H68" i="180"/>
  <c r="H69" i="180"/>
  <c r="H70" i="180"/>
  <c r="H71" i="180"/>
  <c r="H72" i="180"/>
  <c r="H73" i="180"/>
  <c r="H74" i="180"/>
  <c r="H75" i="180"/>
  <c r="H76" i="180"/>
  <c r="H77" i="180"/>
  <c r="H78" i="180"/>
  <c r="H79" i="180"/>
  <c r="H80" i="180"/>
  <c r="H81" i="180"/>
  <c r="H82" i="180"/>
  <c r="H83" i="180"/>
  <c r="H84" i="180"/>
  <c r="H85" i="180"/>
  <c r="H87" i="180"/>
  <c r="H88" i="180"/>
  <c r="H89" i="180"/>
  <c r="H90" i="180"/>
  <c r="H91" i="180"/>
  <c r="H92" i="180"/>
  <c r="H93" i="180"/>
  <c r="H94" i="180"/>
  <c r="H95" i="180"/>
  <c r="H97" i="180"/>
  <c r="H98" i="180"/>
  <c r="H99" i="180"/>
  <c r="H102" i="180"/>
  <c r="H103" i="180"/>
  <c r="H105" i="180"/>
  <c r="H107" i="180"/>
  <c r="H108" i="180"/>
  <c r="H110" i="180"/>
  <c r="H111" i="180"/>
  <c r="H112" i="180"/>
  <c r="H114" i="180"/>
  <c r="H116" i="180"/>
  <c r="H119" i="180"/>
  <c r="H120" i="180"/>
  <c r="H121" i="180"/>
  <c r="H123" i="180"/>
  <c r="H124" i="180"/>
  <c r="H125" i="180"/>
  <c r="H126" i="180"/>
  <c r="H128" i="180"/>
  <c r="H129" i="180"/>
  <c r="H130" i="180"/>
  <c r="H131" i="180"/>
  <c r="H132" i="180"/>
  <c r="H133" i="180"/>
  <c r="H134" i="180"/>
  <c r="H135" i="180"/>
  <c r="H138" i="180"/>
  <c r="H139" i="180"/>
  <c r="H140" i="180"/>
  <c r="H141" i="180"/>
  <c r="H142" i="180"/>
  <c r="H143" i="180"/>
  <c r="H144" i="180"/>
  <c r="H145" i="180"/>
  <c r="H146" i="180"/>
  <c r="H147" i="180"/>
  <c r="H148" i="180"/>
  <c r="H149" i="180"/>
  <c r="H150" i="180"/>
  <c r="H151" i="180"/>
  <c r="H152" i="180"/>
  <c r="H153" i="180"/>
  <c r="H154" i="180"/>
  <c r="H155" i="180"/>
  <c r="H156" i="180"/>
  <c r="H157" i="180"/>
  <c r="H158" i="180"/>
  <c r="H159" i="180"/>
  <c r="H160" i="180"/>
  <c r="H161" i="180"/>
  <c r="H162" i="180"/>
  <c r="H163" i="180"/>
  <c r="H164" i="180"/>
  <c r="H165" i="180"/>
  <c r="H166" i="180"/>
  <c r="H168" i="180"/>
  <c r="H169" i="180"/>
  <c r="H170" i="180"/>
  <c r="H175" i="180"/>
  <c r="H176" i="180"/>
  <c r="H177" i="180"/>
  <c r="H178" i="180"/>
  <c r="H179" i="180"/>
  <c r="H180" i="180"/>
  <c r="H181" i="180"/>
  <c r="H182" i="180"/>
  <c r="H183" i="180"/>
  <c r="H184" i="180"/>
  <c r="H185" i="180"/>
  <c r="H186" i="180"/>
  <c r="H188" i="180"/>
  <c r="H189" i="180"/>
  <c r="H190" i="180"/>
  <c r="H191" i="180"/>
  <c r="H192" i="180"/>
  <c r="H193" i="180"/>
  <c r="H194" i="180"/>
  <c r="H195" i="180"/>
  <c r="H197" i="180"/>
  <c r="H199" i="180"/>
  <c r="H200" i="180"/>
  <c r="H201" i="180"/>
  <c r="H204" i="180"/>
  <c r="H205" i="180"/>
  <c r="H206" i="180"/>
  <c r="H207" i="180"/>
  <c r="H208" i="180"/>
  <c r="H210" i="180"/>
  <c r="H213" i="180"/>
  <c r="H214" i="180"/>
  <c r="H215" i="180"/>
  <c r="H216" i="180"/>
  <c r="H217" i="180"/>
  <c r="H218" i="180"/>
  <c r="H219" i="180"/>
  <c r="H220" i="180"/>
  <c r="H221" i="180"/>
  <c r="H225" i="180"/>
  <c r="H226" i="180"/>
  <c r="H227" i="180"/>
  <c r="H228" i="180"/>
  <c r="H232" i="180"/>
  <c r="H233" i="180"/>
  <c r="H237" i="180"/>
  <c r="H238" i="180"/>
  <c r="H239" i="180"/>
  <c r="H240" i="180"/>
  <c r="H241" i="180"/>
  <c r="H242" i="180"/>
  <c r="H243" i="180"/>
  <c r="H244" i="180"/>
  <c r="H245" i="180"/>
  <c r="H246" i="180"/>
  <c r="H247" i="180"/>
  <c r="H248" i="180"/>
  <c r="H249" i="180"/>
  <c r="H250" i="180"/>
  <c r="H251" i="180"/>
  <c r="H252" i="180"/>
  <c r="H253" i="180"/>
  <c r="H254" i="180"/>
  <c r="H255" i="180"/>
  <c r="H256" i="180"/>
  <c r="H257" i="180"/>
  <c r="H258" i="180"/>
  <c r="H259" i="180"/>
  <c r="H260" i="180"/>
  <c r="H261" i="180"/>
  <c r="H262" i="180"/>
  <c r="H264" i="180"/>
  <c r="H265" i="180"/>
  <c r="H266" i="180"/>
  <c r="H267" i="180"/>
  <c r="H268" i="180"/>
  <c r="H269" i="180"/>
  <c r="H270" i="180"/>
  <c r="H271" i="180"/>
  <c r="H272" i="180"/>
  <c r="H273" i="180"/>
  <c r="H274" i="180"/>
  <c r="H275" i="180"/>
  <c r="H276" i="180"/>
  <c r="H277" i="180"/>
  <c r="H278" i="180"/>
  <c r="H279" i="180"/>
  <c r="H281" i="180"/>
  <c r="H283" i="180"/>
  <c r="H284" i="180"/>
  <c r="H285" i="180"/>
  <c r="H287" i="180"/>
  <c r="H288" i="180"/>
  <c r="H289" i="180"/>
  <c r="H290" i="180"/>
  <c r="H291" i="180"/>
  <c r="H292" i="180"/>
  <c r="H293" i="180"/>
  <c r="H294" i="180"/>
  <c r="H295" i="180"/>
  <c r="H296" i="180"/>
  <c r="H297" i="180"/>
  <c r="H298" i="180"/>
  <c r="H299" i="180"/>
  <c r="H300" i="180"/>
  <c r="H301" i="180"/>
  <c r="H302" i="180"/>
  <c r="H304" i="180"/>
  <c r="H307" i="180"/>
  <c r="H308" i="180"/>
  <c r="H309" i="180"/>
  <c r="H310" i="180"/>
  <c r="H311" i="180"/>
  <c r="H312" i="180"/>
  <c r="H313" i="180"/>
  <c r="H314" i="180"/>
  <c r="H315" i="180"/>
  <c r="H316" i="180"/>
  <c r="H317" i="180"/>
  <c r="H318" i="180"/>
  <c r="H319" i="180"/>
  <c r="H320" i="180"/>
  <c r="H321" i="180"/>
  <c r="H322" i="180"/>
  <c r="H323" i="180"/>
  <c r="H327" i="180"/>
  <c r="H329" i="180"/>
  <c r="H330" i="180"/>
  <c r="H331" i="180"/>
  <c r="H332" i="180"/>
  <c r="H334" i="180"/>
  <c r="H335" i="180"/>
  <c r="H336" i="180"/>
  <c r="H338" i="180"/>
  <c r="H339" i="180"/>
  <c r="H340" i="180"/>
  <c r="H341" i="180"/>
  <c r="H342" i="180"/>
  <c r="H343" i="180"/>
  <c r="H344" i="180"/>
  <c r="H346" i="180"/>
  <c r="H348" i="180"/>
  <c r="H350" i="180"/>
  <c r="H354" i="180"/>
  <c r="H355" i="180"/>
  <c r="H356" i="180"/>
  <c r="H357" i="180"/>
  <c r="H358" i="180"/>
  <c r="H359" i="180"/>
  <c r="H360" i="180"/>
  <c r="H361" i="180"/>
  <c r="H363" i="180"/>
  <c r="H364" i="180"/>
  <c r="H365" i="180"/>
  <c r="H366" i="180"/>
  <c r="H367" i="180"/>
  <c r="H369" i="180"/>
  <c r="H371" i="180"/>
  <c r="H372" i="180"/>
  <c r="H373" i="180"/>
  <c r="H374" i="180"/>
  <c r="H375" i="180"/>
  <c r="H376" i="180"/>
  <c r="H378" i="180"/>
  <c r="H379" i="180"/>
  <c r="H380" i="180"/>
  <c r="H381" i="180"/>
  <c r="H383" i="180"/>
  <c r="H384" i="180"/>
  <c r="H385" i="180"/>
  <c r="H386" i="180"/>
  <c r="H387" i="180"/>
  <c r="H388" i="180"/>
  <c r="H389" i="180"/>
  <c r="H390" i="180"/>
  <c r="H391" i="180"/>
  <c r="H392" i="180"/>
  <c r="H393" i="180"/>
  <c r="H394" i="180"/>
  <c r="H395" i="180"/>
  <c r="H396" i="180"/>
  <c r="H397" i="180"/>
  <c r="H398" i="180"/>
  <c r="H399" i="180"/>
  <c r="H400" i="180"/>
  <c r="H401" i="180"/>
  <c r="H402" i="180"/>
  <c r="H403" i="180"/>
  <c r="H404" i="180"/>
  <c r="H405" i="180"/>
  <c r="H406" i="180"/>
  <c r="H407" i="180"/>
  <c r="H408" i="180"/>
  <c r="H409" i="180"/>
  <c r="H410" i="180"/>
  <c r="H411" i="180"/>
  <c r="H412" i="180"/>
  <c r="H413" i="180"/>
  <c r="H414" i="180"/>
  <c r="H415" i="180"/>
  <c r="H416" i="180"/>
  <c r="H417" i="180"/>
  <c r="H418" i="180"/>
  <c r="H419" i="180"/>
  <c r="H420" i="180"/>
  <c r="H421" i="180"/>
  <c r="H422" i="180"/>
  <c r="H423" i="180"/>
  <c r="H424" i="180"/>
  <c r="H425" i="180"/>
  <c r="H426" i="180"/>
  <c r="H427" i="180"/>
  <c r="H428" i="180"/>
  <c r="H429" i="180"/>
  <c r="H430" i="180"/>
  <c r="H431" i="180"/>
  <c r="H432" i="180"/>
  <c r="H433" i="180"/>
  <c r="H434" i="180"/>
  <c r="H436" i="180"/>
  <c r="H437" i="180"/>
  <c r="H438" i="180"/>
  <c r="H439" i="180"/>
  <c r="H440" i="180"/>
  <c r="H441" i="180"/>
  <c r="H442" i="180"/>
  <c r="H443" i="180"/>
  <c r="H445" i="180"/>
  <c r="H446" i="180"/>
  <c r="H447" i="180"/>
  <c r="H448" i="180"/>
  <c r="H449" i="180"/>
  <c r="H450" i="180"/>
  <c r="H451" i="180"/>
  <c r="H452" i="180"/>
  <c r="H453" i="180"/>
  <c r="H454" i="180"/>
  <c r="H455" i="180"/>
  <c r="H456" i="180"/>
  <c r="H457" i="180"/>
  <c r="H458" i="180"/>
  <c r="H460" i="180"/>
  <c r="H461" i="180"/>
  <c r="H462" i="180"/>
  <c r="H463" i="180"/>
  <c r="H464" i="180"/>
  <c r="H467" i="180"/>
  <c r="H469" i="180"/>
  <c r="H470" i="180"/>
  <c r="H472" i="180"/>
  <c r="H473" i="180"/>
  <c r="H474" i="180"/>
  <c r="H475" i="180"/>
  <c r="H476" i="180"/>
  <c r="H477" i="180"/>
  <c r="H481" i="180"/>
  <c r="H482" i="180"/>
  <c r="H483" i="180"/>
  <c r="H484" i="180"/>
  <c r="H485" i="180"/>
  <c r="H486" i="180"/>
  <c r="H487" i="180"/>
  <c r="H489" i="180"/>
  <c r="H491" i="180"/>
  <c r="H495" i="180"/>
  <c r="H496" i="180"/>
  <c r="H498" i="180"/>
  <c r="H499" i="180"/>
  <c r="H500" i="180"/>
  <c r="H501" i="180"/>
  <c r="H502" i="180"/>
  <c r="H504" i="180"/>
  <c r="H506" i="180"/>
  <c r="H507" i="180"/>
  <c r="H509" i="180"/>
  <c r="H510" i="180"/>
  <c r="H511" i="180"/>
  <c r="H514" i="180"/>
  <c r="H515" i="180"/>
  <c r="H516" i="180"/>
  <c r="H517" i="180"/>
  <c r="H518" i="180"/>
  <c r="H519" i="180"/>
  <c r="H520" i="180"/>
  <c r="H521" i="180"/>
  <c r="H522" i="180"/>
  <c r="H523" i="180"/>
  <c r="H524" i="180"/>
  <c r="H525" i="180"/>
  <c r="H526" i="180"/>
  <c r="H527" i="180"/>
  <c r="H528" i="180"/>
  <c r="H529" i="180"/>
  <c r="H530" i="180"/>
  <c r="H531" i="180"/>
  <c r="H532" i="180"/>
  <c r="H533" i="180"/>
  <c r="H534" i="180"/>
  <c r="H535" i="180"/>
  <c r="H536" i="180"/>
  <c r="H537" i="180"/>
  <c r="H538" i="180"/>
  <c r="H539" i="180"/>
  <c r="H540" i="180"/>
  <c r="H541" i="180"/>
  <c r="H543" i="180"/>
  <c r="H544" i="180"/>
  <c r="H545" i="180"/>
  <c r="H546" i="180"/>
  <c r="H547" i="180"/>
  <c r="H549" i="180"/>
  <c r="H551" i="180"/>
  <c r="H552" i="180"/>
  <c r="H555" i="180"/>
  <c r="H556" i="180"/>
  <c r="H557" i="180"/>
  <c r="H560" i="180"/>
  <c r="H564" i="180"/>
  <c r="H565" i="180"/>
  <c r="H566" i="180"/>
  <c r="H567" i="180"/>
  <c r="H568" i="180"/>
  <c r="H569" i="180"/>
  <c r="H570" i="180"/>
  <c r="H571" i="180"/>
  <c r="H572" i="180"/>
  <c r="H576" i="180"/>
  <c r="H577" i="180"/>
  <c r="H578" i="180"/>
  <c r="H579" i="180"/>
  <c r="H580" i="180"/>
  <c r="H581" i="180"/>
  <c r="H582" i="180"/>
  <c r="H583" i="180"/>
  <c r="H584" i="180"/>
  <c r="H585" i="180"/>
  <c r="H586" i="180"/>
  <c r="H590" i="180"/>
  <c r="H591" i="180"/>
  <c r="H592" i="180"/>
  <c r="H593" i="180"/>
  <c r="H594" i="180"/>
  <c r="H595" i="180"/>
  <c r="H596" i="180"/>
  <c r="H597" i="180"/>
  <c r="H598" i="180"/>
  <c r="H599" i="180"/>
  <c r="H600" i="180"/>
  <c r="H601" i="180"/>
  <c r="H602" i="180"/>
  <c r="H603" i="180"/>
  <c r="H604" i="180"/>
  <c r="H605" i="180"/>
  <c r="H606" i="180"/>
  <c r="H607" i="180"/>
  <c r="H608" i="180"/>
  <c r="H609" i="180"/>
  <c r="H610" i="180"/>
  <c r="H611" i="180"/>
  <c r="H612" i="180"/>
  <c r="H613" i="180"/>
  <c r="H614" i="180"/>
  <c r="H615" i="180"/>
  <c r="H616" i="180"/>
  <c r="H617" i="180"/>
  <c r="H618" i="180"/>
  <c r="H619" i="180"/>
  <c r="H620" i="180"/>
  <c r="H621" i="180"/>
  <c r="H622" i="180"/>
  <c r="H623" i="180"/>
  <c r="H624" i="180"/>
  <c r="H625" i="180"/>
  <c r="H626" i="180"/>
  <c r="H627" i="180"/>
  <c r="H628" i="180"/>
  <c r="H629" i="180"/>
  <c r="H630" i="180"/>
  <c r="H631" i="180"/>
  <c r="H632" i="180"/>
  <c r="H633" i="180"/>
  <c r="H634" i="180"/>
  <c r="H635" i="180"/>
  <c r="H636" i="180"/>
  <c r="H637" i="180"/>
  <c r="H638" i="180"/>
  <c r="H639" i="180"/>
  <c r="H640" i="180"/>
  <c r="H641" i="180"/>
  <c r="H642" i="180"/>
  <c r="H643" i="180"/>
  <c r="H644" i="180"/>
  <c r="H645" i="180"/>
  <c r="H646" i="180"/>
  <c r="H647" i="180"/>
  <c r="H648" i="180"/>
  <c r="H649" i="180"/>
  <c r="H651" i="180"/>
  <c r="H652" i="180"/>
  <c r="H653" i="180"/>
  <c r="H654" i="180"/>
  <c r="H655" i="180"/>
  <c r="H656" i="180"/>
  <c r="H659" i="180"/>
  <c r="H660" i="180"/>
  <c r="H661" i="180"/>
  <c r="H662" i="180"/>
  <c r="H664" i="180"/>
  <c r="H665" i="180"/>
  <c r="H666" i="180"/>
  <c r="H670" i="180"/>
  <c r="H671" i="180"/>
  <c r="H672" i="180"/>
  <c r="H673" i="180"/>
  <c r="H674" i="180"/>
  <c r="H675" i="180"/>
  <c r="H676" i="180"/>
  <c r="H680" i="180"/>
  <c r="H681" i="180"/>
  <c r="H682" i="180"/>
  <c r="H683" i="180"/>
  <c r="H684" i="180"/>
  <c r="H685" i="180"/>
  <c r="H686" i="180"/>
  <c r="H687" i="180"/>
  <c r="H689" i="180"/>
  <c r="H692" i="180"/>
  <c r="H693" i="180"/>
  <c r="H694" i="180"/>
  <c r="H695" i="180"/>
  <c r="H697" i="180"/>
  <c r="H698" i="180"/>
  <c r="H699" i="180"/>
  <c r="H700" i="180"/>
  <c r="H701" i="180"/>
  <c r="H705" i="180"/>
  <c r="H706" i="180"/>
  <c r="H707" i="180"/>
  <c r="H708" i="180"/>
  <c r="H710" i="180"/>
  <c r="H711" i="180"/>
  <c r="H713" i="180"/>
  <c r="H714" i="180"/>
  <c r="H715" i="180"/>
  <c r="H716" i="180"/>
  <c r="H718" i="180"/>
  <c r="H719" i="180"/>
  <c r="H720" i="180"/>
  <c r="H723" i="180"/>
  <c r="H725" i="180"/>
  <c r="H729" i="180"/>
  <c r="H730" i="180"/>
  <c r="H731" i="180"/>
  <c r="H732" i="180"/>
  <c r="H734" i="180"/>
  <c r="H735" i="180"/>
  <c r="H736" i="180"/>
  <c r="H737" i="180"/>
  <c r="H740" i="180"/>
  <c r="H742" i="180"/>
  <c r="H743" i="180"/>
  <c r="H745" i="180"/>
  <c r="H747" i="180"/>
  <c r="H749" i="180"/>
  <c r="H751" i="180"/>
  <c r="H752" i="180"/>
  <c r="H754" i="180"/>
  <c r="H756" i="180"/>
  <c r="H758" i="180"/>
  <c r="H761" i="180"/>
  <c r="H768" i="180"/>
  <c r="H769" i="180"/>
  <c r="H770" i="180"/>
  <c r="H771" i="180"/>
  <c r="H772" i="180"/>
  <c r="H773" i="180"/>
  <c r="H774" i="180"/>
  <c r="H775" i="180"/>
  <c r="H776" i="180"/>
  <c r="H777" i="180"/>
  <c r="H780" i="180"/>
  <c r="H781" i="180"/>
  <c r="H782" i="180"/>
  <c r="H784" i="180"/>
  <c r="H787" i="180"/>
  <c r="H788" i="180"/>
  <c r="H790" i="180"/>
  <c r="H793" i="180"/>
  <c r="H794" i="180"/>
  <c r="H796" i="180"/>
  <c r="H798" i="180"/>
  <c r="H799" i="180"/>
  <c r="H800" i="180"/>
  <c r="H802" i="180"/>
  <c r="H803" i="180"/>
  <c r="H804" i="180"/>
  <c r="H805" i="180"/>
  <c r="H806" i="180"/>
  <c r="H807" i="180"/>
  <c r="H808" i="180"/>
  <c r="H809" i="180"/>
  <c r="H810" i="180"/>
  <c r="H811" i="180"/>
  <c r="H814" i="180"/>
  <c r="H815" i="180"/>
  <c r="H817" i="180"/>
  <c r="H818" i="180"/>
  <c r="H819" i="180"/>
  <c r="H822" i="180"/>
  <c r="H824" i="180"/>
  <c r="H825" i="180"/>
  <c r="H826" i="180"/>
  <c r="H827" i="180"/>
  <c r="H828" i="180"/>
  <c r="H829" i="180"/>
  <c r="H830" i="180"/>
  <c r="H832" i="180"/>
  <c r="H833" i="180"/>
  <c r="G7" i="180"/>
  <c r="G9" i="180"/>
  <c r="G10" i="180"/>
  <c r="G12" i="180"/>
  <c r="G13" i="180"/>
  <c r="G14" i="180"/>
  <c r="G15" i="180"/>
  <c r="G16" i="180"/>
  <c r="G17" i="180"/>
  <c r="G19" i="180"/>
  <c r="G21" i="180"/>
  <c r="G23" i="180"/>
  <c r="G24" i="180"/>
  <c r="G25" i="180"/>
  <c r="G27" i="180"/>
  <c r="G29" i="180"/>
  <c r="G31" i="180"/>
  <c r="G33" i="180"/>
  <c r="G34" i="180"/>
  <c r="G36" i="180"/>
  <c r="G38" i="180"/>
  <c r="G41" i="180"/>
  <c r="G43" i="180"/>
  <c r="G44" i="180"/>
  <c r="G49" i="180"/>
  <c r="G50" i="180"/>
  <c r="G52" i="180"/>
  <c r="G53" i="180"/>
  <c r="G54" i="180"/>
  <c r="G57" i="180"/>
  <c r="G59" i="180"/>
  <c r="G60" i="180"/>
  <c r="G61" i="180"/>
  <c r="G62" i="180"/>
  <c r="G64" i="180"/>
  <c r="G66" i="180"/>
  <c r="G68" i="180"/>
  <c r="G69" i="180"/>
  <c r="G70" i="180"/>
  <c r="G71" i="180"/>
  <c r="G72" i="180"/>
  <c r="G73" i="180"/>
  <c r="G74" i="180"/>
  <c r="G75" i="180"/>
  <c r="G76" i="180"/>
  <c r="G77" i="180"/>
  <c r="G78" i="180"/>
  <c r="G79" i="180"/>
  <c r="G80" i="180"/>
  <c r="G81" i="180"/>
  <c r="G82" i="180"/>
  <c r="G83" i="180"/>
  <c r="G84" i="180"/>
  <c r="G85" i="180"/>
  <c r="G87" i="180"/>
  <c r="G88" i="180"/>
  <c r="G89" i="180"/>
  <c r="G90" i="180"/>
  <c r="G91" i="180"/>
  <c r="G92" i="180"/>
  <c r="G93" i="180"/>
  <c r="G94" i="180"/>
  <c r="G95" i="180"/>
  <c r="G97" i="180"/>
  <c r="G98" i="180"/>
  <c r="G99" i="180"/>
  <c r="G102" i="180"/>
  <c r="G103" i="180"/>
  <c r="G105" i="180"/>
  <c r="G107" i="180"/>
  <c r="G108" i="180"/>
  <c r="G110" i="180"/>
  <c r="G111" i="180"/>
  <c r="G112" i="180"/>
  <c r="G114" i="180"/>
  <c r="G116" i="180"/>
  <c r="G119" i="180"/>
  <c r="G120" i="180"/>
  <c r="G121" i="180"/>
  <c r="G123" i="180"/>
  <c r="G124" i="180"/>
  <c r="G125" i="180"/>
  <c r="G126" i="180"/>
  <c r="G128" i="180"/>
  <c r="G129" i="180"/>
  <c r="G130" i="180"/>
  <c r="G131" i="180"/>
  <c r="G132" i="180"/>
  <c r="G133" i="180"/>
  <c r="G134" i="180"/>
  <c r="G135" i="180"/>
  <c r="G138" i="180"/>
  <c r="G139" i="180"/>
  <c r="G140" i="180"/>
  <c r="G141" i="180"/>
  <c r="G142" i="180"/>
  <c r="G143" i="180"/>
  <c r="G144" i="180"/>
  <c r="G145" i="180"/>
  <c r="G146" i="180"/>
  <c r="G147" i="180"/>
  <c r="G148" i="180"/>
  <c r="G149" i="180"/>
  <c r="G150" i="180"/>
  <c r="G151" i="180"/>
  <c r="G152" i="180"/>
  <c r="G153" i="180"/>
  <c r="G154" i="180"/>
  <c r="G155" i="180"/>
  <c r="G156" i="180"/>
  <c r="G157" i="180"/>
  <c r="G158" i="180"/>
  <c r="G159" i="180"/>
  <c r="G160" i="180"/>
  <c r="G161" i="180"/>
  <c r="G162" i="180"/>
  <c r="G163" i="180"/>
  <c r="G164" i="180"/>
  <c r="G165" i="180"/>
  <c r="G166" i="180"/>
  <c r="G168" i="180"/>
  <c r="G169" i="180"/>
  <c r="G170" i="180"/>
  <c r="G175" i="180"/>
  <c r="G176" i="180"/>
  <c r="G177" i="180"/>
  <c r="G178" i="180"/>
  <c r="G179" i="180"/>
  <c r="G180" i="180"/>
  <c r="G181" i="180"/>
  <c r="G182" i="180"/>
  <c r="G183" i="180"/>
  <c r="G184" i="180"/>
  <c r="G185" i="180"/>
  <c r="G186" i="180"/>
  <c r="G188" i="180"/>
  <c r="G189" i="180"/>
  <c r="G190" i="180"/>
  <c r="G191" i="180"/>
  <c r="G192" i="180"/>
  <c r="G193" i="180"/>
  <c r="G194" i="180"/>
  <c r="G195" i="180"/>
  <c r="G197" i="180"/>
  <c r="G199" i="180"/>
  <c r="G200" i="180"/>
  <c r="G201" i="180"/>
  <c r="G204" i="180"/>
  <c r="G205" i="180"/>
  <c r="G206" i="180"/>
  <c r="G207" i="180"/>
  <c r="G208" i="180"/>
  <c r="G210" i="180"/>
  <c r="G213" i="180"/>
  <c r="G214" i="180"/>
  <c r="G215" i="180"/>
  <c r="G216" i="180"/>
  <c r="G217" i="180"/>
  <c r="G218" i="180"/>
  <c r="G219" i="180"/>
  <c r="G220" i="180"/>
  <c r="G221" i="180"/>
  <c r="G225" i="180"/>
  <c r="G226" i="180"/>
  <c r="G227" i="180"/>
  <c r="G228" i="180"/>
  <c r="G232" i="180"/>
  <c r="G233" i="180"/>
  <c r="G237" i="180"/>
  <c r="G238" i="180"/>
  <c r="G239" i="180"/>
  <c r="G240" i="180"/>
  <c r="G241" i="180"/>
  <c r="G242" i="180"/>
  <c r="G243" i="180"/>
  <c r="G244" i="180"/>
  <c r="G245" i="180"/>
  <c r="G246" i="180"/>
  <c r="G247" i="180"/>
  <c r="G248" i="180"/>
  <c r="G249" i="180"/>
  <c r="G250" i="180"/>
  <c r="G251" i="180"/>
  <c r="G252" i="180"/>
  <c r="G253" i="180"/>
  <c r="G254" i="180"/>
  <c r="G255" i="180"/>
  <c r="G256" i="180"/>
  <c r="G257" i="180"/>
  <c r="G258" i="180"/>
  <c r="G259" i="180"/>
  <c r="G260" i="180"/>
  <c r="G261" i="180"/>
  <c r="G262" i="180"/>
  <c r="G264" i="180"/>
  <c r="G265" i="180"/>
  <c r="G266" i="180"/>
  <c r="G267" i="180"/>
  <c r="G268" i="180"/>
  <c r="G269" i="180"/>
  <c r="G270" i="180"/>
  <c r="G271" i="180"/>
  <c r="G272" i="180"/>
  <c r="G273" i="180"/>
  <c r="G274" i="180"/>
  <c r="G275" i="180"/>
  <c r="G276" i="180"/>
  <c r="G277" i="180"/>
  <c r="G278" i="180"/>
  <c r="G279" i="180"/>
  <c r="G281" i="180"/>
  <c r="G283" i="180"/>
  <c r="G284" i="180"/>
  <c r="G285" i="180"/>
  <c r="G287" i="180"/>
  <c r="G288" i="180"/>
  <c r="G289" i="180"/>
  <c r="G290" i="180"/>
  <c r="G291" i="180"/>
  <c r="G292" i="180"/>
  <c r="G293" i="180"/>
  <c r="G294" i="180"/>
  <c r="G295" i="180"/>
  <c r="G296" i="180"/>
  <c r="G297" i="180"/>
  <c r="G298" i="180"/>
  <c r="G299" i="180"/>
  <c r="G300" i="180"/>
  <c r="G301" i="180"/>
  <c r="G302" i="180"/>
  <c r="G304" i="180"/>
  <c r="G306" i="180"/>
  <c r="G307" i="180"/>
  <c r="G308" i="180"/>
  <c r="G309" i="180"/>
  <c r="G310" i="180"/>
  <c r="G311" i="180"/>
  <c r="G312" i="180"/>
  <c r="G313" i="180"/>
  <c r="G314" i="180"/>
  <c r="G315" i="180"/>
  <c r="G316" i="180"/>
  <c r="G317" i="180"/>
  <c r="G318" i="180"/>
  <c r="G319" i="180"/>
  <c r="G320" i="180"/>
  <c r="G321" i="180"/>
  <c r="G322" i="180"/>
  <c r="G323" i="180"/>
  <c r="G327" i="180"/>
  <c r="G329" i="180"/>
  <c r="G330" i="180"/>
  <c r="G331" i="180"/>
  <c r="G332" i="180"/>
  <c r="G334" i="180"/>
  <c r="G335" i="180"/>
  <c r="G336" i="180"/>
  <c r="G338" i="180"/>
  <c r="G339" i="180"/>
  <c r="G340" i="180"/>
  <c r="G341" i="180"/>
  <c r="G342" i="180"/>
  <c r="G343" i="180"/>
  <c r="G344" i="180"/>
  <c r="G346" i="180"/>
  <c r="G348" i="180"/>
  <c r="G350" i="180"/>
  <c r="G354" i="180"/>
  <c r="G355" i="180"/>
  <c r="G356" i="180"/>
  <c r="G357" i="180"/>
  <c r="G358" i="180"/>
  <c r="G359" i="180"/>
  <c r="G360" i="180"/>
  <c r="G361" i="180"/>
  <c r="G363" i="180"/>
  <c r="G364" i="180"/>
  <c r="G365" i="180"/>
  <c r="G366" i="180"/>
  <c r="G367" i="180"/>
  <c r="G369" i="180"/>
  <c r="G371" i="180"/>
  <c r="G372" i="180"/>
  <c r="G373" i="180"/>
  <c r="G374" i="180"/>
  <c r="G375" i="180"/>
  <c r="G376" i="180"/>
  <c r="G378" i="180"/>
  <c r="G379" i="180"/>
  <c r="G380" i="180"/>
  <c r="G381" i="180"/>
  <c r="G383" i="180"/>
  <c r="G384" i="180"/>
  <c r="G385" i="180"/>
  <c r="G386" i="180"/>
  <c r="G387" i="180"/>
  <c r="G388" i="180"/>
  <c r="G389" i="180"/>
  <c r="G390" i="180"/>
  <c r="G391" i="180"/>
  <c r="G392" i="180"/>
  <c r="G393" i="180"/>
  <c r="G394" i="180"/>
  <c r="G395" i="180"/>
  <c r="G396" i="180"/>
  <c r="G397" i="180"/>
  <c r="G398" i="180"/>
  <c r="G399" i="180"/>
  <c r="G400" i="180"/>
  <c r="G401" i="180"/>
  <c r="G402" i="180"/>
  <c r="G403" i="180"/>
  <c r="G404" i="180"/>
  <c r="G405" i="180"/>
  <c r="G406" i="180"/>
  <c r="G407" i="180"/>
  <c r="G408" i="180"/>
  <c r="G409" i="180"/>
  <c r="G410" i="180"/>
  <c r="G411" i="180"/>
  <c r="G412" i="180"/>
  <c r="G413" i="180"/>
  <c r="G414" i="180"/>
  <c r="G415" i="180"/>
  <c r="G416" i="180"/>
  <c r="G417" i="180"/>
  <c r="G418" i="180"/>
  <c r="G419" i="180"/>
  <c r="G420" i="180"/>
  <c r="G421" i="180"/>
  <c r="G422" i="180"/>
  <c r="G423" i="180"/>
  <c r="G424" i="180"/>
  <c r="G425" i="180"/>
  <c r="G426" i="180"/>
  <c r="G427" i="180"/>
  <c r="G428" i="180"/>
  <c r="G429" i="180"/>
  <c r="G430" i="180"/>
  <c r="G431" i="180"/>
  <c r="G432" i="180"/>
  <c r="G433" i="180"/>
  <c r="G434" i="180"/>
  <c r="G436" i="180"/>
  <c r="G437" i="180"/>
  <c r="G438" i="180"/>
  <c r="G439" i="180"/>
  <c r="G440" i="180"/>
  <c r="G441" i="180"/>
  <c r="G442" i="180"/>
  <c r="G443" i="180"/>
  <c r="G445" i="180"/>
  <c r="G446" i="180"/>
  <c r="G447" i="180"/>
  <c r="G448" i="180"/>
  <c r="G449" i="180"/>
  <c r="G450" i="180"/>
  <c r="G451" i="180"/>
  <c r="G452" i="180"/>
  <c r="G453" i="180"/>
  <c r="G454" i="180"/>
  <c r="G455" i="180"/>
  <c r="G456" i="180"/>
  <c r="G457" i="180"/>
  <c r="G458" i="180"/>
  <c r="G460" i="180"/>
  <c r="G461" i="180"/>
  <c r="G462" i="180"/>
  <c r="G463" i="180"/>
  <c r="G464" i="180"/>
  <c r="G467" i="180"/>
  <c r="G469" i="180"/>
  <c r="G470" i="180"/>
  <c r="G472" i="180"/>
  <c r="G473" i="180"/>
  <c r="G474" i="180"/>
  <c r="G475" i="180"/>
  <c r="G476" i="180"/>
  <c r="G477" i="180"/>
  <c r="G481" i="180"/>
  <c r="G482" i="180"/>
  <c r="G483" i="180"/>
  <c r="G484" i="180"/>
  <c r="G485" i="180"/>
  <c r="G486" i="180"/>
  <c r="G487" i="180"/>
  <c r="G489" i="180"/>
  <c r="G491" i="180"/>
  <c r="G495" i="180"/>
  <c r="G496" i="180"/>
  <c r="G498" i="180"/>
  <c r="G499" i="180"/>
  <c r="G500" i="180"/>
  <c r="G501" i="180"/>
  <c r="G502" i="180"/>
  <c r="G504" i="180"/>
  <c r="G506" i="180"/>
  <c r="G507" i="180"/>
  <c r="G509" i="180"/>
  <c r="G510" i="180"/>
  <c r="G511" i="180"/>
  <c r="G514" i="180"/>
  <c r="G515" i="180"/>
  <c r="G516" i="180"/>
  <c r="G517" i="180"/>
  <c r="G518" i="180"/>
  <c r="G519" i="180"/>
  <c r="G520" i="180"/>
  <c r="G521" i="180"/>
  <c r="G522" i="180"/>
  <c r="G523" i="180"/>
  <c r="G524" i="180"/>
  <c r="G525" i="180"/>
  <c r="G526" i="180"/>
  <c r="G527" i="180"/>
  <c r="G528" i="180"/>
  <c r="G529" i="180"/>
  <c r="G530" i="180"/>
  <c r="G531" i="180"/>
  <c r="G532" i="180"/>
  <c r="G533" i="180"/>
  <c r="G534" i="180"/>
  <c r="G535" i="180"/>
  <c r="G536" i="180"/>
  <c r="G537" i="180"/>
  <c r="G538" i="180"/>
  <c r="G539" i="180"/>
  <c r="G540" i="180"/>
  <c r="G541" i="180"/>
  <c r="G543" i="180"/>
  <c r="G544" i="180"/>
  <c r="G545" i="180"/>
  <c r="G546" i="180"/>
  <c r="G547" i="180"/>
  <c r="G549" i="180"/>
  <c r="G551" i="180"/>
  <c r="G552" i="180"/>
  <c r="G555" i="180"/>
  <c r="G556" i="180"/>
  <c r="G557" i="180"/>
  <c r="G560" i="180"/>
  <c r="G564" i="180"/>
  <c r="G565" i="180"/>
  <c r="G566" i="180"/>
  <c r="G567" i="180"/>
  <c r="G568" i="180"/>
  <c r="G569" i="180"/>
  <c r="G570" i="180"/>
  <c r="G571" i="180"/>
  <c r="G572" i="180"/>
  <c r="G576" i="180"/>
  <c r="G577" i="180"/>
  <c r="G578" i="180"/>
  <c r="G579" i="180"/>
  <c r="G580" i="180"/>
  <c r="G581" i="180"/>
  <c r="G582" i="180"/>
  <c r="G583" i="180"/>
  <c r="G584" i="180"/>
  <c r="G585" i="180"/>
  <c r="G586" i="180"/>
  <c r="G590" i="180"/>
  <c r="G591" i="180"/>
  <c r="G592" i="180"/>
  <c r="G593" i="180"/>
  <c r="G594" i="180"/>
  <c r="G595" i="180"/>
  <c r="G596" i="180"/>
  <c r="G597" i="180"/>
  <c r="G598" i="180"/>
  <c r="G599" i="180"/>
  <c r="G600" i="180"/>
  <c r="G601" i="180"/>
  <c r="G602" i="180"/>
  <c r="G603" i="180"/>
  <c r="G604" i="180"/>
  <c r="G605" i="180"/>
  <c r="G606" i="180"/>
  <c r="G607" i="180"/>
  <c r="G608" i="180"/>
  <c r="G609" i="180"/>
  <c r="G610" i="180"/>
  <c r="G611" i="180"/>
  <c r="G612" i="180"/>
  <c r="G613" i="180"/>
  <c r="G614" i="180"/>
  <c r="G615" i="180"/>
  <c r="G616" i="180"/>
  <c r="G617" i="180"/>
  <c r="G618" i="180"/>
  <c r="G619" i="180"/>
  <c r="G620" i="180"/>
  <c r="G621" i="180"/>
  <c r="G622" i="180"/>
  <c r="G623" i="180"/>
  <c r="G624" i="180"/>
  <c r="G625" i="180"/>
  <c r="G626" i="180"/>
  <c r="G627" i="180"/>
  <c r="G628" i="180"/>
  <c r="G629" i="180"/>
  <c r="G630" i="180"/>
  <c r="G631" i="180"/>
  <c r="G632" i="180"/>
  <c r="G633" i="180"/>
  <c r="G634" i="180"/>
  <c r="G635" i="180"/>
  <c r="G636" i="180"/>
  <c r="G637" i="180"/>
  <c r="G638" i="180"/>
  <c r="G639" i="180"/>
  <c r="G640" i="180"/>
  <c r="G641" i="180"/>
  <c r="G642" i="180"/>
  <c r="G643" i="180"/>
  <c r="G644" i="180"/>
  <c r="G645" i="180"/>
  <c r="G646" i="180"/>
  <c r="G647" i="180"/>
  <c r="G648" i="180"/>
  <c r="G649" i="180"/>
  <c r="G651" i="180"/>
  <c r="G652" i="180"/>
  <c r="G653" i="180"/>
  <c r="G654" i="180"/>
  <c r="G655" i="180"/>
  <c r="G656" i="180"/>
  <c r="G659" i="180"/>
  <c r="G660" i="180"/>
  <c r="G661" i="180"/>
  <c r="G662" i="180"/>
  <c r="G664" i="180"/>
  <c r="G665" i="180"/>
  <c r="G666" i="180"/>
  <c r="G670" i="180"/>
  <c r="G671" i="180"/>
  <c r="G672" i="180"/>
  <c r="G673" i="180"/>
  <c r="G674" i="180"/>
  <c r="G675" i="180"/>
  <c r="G676" i="180"/>
  <c r="G680" i="180"/>
  <c r="G681" i="180"/>
  <c r="G682" i="180"/>
  <c r="G683" i="180"/>
  <c r="G684" i="180"/>
  <c r="G685" i="180"/>
  <c r="G686" i="180"/>
  <c r="G687" i="180"/>
  <c r="G689" i="180"/>
  <c r="G692" i="180"/>
  <c r="G693" i="180"/>
  <c r="G694" i="180"/>
  <c r="G695" i="180"/>
  <c r="G697" i="180"/>
  <c r="G698" i="180"/>
  <c r="G699" i="180"/>
  <c r="G700" i="180"/>
  <c r="G701" i="180"/>
  <c r="G705" i="180"/>
  <c r="G706" i="180"/>
  <c r="G707" i="180"/>
  <c r="G708" i="180"/>
  <c r="G710" i="180"/>
  <c r="G711" i="180"/>
  <c r="G713" i="180"/>
  <c r="G714" i="180"/>
  <c r="G715" i="180"/>
  <c r="G716" i="180"/>
  <c r="G718" i="180"/>
  <c r="G719" i="180"/>
  <c r="G720" i="180"/>
  <c r="G723" i="180"/>
  <c r="G725" i="180"/>
  <c r="G729" i="180"/>
  <c r="G730" i="180"/>
  <c r="G731" i="180"/>
  <c r="G732" i="180"/>
  <c r="G734" i="180"/>
  <c r="G735" i="180"/>
  <c r="G736" i="180"/>
  <c r="G737" i="180"/>
  <c r="G740" i="180"/>
  <c r="G742" i="180"/>
  <c r="G743" i="180"/>
  <c r="G745" i="180"/>
  <c r="G747" i="180"/>
  <c r="G749" i="180"/>
  <c r="G751" i="180"/>
  <c r="G752" i="180"/>
  <c r="G754" i="180"/>
  <c r="G756" i="180"/>
  <c r="G758" i="180"/>
  <c r="G761" i="180"/>
  <c r="G768" i="180"/>
  <c r="G769" i="180"/>
  <c r="G770" i="180"/>
  <c r="G771" i="180"/>
  <c r="G772" i="180"/>
  <c r="G773" i="180"/>
  <c r="G774" i="180"/>
  <c r="G775" i="180"/>
  <c r="G776" i="180"/>
  <c r="G777" i="180"/>
  <c r="G780" i="180"/>
  <c r="G781" i="180"/>
  <c r="G782" i="180"/>
  <c r="G784" i="180"/>
  <c r="G785" i="180"/>
  <c r="G787" i="180"/>
  <c r="G788" i="180"/>
  <c r="G790" i="180"/>
  <c r="G792" i="180"/>
  <c r="G793" i="180"/>
  <c r="G794" i="180"/>
  <c r="G796" i="180"/>
  <c r="G798" i="180"/>
  <c r="G799" i="180"/>
  <c r="G800" i="180"/>
  <c r="G802" i="180"/>
  <c r="G803" i="180"/>
  <c r="G804" i="180"/>
  <c r="G805" i="180"/>
  <c r="G806" i="180"/>
  <c r="G807" i="180"/>
  <c r="G808" i="180"/>
  <c r="G809" i="180"/>
  <c r="G810" i="180"/>
  <c r="G811" i="180"/>
  <c r="G814" i="180"/>
  <c r="G815" i="180"/>
  <c r="G817" i="180"/>
  <c r="G818" i="180"/>
  <c r="G819" i="180"/>
  <c r="G822" i="180"/>
  <c r="G824" i="180"/>
  <c r="G825" i="180"/>
  <c r="G826" i="180"/>
  <c r="G827" i="180"/>
  <c r="G828" i="180"/>
  <c r="G829" i="180"/>
  <c r="G830" i="180"/>
  <c r="G832" i="180"/>
  <c r="G833" i="180"/>
  <c r="Q192" i="180" l="1"/>
  <c r="M721" i="180"/>
  <c r="M726" i="180" s="1"/>
  <c r="J11" i="63" s="1"/>
  <c r="Q761" i="180"/>
  <c r="O690" i="180"/>
  <c r="O702" i="180" s="1"/>
  <c r="L10" i="63" s="1"/>
  <c r="Q811" i="180"/>
  <c r="Q807" i="180"/>
  <c r="Q803" i="180"/>
  <c r="Q815" i="180"/>
  <c r="Q193" i="180"/>
  <c r="Q189" i="180"/>
  <c r="L21" i="190"/>
  <c r="L22" i="190" s="1"/>
  <c r="Q477" i="180"/>
  <c r="Q343" i="180"/>
  <c r="Q232" i="180"/>
  <c r="Q225" i="180"/>
  <c r="Q170" i="180"/>
  <c r="J492" i="180"/>
  <c r="Q50" i="180"/>
  <c r="Q41" i="180"/>
  <c r="Q33" i="180"/>
  <c r="Q25" i="180"/>
  <c r="Q19" i="180"/>
  <c r="Q14" i="180"/>
  <c r="Q9" i="180"/>
  <c r="H690" i="180"/>
  <c r="P721" i="180"/>
  <c r="P726" i="180" s="1"/>
  <c r="M11" i="63" s="1"/>
  <c r="Q229" i="187"/>
  <c r="Q234" i="187" s="1"/>
  <c r="N13" i="63"/>
  <c r="M21" i="190"/>
  <c r="M22" i="190" s="1"/>
  <c r="O721" i="180"/>
  <c r="O726" i="180" s="1"/>
  <c r="L11" i="63" s="1"/>
  <c r="Q721" i="187"/>
  <c r="Q726" i="187" s="1"/>
  <c r="K492" i="180"/>
  <c r="K677" i="180" s="1"/>
  <c r="H9" i="63" s="1"/>
  <c r="K229" i="180"/>
  <c r="K234" i="180" s="1"/>
  <c r="H7" i="63" s="1"/>
  <c r="L721" i="180"/>
  <c r="L726" i="180" s="1"/>
  <c r="I11" i="63" s="1"/>
  <c r="P492" i="180"/>
  <c r="P677" i="180" s="1"/>
  <c r="M9" i="63" s="1"/>
  <c r="K721" i="180"/>
  <c r="K726" i="180" s="1"/>
  <c r="H11" i="63" s="1"/>
  <c r="L834" i="180"/>
  <c r="I15" i="63" s="1"/>
  <c r="L39" i="180"/>
  <c r="L45" i="180" s="1"/>
  <c r="I5" i="63" s="1"/>
  <c r="Q818" i="180"/>
  <c r="P690" i="180"/>
  <c r="P702" i="180" s="1"/>
  <c r="M10" i="63" s="1"/>
  <c r="Q690" i="187"/>
  <c r="I721" i="180"/>
  <c r="I726" i="180" s="1"/>
  <c r="F11" i="63" s="1"/>
  <c r="I690" i="180"/>
  <c r="I702" i="180" s="1"/>
  <c r="F10" i="63" s="1"/>
  <c r="J229" i="180"/>
  <c r="J234" i="180" s="1"/>
  <c r="G7" i="63" s="1"/>
  <c r="K690" i="180"/>
  <c r="M690" i="180"/>
  <c r="M702" i="180" s="1"/>
  <c r="J10" i="63" s="1"/>
  <c r="P229" i="180"/>
  <c r="P234" i="180" s="1"/>
  <c r="M7" i="63" s="1"/>
  <c r="Q812" i="187"/>
  <c r="Q820" i="187" s="1"/>
  <c r="Q39" i="187"/>
  <c r="Q45" i="187" s="1"/>
  <c r="G21" i="139"/>
  <c r="J21" i="139"/>
  <c r="I17" i="63" s="1"/>
  <c r="L21" i="189"/>
  <c r="Q834" i="187"/>
  <c r="Q832" i="180"/>
  <c r="Q827" i="180"/>
  <c r="Q822" i="180"/>
  <c r="O812" i="180"/>
  <c r="O820" i="180" s="1"/>
  <c r="L14" i="63" s="1"/>
  <c r="Q798" i="180"/>
  <c r="Q759" i="187"/>
  <c r="Q762" i="187" s="1"/>
  <c r="L759" i="180"/>
  <c r="L762" i="180" s="1"/>
  <c r="I12" i="63" s="1"/>
  <c r="K702" i="180"/>
  <c r="H10" i="63" s="1"/>
  <c r="Q702" i="187"/>
  <c r="L690" i="180"/>
  <c r="L702" i="180" s="1"/>
  <c r="I10" i="63" s="1"/>
  <c r="Q482" i="180"/>
  <c r="M492" i="180"/>
  <c r="M677" i="180" s="1"/>
  <c r="J9" i="63" s="1"/>
  <c r="O492" i="180"/>
  <c r="O677" i="180" s="1"/>
  <c r="L9" i="63" s="1"/>
  <c r="N492" i="180"/>
  <c r="N677" i="180" s="1"/>
  <c r="K9" i="63" s="1"/>
  <c r="Q489" i="180"/>
  <c r="Q484" i="180"/>
  <c r="H492" i="180"/>
  <c r="H677" i="180" s="1"/>
  <c r="E9" i="63" s="1"/>
  <c r="L492" i="180"/>
  <c r="L677" i="180" s="1"/>
  <c r="I9" i="63" s="1"/>
  <c r="Q492" i="187"/>
  <c r="Q677" i="187" s="1"/>
  <c r="Q470" i="180"/>
  <c r="Q458" i="180"/>
  <c r="Q450" i="180"/>
  <c r="Q441" i="180"/>
  <c r="Q428" i="180"/>
  <c r="Q473" i="180"/>
  <c r="Q467" i="180"/>
  <c r="Q461" i="180"/>
  <c r="Q456" i="180"/>
  <c r="Q452" i="180"/>
  <c r="Q448" i="180"/>
  <c r="Q443" i="180"/>
  <c r="Q439" i="180"/>
  <c r="Q434" i="180"/>
  <c r="Q430" i="180"/>
  <c r="Q426" i="180"/>
  <c r="Q422" i="180"/>
  <c r="Q418" i="180"/>
  <c r="Q414" i="180"/>
  <c r="Q410" i="180"/>
  <c r="Q402" i="180"/>
  <c r="Q398" i="180"/>
  <c r="Q394" i="180"/>
  <c r="Q386" i="180"/>
  <c r="Q381" i="180"/>
  <c r="Q376" i="180"/>
  <c r="Q366" i="180"/>
  <c r="Q361" i="180"/>
  <c r="Q357" i="180"/>
  <c r="N351" i="180"/>
  <c r="N478" i="180" s="1"/>
  <c r="K8" i="63" s="1"/>
  <c r="Q351" i="187"/>
  <c r="Q478" i="187" s="1"/>
  <c r="Q339" i="180"/>
  <c r="Q334" i="180"/>
  <c r="Q321" i="180"/>
  <c r="Q317" i="180"/>
  <c r="Q313" i="180"/>
  <c r="Q304" i="180"/>
  <c r="Q299" i="180"/>
  <c r="Q295" i="180"/>
  <c r="Q287" i="180"/>
  <c r="Q276" i="180"/>
  <c r="Q272" i="180"/>
  <c r="Q268" i="180"/>
  <c r="Q264" i="180"/>
  <c r="Q255" i="180"/>
  <c r="Q251" i="180"/>
  <c r="Q243" i="180"/>
  <c r="Q239" i="180"/>
  <c r="Q214" i="180"/>
  <c r="Q207" i="180"/>
  <c r="Q201" i="180"/>
  <c r="Q186" i="180"/>
  <c r="Q182" i="180"/>
  <c r="Q178" i="180"/>
  <c r="H835" i="187"/>
  <c r="H837" i="187" s="1"/>
  <c r="D4" i="107" s="1"/>
  <c r="E4" i="107" s="1"/>
  <c r="Q171" i="187"/>
  <c r="Q222" i="187" s="1"/>
  <c r="J835" i="187"/>
  <c r="N171" i="180"/>
  <c r="N222" i="180" s="1"/>
  <c r="K6" i="63" s="1"/>
  <c r="G835" i="187"/>
  <c r="G837" i="187" s="1"/>
  <c r="D3" i="107" s="1"/>
  <c r="Q165" i="180"/>
  <c r="Q161" i="180"/>
  <c r="Q157" i="180"/>
  <c r="Q153" i="180"/>
  <c r="Q149" i="180"/>
  <c r="Q145" i="180"/>
  <c r="Q141" i="180"/>
  <c r="Q136" i="180"/>
  <c r="Q132" i="180"/>
  <c r="Q128" i="180"/>
  <c r="Q123" i="180"/>
  <c r="Q116" i="180"/>
  <c r="Q110" i="180"/>
  <c r="Q103" i="180"/>
  <c r="Q97" i="180"/>
  <c r="Q92" i="180"/>
  <c r="Q88" i="180"/>
  <c r="Q83" i="180"/>
  <c r="Q79" i="180"/>
  <c r="Q75" i="180"/>
  <c r="Q71" i="180"/>
  <c r="Q66" i="180"/>
  <c r="Q60" i="180"/>
  <c r="Q54" i="180"/>
  <c r="I835" i="187"/>
  <c r="I837" i="187" s="1"/>
  <c r="D5" i="107" s="1"/>
  <c r="E5" i="107" s="1"/>
  <c r="K835" i="187"/>
  <c r="M21" i="139"/>
  <c r="N17" i="139"/>
  <c r="L21" i="139"/>
  <c r="K17" i="63" s="1"/>
  <c r="K21" i="139"/>
  <c r="J17" i="63" s="1"/>
  <c r="N13" i="139"/>
  <c r="N5" i="139"/>
  <c r="I21" i="139"/>
  <c r="H17" i="63" s="1"/>
  <c r="N9" i="139"/>
  <c r="H21" i="139"/>
  <c r="G17" i="63" s="1"/>
  <c r="N20" i="139"/>
  <c r="N16" i="139"/>
  <c r="N12" i="139"/>
  <c r="N8" i="139"/>
  <c r="N4" i="139"/>
  <c r="N18" i="139"/>
  <c r="N14" i="139"/>
  <c r="N10" i="139"/>
  <c r="N6" i="139"/>
  <c r="F21" i="139"/>
  <c r="N19" i="139"/>
  <c r="N15" i="139"/>
  <c r="N11" i="139"/>
  <c r="N7" i="139"/>
  <c r="E21" i="139"/>
  <c r="N3" i="139"/>
  <c r="P835" i="187"/>
  <c r="P837" i="187" s="1"/>
  <c r="P812" i="180"/>
  <c r="P820" i="180" s="1"/>
  <c r="M14" i="63" s="1"/>
  <c r="P834" i="180"/>
  <c r="M15" i="63" s="1"/>
  <c r="P351" i="180"/>
  <c r="P478" i="180" s="1"/>
  <c r="M8" i="63" s="1"/>
  <c r="P171" i="180"/>
  <c r="P222" i="180" s="1"/>
  <c r="M6" i="63" s="1"/>
  <c r="P759" i="180"/>
  <c r="P762" i="180" s="1"/>
  <c r="M12" i="63" s="1"/>
  <c r="P39" i="180"/>
  <c r="P45" i="180" s="1"/>
  <c r="M5" i="63" s="1"/>
  <c r="O835" i="187"/>
  <c r="O837" i="187" s="1"/>
  <c r="O834" i="180"/>
  <c r="L15" i="63" s="1"/>
  <c r="O351" i="180"/>
  <c r="O478" i="180" s="1"/>
  <c r="L8" i="63" s="1"/>
  <c r="O171" i="180"/>
  <c r="O222" i="180" s="1"/>
  <c r="O759" i="180"/>
  <c r="O762" i="180" s="1"/>
  <c r="L12" i="63" s="1"/>
  <c r="O39" i="180"/>
  <c r="O45" i="180" s="1"/>
  <c r="L5" i="63" s="1"/>
  <c r="Q817" i="180"/>
  <c r="Q723" i="180"/>
  <c r="O229" i="180"/>
  <c r="O234" i="180" s="1"/>
  <c r="L7" i="63" s="1"/>
  <c r="N835" i="187"/>
  <c r="Q476" i="180"/>
  <c r="Q455" i="180"/>
  <c r="Q438" i="180"/>
  <c r="Q409" i="180"/>
  <c r="N721" i="180"/>
  <c r="N726" i="180" s="1"/>
  <c r="K11" i="63" s="1"/>
  <c r="N690" i="180"/>
  <c r="N702" i="180" s="1"/>
  <c r="K10" i="63" s="1"/>
  <c r="Q472" i="180"/>
  <c r="Q460" i="180"/>
  <c r="Q447" i="180"/>
  <c r="Q433" i="180"/>
  <c r="Q417" i="180"/>
  <c r="Q194" i="180"/>
  <c r="Q190" i="180"/>
  <c r="N834" i="180"/>
  <c r="K15" i="63" s="1"/>
  <c r="N759" i="180"/>
  <c r="N762" i="180" s="1"/>
  <c r="K12" i="63" s="1"/>
  <c r="Q487" i="180"/>
  <c r="Q464" i="180"/>
  <c r="Q451" i="180"/>
  <c r="Q442" i="180"/>
  <c r="Q425" i="180"/>
  <c r="Q829" i="180"/>
  <c r="Q825" i="180"/>
  <c r="N229" i="180"/>
  <c r="N234" i="180" s="1"/>
  <c r="K7" i="63" s="1"/>
  <c r="N39" i="180"/>
  <c r="N45" i="180" s="1"/>
  <c r="K5" i="63" s="1"/>
  <c r="Q405" i="180"/>
  <c r="Q401" i="180"/>
  <c r="Q397" i="180"/>
  <c r="Q393" i="180"/>
  <c r="Q389" i="180"/>
  <c r="Q385" i="180"/>
  <c r="Q380" i="180"/>
  <c r="Q375" i="180"/>
  <c r="Q371" i="180"/>
  <c r="Q365" i="180"/>
  <c r="Q360" i="180"/>
  <c r="Q356" i="180"/>
  <c r="Q348" i="180"/>
  <c r="Q342" i="180"/>
  <c r="Q338" i="180"/>
  <c r="Q332" i="180"/>
  <c r="Q327" i="180"/>
  <c r="Q320" i="180"/>
  <c r="Q316" i="180"/>
  <c r="Q312" i="180"/>
  <c r="Q308" i="180"/>
  <c r="Q302" i="180"/>
  <c r="Q298" i="180"/>
  <c r="Q294" i="180"/>
  <c r="Q290" i="180"/>
  <c r="Q285" i="180"/>
  <c r="Q279" i="180"/>
  <c r="Q275" i="180"/>
  <c r="Q271" i="180"/>
  <c r="Q267" i="180"/>
  <c r="Q262" i="180"/>
  <c r="Q258" i="180"/>
  <c r="Q254" i="180"/>
  <c r="Q250" i="180"/>
  <c r="Q246" i="180"/>
  <c r="Q242" i="180"/>
  <c r="Q238" i="180"/>
  <c r="Q221" i="180"/>
  <c r="Q217" i="180"/>
  <c r="Q213" i="180"/>
  <c r="Q206" i="180"/>
  <c r="Q200" i="180"/>
  <c r="Q185" i="180"/>
  <c r="Q181" i="180"/>
  <c r="Q177" i="180"/>
  <c r="Q169" i="180"/>
  <c r="Q164" i="180"/>
  <c r="Q160" i="180"/>
  <c r="Q156" i="180"/>
  <c r="Q152" i="180"/>
  <c r="Q148" i="180"/>
  <c r="Q144" i="180"/>
  <c r="Q140" i="180"/>
  <c r="Q135" i="180"/>
  <c r="Q131" i="180"/>
  <c r="Q126" i="180"/>
  <c r="Q121" i="180"/>
  <c r="Q114" i="180"/>
  <c r="Q108" i="180"/>
  <c r="Q102" i="180"/>
  <c r="Q95" i="180"/>
  <c r="Q91" i="180"/>
  <c r="Q87" i="180"/>
  <c r="Q82" i="180"/>
  <c r="Q78" i="180"/>
  <c r="Q74" i="180"/>
  <c r="Q70" i="180"/>
  <c r="Q64" i="180"/>
  <c r="Q59" i="180"/>
  <c r="Q53" i="180"/>
  <c r="Q49" i="180"/>
  <c r="Q38" i="180"/>
  <c r="Q31" i="180"/>
  <c r="Q24" i="180"/>
  <c r="Q17" i="180"/>
  <c r="Q13" i="180"/>
  <c r="Q768" i="180"/>
  <c r="Q833" i="180"/>
  <c r="Q828" i="180"/>
  <c r="Q824" i="180"/>
  <c r="Q197" i="180"/>
  <c r="N812" i="180"/>
  <c r="N820" i="180" s="1"/>
  <c r="K14" i="63" s="1"/>
  <c r="M835" i="187"/>
  <c r="M351" i="180"/>
  <c r="M478" i="180" s="1"/>
  <c r="J8" i="63" s="1"/>
  <c r="Q195" i="180"/>
  <c r="Q191" i="180"/>
  <c r="M834" i="180"/>
  <c r="J15" i="63" s="1"/>
  <c r="M759" i="180"/>
  <c r="M762" i="180" s="1"/>
  <c r="J12" i="63" s="1"/>
  <c r="M39" i="180"/>
  <c r="M45" i="180" s="1"/>
  <c r="J5" i="63" s="1"/>
  <c r="Q406" i="180"/>
  <c r="Q329" i="180"/>
  <c r="Q259" i="180"/>
  <c r="M229" i="180"/>
  <c r="M234" i="180" s="1"/>
  <c r="J7" i="63" s="1"/>
  <c r="M171" i="180"/>
  <c r="M222" i="180" s="1"/>
  <c r="M812" i="180"/>
  <c r="M820" i="180" s="1"/>
  <c r="J14" i="63" s="1"/>
  <c r="L835" i="187"/>
  <c r="Q687" i="180"/>
  <c r="Q683" i="180"/>
  <c r="Q676" i="180"/>
  <c r="Q672" i="180"/>
  <c r="Q665" i="180"/>
  <c r="Q660" i="180"/>
  <c r="Q654" i="180"/>
  <c r="Q613" i="180"/>
  <c r="Q605" i="180"/>
  <c r="Q597" i="180"/>
  <c r="Q586" i="180"/>
  <c r="Q578" i="180"/>
  <c r="Q567" i="180"/>
  <c r="Q552" i="180"/>
  <c r="Q541" i="180"/>
  <c r="Q533" i="180"/>
  <c r="Q525" i="180"/>
  <c r="Q517" i="180"/>
  <c r="Q506" i="180"/>
  <c r="Q495" i="180"/>
  <c r="Q429" i="180"/>
  <c r="Q421" i="180"/>
  <c r="Q413" i="180"/>
  <c r="Q776" i="180"/>
  <c r="L229" i="180"/>
  <c r="L234" i="180" s="1"/>
  <c r="I7" i="63" s="1"/>
  <c r="Q720" i="180"/>
  <c r="Q715" i="180"/>
  <c r="Q710" i="180"/>
  <c r="Q705" i="180"/>
  <c r="Q698" i="180"/>
  <c r="Q693" i="180"/>
  <c r="Q617" i="180"/>
  <c r="Q609" i="180"/>
  <c r="Q593" i="180"/>
  <c r="Q582" i="180"/>
  <c r="Q571" i="180"/>
  <c r="Q546" i="180"/>
  <c r="Q537" i="180"/>
  <c r="Q529" i="180"/>
  <c r="Q511" i="180"/>
  <c r="Q500" i="180"/>
  <c r="Q830" i="180"/>
  <c r="Q826" i="180"/>
  <c r="L812" i="180"/>
  <c r="L820" i="180" s="1"/>
  <c r="I14" i="63" s="1"/>
  <c r="Q747" i="180"/>
  <c r="Q734" i="180"/>
  <c r="Q781" i="180"/>
  <c r="Q772" i="180"/>
  <c r="Q754" i="180"/>
  <c r="Q740" i="180"/>
  <c r="Q601" i="180"/>
  <c r="Q560" i="180"/>
  <c r="Q521" i="180"/>
  <c r="Q787" i="180"/>
  <c r="L351" i="180"/>
  <c r="L478" i="180" s="1"/>
  <c r="I8" i="63" s="1"/>
  <c r="L171" i="180"/>
  <c r="L222" i="180" s="1"/>
  <c r="I6" i="63" s="1"/>
  <c r="Q819" i="180"/>
  <c r="Q808" i="180"/>
  <c r="Q804" i="180"/>
  <c r="Q799" i="180"/>
  <c r="Q793" i="180"/>
  <c r="Q788" i="180"/>
  <c r="Q782" i="180"/>
  <c r="Q777" i="180"/>
  <c r="Q773" i="180"/>
  <c r="Q769" i="180"/>
  <c r="Q756" i="180"/>
  <c r="Q749" i="180"/>
  <c r="Q742" i="180"/>
  <c r="Q735" i="180"/>
  <c r="Q730" i="180"/>
  <c r="K812" i="180"/>
  <c r="K820" i="180" s="1"/>
  <c r="H14" i="63" s="1"/>
  <c r="K351" i="180"/>
  <c r="K478" i="180" s="1"/>
  <c r="H8" i="63" s="1"/>
  <c r="K171" i="180"/>
  <c r="K222" i="180" s="1"/>
  <c r="H6" i="63" s="1"/>
  <c r="Q752" i="180"/>
  <c r="Q745" i="180"/>
  <c r="Q737" i="180"/>
  <c r="Q732" i="180"/>
  <c r="Q725" i="180"/>
  <c r="Q814" i="180"/>
  <c r="Q475" i="180"/>
  <c r="Q424" i="180"/>
  <c r="K834" i="180"/>
  <c r="H15" i="63" s="1"/>
  <c r="K759" i="180"/>
  <c r="K762" i="180" s="1"/>
  <c r="H12" i="63" s="1"/>
  <c r="K39" i="180"/>
  <c r="K45" i="180" s="1"/>
  <c r="H5" i="63" s="1"/>
  <c r="Q686" i="180"/>
  <c r="Q671" i="180"/>
  <c r="Q659" i="180"/>
  <c r="Q616" i="180"/>
  <c r="Q604" i="180"/>
  <c r="Q596" i="180"/>
  <c r="Q585" i="180"/>
  <c r="Q577" i="180"/>
  <c r="Q557" i="180"/>
  <c r="Q545" i="180"/>
  <c r="Q540" i="180"/>
  <c r="Q532" i="180"/>
  <c r="Q524" i="180"/>
  <c r="Q520" i="180"/>
  <c r="Q510" i="180"/>
  <c r="Q504" i="180"/>
  <c r="Q499" i="180"/>
  <c r="Q486" i="180"/>
  <c r="Q463" i="180"/>
  <c r="Q454" i="180"/>
  <c r="Q446" i="180"/>
  <c r="Q432" i="180"/>
  <c r="Q416" i="180"/>
  <c r="J690" i="180"/>
  <c r="J702" i="180" s="1"/>
  <c r="G10" i="63" s="1"/>
  <c r="Q675" i="180"/>
  <c r="Q664" i="180"/>
  <c r="Q653" i="180"/>
  <c r="Q612" i="180"/>
  <c r="Q608" i="180"/>
  <c r="Q600" i="180"/>
  <c r="Q592" i="180"/>
  <c r="Q581" i="180"/>
  <c r="Q570" i="180"/>
  <c r="Q566" i="180"/>
  <c r="Q551" i="180"/>
  <c r="Q536" i="180"/>
  <c r="Q528" i="180"/>
  <c r="Q516" i="180"/>
  <c r="Q719" i="180"/>
  <c r="Q714" i="180"/>
  <c r="Q708" i="180"/>
  <c r="Q701" i="180"/>
  <c r="Q697" i="180"/>
  <c r="Q692" i="180"/>
  <c r="J721" i="180"/>
  <c r="J726" i="180" s="1"/>
  <c r="G11" i="63" s="1"/>
  <c r="J677" i="180"/>
  <c r="G9" i="63" s="1"/>
  <c r="Q437" i="180"/>
  <c r="J812" i="180"/>
  <c r="J820" i="180" s="1"/>
  <c r="G14" i="63" s="1"/>
  <c r="J351" i="180"/>
  <c r="J478" i="180" s="1"/>
  <c r="G8" i="63" s="1"/>
  <c r="J171" i="180"/>
  <c r="J222" i="180" s="1"/>
  <c r="G6" i="63" s="1"/>
  <c r="Q420" i="180"/>
  <c r="Q412" i="180"/>
  <c r="Q408" i="180"/>
  <c r="Q404" i="180"/>
  <c r="Q400" i="180"/>
  <c r="Q396" i="180"/>
  <c r="Q392" i="180"/>
  <c r="Q388" i="180"/>
  <c r="Q384" i="180"/>
  <c r="Q379" i="180"/>
  <c r="Q374" i="180"/>
  <c r="Q369" i="180"/>
  <c r="Q364" i="180"/>
  <c r="Q359" i="180"/>
  <c r="Q355" i="180"/>
  <c r="Q346" i="180"/>
  <c r="Q341" i="180"/>
  <c r="Q336" i="180"/>
  <c r="Q331" i="180"/>
  <c r="Q323" i="180"/>
  <c r="Q319" i="180"/>
  <c r="Q315" i="180"/>
  <c r="Q311" i="180"/>
  <c r="Q307" i="180"/>
  <c r="Q301" i="180"/>
  <c r="Q297" i="180"/>
  <c r="Q293" i="180"/>
  <c r="Q289" i="180"/>
  <c r="Q284" i="180"/>
  <c r="Q278" i="180"/>
  <c r="Q274" i="180"/>
  <c r="Q270" i="180"/>
  <c r="Q266" i="180"/>
  <c r="Q261" i="180"/>
  <c r="Q257" i="180"/>
  <c r="Q253" i="180"/>
  <c r="Q249" i="180"/>
  <c r="Q245" i="180"/>
  <c r="Q241" i="180"/>
  <c r="Q237" i="180"/>
  <c r="Q227" i="180"/>
  <c r="Q220" i="180"/>
  <c r="Q216" i="180"/>
  <c r="Q210" i="180"/>
  <c r="Q205" i="180"/>
  <c r="Q199" i="180"/>
  <c r="Q184" i="180"/>
  <c r="Q180" i="180"/>
  <c r="Q176" i="180"/>
  <c r="Q168" i="180"/>
  <c r="Q163" i="180"/>
  <c r="Q159" i="180"/>
  <c r="Q155" i="180"/>
  <c r="Q151" i="180"/>
  <c r="Q147" i="180"/>
  <c r="Q143" i="180"/>
  <c r="Q139" i="180"/>
  <c r="Q134" i="180"/>
  <c r="Q130" i="180"/>
  <c r="Q125" i="180"/>
  <c r="Q120" i="180"/>
  <c r="Q112" i="180"/>
  <c r="Q107" i="180"/>
  <c r="Q99" i="180"/>
  <c r="Q94" i="180"/>
  <c r="Q90" i="180"/>
  <c r="Q85" i="180"/>
  <c r="Q81" i="180"/>
  <c r="Q77" i="180"/>
  <c r="Q73" i="180"/>
  <c r="Q69" i="180"/>
  <c r="Q62" i="180"/>
  <c r="Q58" i="180"/>
  <c r="Q52" i="180"/>
  <c r="Q44" i="180"/>
  <c r="Q36" i="180"/>
  <c r="Q29" i="180"/>
  <c r="Q23" i="180"/>
  <c r="Q16" i="180"/>
  <c r="Q12" i="180"/>
  <c r="J834" i="180"/>
  <c r="G15" i="63" s="1"/>
  <c r="J759" i="180"/>
  <c r="J762" i="180" s="1"/>
  <c r="G12" i="63" s="1"/>
  <c r="J39" i="180"/>
  <c r="J45" i="180" s="1"/>
  <c r="G5" i="63" s="1"/>
  <c r="Q729" i="180"/>
  <c r="I812" i="180"/>
  <c r="I820" i="180" s="1"/>
  <c r="F14" i="63" s="1"/>
  <c r="Q685" i="180"/>
  <c r="Q681" i="180"/>
  <c r="Q674" i="180"/>
  <c r="Q670" i="180"/>
  <c r="Q662" i="180"/>
  <c r="Q656" i="180"/>
  <c r="Q652" i="180"/>
  <c r="Q615" i="180"/>
  <c r="Q611" i="180"/>
  <c r="Q607" i="180"/>
  <c r="Q603" i="180"/>
  <c r="Q599" i="180"/>
  <c r="I492" i="180"/>
  <c r="I677" i="180" s="1"/>
  <c r="F9" i="63" s="1"/>
  <c r="Q591" i="180"/>
  <c r="Q580" i="180"/>
  <c r="Q565" i="180"/>
  <c r="Q549" i="180"/>
  <c r="Q539" i="180"/>
  <c r="Q531" i="180"/>
  <c r="Q527" i="180"/>
  <c r="Q519" i="180"/>
  <c r="Q509" i="180"/>
  <c r="Q502" i="180"/>
  <c r="Q179" i="180"/>
  <c r="Q142" i="180"/>
  <c r="Q138" i="180"/>
  <c r="Q98" i="180"/>
  <c r="Q93" i="180"/>
  <c r="Q61" i="180"/>
  <c r="Q57" i="180"/>
  <c r="Q10" i="180"/>
  <c r="I834" i="180"/>
  <c r="F15" i="63" s="1"/>
  <c r="Q810" i="180"/>
  <c r="Q806" i="180"/>
  <c r="Q802" i="180"/>
  <c r="Q796" i="180"/>
  <c r="Q718" i="180"/>
  <c r="Q713" i="180"/>
  <c r="Q700" i="180"/>
  <c r="Q695" i="180"/>
  <c r="Q689" i="180"/>
  <c r="Q684" i="180"/>
  <c r="Q680" i="180"/>
  <c r="Q673" i="180"/>
  <c r="Q666" i="180"/>
  <c r="Q661" i="180"/>
  <c r="Q655" i="180"/>
  <c r="Q651" i="180"/>
  <c r="Q618" i="180"/>
  <c r="Q614" i="180"/>
  <c r="Q610" i="180"/>
  <c r="Q606" i="180"/>
  <c r="Q602" i="180"/>
  <c r="Q598" i="180"/>
  <c r="Q594" i="180"/>
  <c r="Q590" i="180"/>
  <c r="Q583" i="180"/>
  <c r="Q579" i="180"/>
  <c r="Q572" i="180"/>
  <c r="Q568" i="180"/>
  <c r="Q564" i="180"/>
  <c r="Q555" i="180"/>
  <c r="Q547" i="180"/>
  <c r="Q543" i="180"/>
  <c r="Q538" i="180"/>
  <c r="Q534" i="180"/>
  <c r="Q530" i="180"/>
  <c r="Q526" i="180"/>
  <c r="Q522" i="180"/>
  <c r="Q518" i="180"/>
  <c r="Q514" i="180"/>
  <c r="Q507" i="180"/>
  <c r="Q501" i="180"/>
  <c r="Q496" i="180"/>
  <c r="Q791" i="180"/>
  <c r="Q785" i="180"/>
  <c r="Q780" i="180"/>
  <c r="Q775" i="180"/>
  <c r="Q771" i="180"/>
  <c r="Q390" i="180"/>
  <c r="Q372" i="180"/>
  <c r="Q350" i="180"/>
  <c r="Q309" i="180"/>
  <c r="Q291" i="180"/>
  <c r="Q281" i="180"/>
  <c r="Q247" i="180"/>
  <c r="Q218" i="180"/>
  <c r="I759" i="180"/>
  <c r="I762" i="180" s="1"/>
  <c r="F12" i="63" s="1"/>
  <c r="I39" i="180"/>
  <c r="I45" i="180" s="1"/>
  <c r="F5" i="63" s="1"/>
  <c r="Q595" i="180"/>
  <c r="Q584" i="180"/>
  <c r="Q576" i="180"/>
  <c r="Q569" i="180"/>
  <c r="Q556" i="180"/>
  <c r="Q544" i="180"/>
  <c r="Q535" i="180"/>
  <c r="Q523" i="180"/>
  <c r="Q515" i="180"/>
  <c r="Q498" i="180"/>
  <c r="I351" i="180"/>
  <c r="I478" i="180" s="1"/>
  <c r="F8" i="63" s="1"/>
  <c r="I171" i="180"/>
  <c r="I222" i="180" s="1"/>
  <c r="F6" i="63" s="1"/>
  <c r="Q809" i="180"/>
  <c r="Q805" i="180"/>
  <c r="Q800" i="180"/>
  <c r="Q794" i="180"/>
  <c r="Q790" i="180"/>
  <c r="Q784" i="180"/>
  <c r="Q778" i="180"/>
  <c r="Q774" i="180"/>
  <c r="Q770" i="180"/>
  <c r="Q758" i="180"/>
  <c r="Q751" i="180"/>
  <c r="Q743" i="180"/>
  <c r="Q736" i="180"/>
  <c r="Q731" i="180"/>
  <c r="Q716" i="180"/>
  <c r="Q711" i="180"/>
  <c r="Q706" i="180"/>
  <c r="Q699" i="180"/>
  <c r="Q694" i="180"/>
  <c r="I229" i="180"/>
  <c r="I234" i="180" s="1"/>
  <c r="F7" i="63" s="1"/>
  <c r="H721" i="180"/>
  <c r="H726" i="180" s="1"/>
  <c r="E11" i="63" s="1"/>
  <c r="H702" i="180"/>
  <c r="E10" i="63" s="1"/>
  <c r="H812" i="180"/>
  <c r="H820" i="180" s="1"/>
  <c r="E14" i="63" s="1"/>
  <c r="Q491" i="180"/>
  <c r="Q485" i="180"/>
  <c r="Q481" i="180"/>
  <c r="Q474" i="180"/>
  <c r="Q469" i="180"/>
  <c r="Q462" i="180"/>
  <c r="Q457" i="180"/>
  <c r="Q453" i="180"/>
  <c r="Q449" i="180"/>
  <c r="Q445" i="180"/>
  <c r="Q440" i="180"/>
  <c r="Q436" i="180"/>
  <c r="Q431" i="180"/>
  <c r="Q427" i="180"/>
  <c r="Q423" i="180"/>
  <c r="Q419" i="180"/>
  <c r="Q415" i="180"/>
  <c r="Q411" i="180"/>
  <c r="Q407" i="180"/>
  <c r="Q403" i="180"/>
  <c r="Q399" i="180"/>
  <c r="Q395" i="180"/>
  <c r="Q391" i="180"/>
  <c r="Q387" i="180"/>
  <c r="Q383" i="180"/>
  <c r="Q378" i="180"/>
  <c r="Q373" i="180"/>
  <c r="Q367" i="180"/>
  <c r="Q363" i="180"/>
  <c r="Q358" i="180"/>
  <c r="Q354" i="180"/>
  <c r="Q344" i="180"/>
  <c r="Q340" i="180"/>
  <c r="Q335" i="180"/>
  <c r="Q330" i="180"/>
  <c r="Q322" i="180"/>
  <c r="Q318" i="180"/>
  <c r="Q314" i="180"/>
  <c r="Q310" i="180"/>
  <c r="Q306" i="180"/>
  <c r="Q300" i="180"/>
  <c r="Q296" i="180"/>
  <c r="Q292" i="180"/>
  <c r="Q288" i="180"/>
  <c r="Q283" i="180"/>
  <c r="Q277" i="180"/>
  <c r="Q273" i="180"/>
  <c r="Q269" i="180"/>
  <c r="Q265" i="180"/>
  <c r="Q260" i="180"/>
  <c r="Q256" i="180"/>
  <c r="Q252" i="180"/>
  <c r="Q248" i="180"/>
  <c r="Q244" i="180"/>
  <c r="Q240" i="180"/>
  <c r="Q233" i="180"/>
  <c r="Q226" i="180"/>
  <c r="Q219" i="180"/>
  <c r="Q215" i="180"/>
  <c r="Q208" i="180"/>
  <c r="Q204" i="180"/>
  <c r="Q188" i="180"/>
  <c r="Q183" i="180"/>
  <c r="Q175" i="180"/>
  <c r="Q166" i="180"/>
  <c r="Q162" i="180"/>
  <c r="Q158" i="180"/>
  <c r="Q154" i="180"/>
  <c r="Q150" i="180"/>
  <c r="Q146" i="180"/>
  <c r="Q133" i="180"/>
  <c r="Q129" i="180"/>
  <c r="Q124" i="180"/>
  <c r="Q119" i="180"/>
  <c r="Q111" i="180"/>
  <c r="Q105" i="180"/>
  <c r="Q89" i="180"/>
  <c r="Q84" i="180"/>
  <c r="Q80" i="180"/>
  <c r="Q76" i="180"/>
  <c r="Q72" i="180"/>
  <c r="Q68" i="180"/>
  <c r="Q51" i="180"/>
  <c r="Q43" i="180"/>
  <c r="Q34" i="180"/>
  <c r="Q27" i="180"/>
  <c r="Q21" i="180"/>
  <c r="Q15" i="180"/>
  <c r="H834" i="180"/>
  <c r="E15" i="63" s="1"/>
  <c r="H351" i="180"/>
  <c r="H478" i="180" s="1"/>
  <c r="E8" i="63" s="1"/>
  <c r="H171" i="180"/>
  <c r="H222" i="180" s="1"/>
  <c r="E6" i="63" s="1"/>
  <c r="H759" i="180"/>
  <c r="H762" i="180" s="1"/>
  <c r="E12" i="63" s="1"/>
  <c r="H229" i="180"/>
  <c r="H234" i="180" s="1"/>
  <c r="E7" i="63" s="1"/>
  <c r="H39" i="180"/>
  <c r="H45" i="180" s="1"/>
  <c r="E5" i="63" s="1"/>
  <c r="G39" i="180"/>
  <c r="G45" i="180" s="1"/>
  <c r="D5" i="63" s="1"/>
  <c r="Q7" i="180"/>
  <c r="G759" i="180"/>
  <c r="G762" i="180" s="1"/>
  <c r="D12" i="63" s="1"/>
  <c r="G351" i="180"/>
  <c r="G478" i="180" s="1"/>
  <c r="D8" i="63" s="1"/>
  <c r="G721" i="180"/>
  <c r="G726" i="180" s="1"/>
  <c r="D11" i="63" s="1"/>
  <c r="Q707" i="180"/>
  <c r="G492" i="180"/>
  <c r="G677" i="180" s="1"/>
  <c r="D9" i="63" s="1"/>
  <c r="Q483" i="180"/>
  <c r="G171" i="180"/>
  <c r="G222" i="180" s="1"/>
  <c r="D6" i="63" s="1"/>
  <c r="G690" i="180"/>
  <c r="G702" i="180" s="1"/>
  <c r="D10" i="63" s="1"/>
  <c r="Q682" i="180"/>
  <c r="G812" i="180"/>
  <c r="G820" i="180" s="1"/>
  <c r="D14" i="63" s="1"/>
  <c r="G834" i="180"/>
  <c r="D15" i="63" s="1"/>
  <c r="G229" i="180"/>
  <c r="G234" i="180" s="1"/>
  <c r="D7" i="63" s="1"/>
  <c r="Q228" i="180"/>
  <c r="M3" i="188"/>
  <c r="D3" i="138" s="1"/>
  <c r="M4" i="188"/>
  <c r="D4" i="138" s="1"/>
  <c r="M5" i="188"/>
  <c r="D5" i="138" s="1"/>
  <c r="M6" i="188"/>
  <c r="M7" i="188"/>
  <c r="D7" i="138" s="1"/>
  <c r="M8" i="188"/>
  <c r="D8" i="138" s="1"/>
  <c r="M9" i="188"/>
  <c r="D9" i="138" s="1"/>
  <c r="M10" i="188"/>
  <c r="D10" i="138" s="1"/>
  <c r="M11" i="188"/>
  <c r="D11" i="138" s="1"/>
  <c r="M12" i="188"/>
  <c r="D12" i="138" s="1"/>
  <c r="M13" i="188"/>
  <c r="D13" i="138" s="1"/>
  <c r="M14" i="188"/>
  <c r="D14" i="138" s="1"/>
  <c r="M15" i="188"/>
  <c r="D15" i="138" s="1"/>
  <c r="M16" i="188"/>
  <c r="D16" i="138" s="1"/>
  <c r="M17" i="188"/>
  <c r="D17" i="138" s="1"/>
  <c r="M18" i="188"/>
  <c r="D18" i="138" s="1"/>
  <c r="M19" i="188"/>
  <c r="D19" i="138" s="1"/>
  <c r="M20" i="188"/>
  <c r="D20" i="138" s="1"/>
  <c r="L21" i="188"/>
  <c r="K21" i="188"/>
  <c r="J21" i="188"/>
  <c r="I21" i="188"/>
  <c r="H21" i="188"/>
  <c r="G21" i="188"/>
  <c r="F21" i="188"/>
  <c r="E21" i="188"/>
  <c r="D21" i="188"/>
  <c r="C21" i="188"/>
  <c r="C21" i="138"/>
  <c r="N3" i="138"/>
  <c r="N4" i="138"/>
  <c r="N5" i="138"/>
  <c r="N6" i="138"/>
  <c r="N7" i="138"/>
  <c r="N8" i="138"/>
  <c r="N9" i="138"/>
  <c r="N10" i="138"/>
  <c r="N11" i="138"/>
  <c r="N12" i="138"/>
  <c r="N13" i="138"/>
  <c r="N14" i="138"/>
  <c r="N15" i="138"/>
  <c r="N16" i="138"/>
  <c r="N17" i="138"/>
  <c r="N18" i="138"/>
  <c r="N19" i="138"/>
  <c r="N20" i="138"/>
  <c r="M20" i="138"/>
  <c r="K3" i="138"/>
  <c r="K4" i="138"/>
  <c r="K5" i="138"/>
  <c r="K6" i="138"/>
  <c r="K7" i="138"/>
  <c r="K8" i="138"/>
  <c r="K9" i="138"/>
  <c r="K10" i="138"/>
  <c r="K11" i="138"/>
  <c r="K12" i="138"/>
  <c r="K13" i="138"/>
  <c r="K14" i="138"/>
  <c r="K15" i="138"/>
  <c r="K16" i="138"/>
  <c r="K17" i="138"/>
  <c r="K18" i="138"/>
  <c r="K19" i="138"/>
  <c r="K20" i="138"/>
  <c r="J3" i="138"/>
  <c r="J4" i="138"/>
  <c r="J5" i="138"/>
  <c r="J6" i="138"/>
  <c r="J7" i="138"/>
  <c r="J8" i="138"/>
  <c r="J9" i="138"/>
  <c r="J10" i="138"/>
  <c r="J11" i="138"/>
  <c r="J12" i="138"/>
  <c r="J14" i="138"/>
  <c r="J15" i="138"/>
  <c r="J17" i="138"/>
  <c r="J18" i="138"/>
  <c r="J19" i="138"/>
  <c r="J20" i="138"/>
  <c r="I4" i="138"/>
  <c r="I5" i="138"/>
  <c r="I6" i="138"/>
  <c r="I7" i="138"/>
  <c r="I8" i="138"/>
  <c r="I9" i="138"/>
  <c r="I10" i="138"/>
  <c r="I11" i="138"/>
  <c r="I12" i="138"/>
  <c r="I13" i="138"/>
  <c r="I14" i="138"/>
  <c r="I15" i="138"/>
  <c r="I16" i="138"/>
  <c r="I17" i="138"/>
  <c r="I18" i="138"/>
  <c r="I19" i="138"/>
  <c r="I20" i="138"/>
  <c r="H4" i="138"/>
  <c r="H5" i="138"/>
  <c r="H6" i="138"/>
  <c r="H7" i="138"/>
  <c r="H8" i="138"/>
  <c r="H9" i="138"/>
  <c r="H10" i="138"/>
  <c r="H11" i="138"/>
  <c r="H12" i="138"/>
  <c r="H15" i="138"/>
  <c r="H20" i="138"/>
  <c r="G3" i="138"/>
  <c r="G4" i="138"/>
  <c r="G5" i="138"/>
  <c r="G6" i="138"/>
  <c r="G7" i="138"/>
  <c r="G8" i="138"/>
  <c r="G9" i="138"/>
  <c r="G10" i="138"/>
  <c r="G11" i="138"/>
  <c r="G12" i="138"/>
  <c r="G13" i="138"/>
  <c r="G14" i="138"/>
  <c r="G15" i="138"/>
  <c r="G16" i="138"/>
  <c r="G17" i="138"/>
  <c r="G18" i="138"/>
  <c r="G19" i="138"/>
  <c r="G20" i="138"/>
  <c r="F3" i="138"/>
  <c r="F4" i="138"/>
  <c r="F7" i="138"/>
  <c r="F9" i="138"/>
  <c r="F12" i="138"/>
  <c r="F13" i="138"/>
  <c r="F14" i="138"/>
  <c r="F15" i="138"/>
  <c r="F16" i="138"/>
  <c r="F17" i="138"/>
  <c r="F18" i="138"/>
  <c r="F19" i="138"/>
  <c r="F20" i="138"/>
  <c r="E12" i="138"/>
  <c r="E19" i="138"/>
  <c r="O7" i="186"/>
  <c r="O8" i="186" s="1"/>
  <c r="O11" i="186"/>
  <c r="O13" i="186"/>
  <c r="O23" i="186"/>
  <c r="O24" i="186" s="1"/>
  <c r="O27" i="186"/>
  <c r="O28" i="186"/>
  <c r="O29" i="186"/>
  <c r="O31" i="186"/>
  <c r="O32" i="186"/>
  <c r="O35" i="186"/>
  <c r="O36" i="186"/>
  <c r="O40" i="186"/>
  <c r="O52" i="186"/>
  <c r="O53" i="186"/>
  <c r="O54" i="186"/>
  <c r="O55" i="186"/>
  <c r="O56" i="186"/>
  <c r="O58" i="186"/>
  <c r="O60" i="186"/>
  <c r="O61" i="186"/>
  <c r="O62" i="186"/>
  <c r="O63" i="186"/>
  <c r="O64" i="186"/>
  <c r="O65" i="186"/>
  <c r="O66" i="186"/>
  <c r="O67" i="186"/>
  <c r="O68" i="186"/>
  <c r="O69" i="186"/>
  <c r="O70" i="186"/>
  <c r="O71" i="186"/>
  <c r="O72" i="186"/>
  <c r="O73" i="186"/>
  <c r="O74" i="186"/>
  <c r="O75" i="186"/>
  <c r="O76" i="186"/>
  <c r="O77" i="186"/>
  <c r="O78" i="186"/>
  <c r="O79" i="186"/>
  <c r="O80" i="186"/>
  <c r="O81" i="186"/>
  <c r="O82" i="186"/>
  <c r="O83" i="186"/>
  <c r="O84" i="186"/>
  <c r="O85" i="186"/>
  <c r="O86" i="186"/>
  <c r="O87" i="186"/>
  <c r="O88" i="186"/>
  <c r="O89" i="186"/>
  <c r="O90" i="186"/>
  <c r="O92" i="186"/>
  <c r="O93" i="186"/>
  <c r="O94" i="186"/>
  <c r="O95" i="186"/>
  <c r="O96" i="186"/>
  <c r="O97" i="186"/>
  <c r="O98" i="186"/>
  <c r="O99" i="186"/>
  <c r="O100" i="186"/>
  <c r="O107" i="186"/>
  <c r="O109" i="186"/>
  <c r="O111" i="186"/>
  <c r="O112" i="186"/>
  <c r="O113" i="186"/>
  <c r="O114" i="186"/>
  <c r="O115" i="186"/>
  <c r="O116" i="186"/>
  <c r="O117" i="186"/>
  <c r="O118" i="186"/>
  <c r="O119" i="186"/>
  <c r="O121" i="186"/>
  <c r="O123" i="186"/>
  <c r="O126" i="186"/>
  <c r="O128" i="186"/>
  <c r="O132" i="186"/>
  <c r="O133" i="186"/>
  <c r="O134" i="186"/>
  <c r="O135" i="186"/>
  <c r="O136" i="186"/>
  <c r="O137" i="186"/>
  <c r="O141" i="186"/>
  <c r="O143" i="186"/>
  <c r="O144" i="186"/>
  <c r="O145" i="186"/>
  <c r="O146" i="186"/>
  <c r="O148" i="186"/>
  <c r="O149" i="186"/>
  <c r="O151" i="186"/>
  <c r="O152" i="186"/>
  <c r="O153" i="186"/>
  <c r="O154" i="186"/>
  <c r="O155" i="186"/>
  <c r="O156" i="186"/>
  <c r="O157" i="186"/>
  <c r="O158" i="186"/>
  <c r="O159" i="186"/>
  <c r="O160" i="186"/>
  <c r="O162" i="186"/>
  <c r="O163" i="186"/>
  <c r="O164" i="186"/>
  <c r="O165" i="186"/>
  <c r="O166" i="186"/>
  <c r="O167" i="186"/>
  <c r="O169" i="186"/>
  <c r="O171" i="186"/>
  <c r="O173" i="186"/>
  <c r="O177" i="186"/>
  <c r="O180" i="186"/>
  <c r="O181" i="186"/>
  <c r="O184" i="186"/>
  <c r="O185" i="186"/>
  <c r="O186" i="186"/>
  <c r="N8" i="186"/>
  <c r="N129" i="186"/>
  <c r="N138" i="186"/>
  <c r="N187" i="186"/>
  <c r="M129" i="186"/>
  <c r="M138" i="186"/>
  <c r="M187" i="186"/>
  <c r="L129" i="186"/>
  <c r="L138" i="186"/>
  <c r="L187" i="186"/>
  <c r="K8" i="186"/>
  <c r="K129" i="186"/>
  <c r="K138" i="186"/>
  <c r="K187" i="186"/>
  <c r="J8" i="186"/>
  <c r="J129" i="186"/>
  <c r="J138" i="186"/>
  <c r="J187" i="186"/>
  <c r="I8" i="186"/>
  <c r="I129" i="186"/>
  <c r="I138" i="186"/>
  <c r="I187" i="186"/>
  <c r="G8" i="186"/>
  <c r="G129" i="186"/>
  <c r="G138" i="186"/>
  <c r="G187" i="186"/>
  <c r="F8" i="186"/>
  <c r="F129" i="186"/>
  <c r="F138" i="186"/>
  <c r="F187" i="186"/>
  <c r="E8" i="186"/>
  <c r="E129" i="186"/>
  <c r="E138" i="186"/>
  <c r="E187" i="186"/>
  <c r="N7" i="179"/>
  <c r="N8" i="179" s="1"/>
  <c r="M4" i="62" s="1"/>
  <c r="N11" i="179"/>
  <c r="N13" i="179"/>
  <c r="N15" i="179"/>
  <c r="N17" i="179"/>
  <c r="N23" i="179"/>
  <c r="N27" i="179"/>
  <c r="N28" i="179"/>
  <c r="N29" i="179"/>
  <c r="N31" i="179"/>
  <c r="N32" i="179"/>
  <c r="N35" i="179"/>
  <c r="N36" i="179"/>
  <c r="N40" i="179"/>
  <c r="N52" i="179"/>
  <c r="N53" i="179"/>
  <c r="N54" i="179"/>
  <c r="N55" i="179"/>
  <c r="N56" i="179"/>
  <c r="N58" i="179"/>
  <c r="N60" i="179"/>
  <c r="N61" i="179"/>
  <c r="N62" i="179"/>
  <c r="N63" i="179"/>
  <c r="N64" i="179"/>
  <c r="N65" i="179"/>
  <c r="N66" i="179"/>
  <c r="N67" i="179"/>
  <c r="N68" i="179"/>
  <c r="N69" i="179"/>
  <c r="N70" i="179"/>
  <c r="N71" i="179"/>
  <c r="N72" i="179"/>
  <c r="N73" i="179"/>
  <c r="N74" i="179"/>
  <c r="N75" i="179"/>
  <c r="N76" i="179"/>
  <c r="N77" i="179"/>
  <c r="N78" i="179"/>
  <c r="N79" i="179"/>
  <c r="N80" i="179"/>
  <c r="N81" i="179"/>
  <c r="N82" i="179"/>
  <c r="N83" i="179"/>
  <c r="N84" i="179"/>
  <c r="N85" i="179"/>
  <c r="N86" i="179"/>
  <c r="N87" i="179"/>
  <c r="N88" i="179"/>
  <c r="N89" i="179"/>
  <c r="N90" i="179"/>
  <c r="N92" i="179"/>
  <c r="N93" i="179"/>
  <c r="N94" i="179"/>
  <c r="N95" i="179"/>
  <c r="N96" i="179"/>
  <c r="N97" i="179"/>
  <c r="N98" i="179"/>
  <c r="N99" i="179"/>
  <c r="N100" i="179"/>
  <c r="N101" i="179"/>
  <c r="N102" i="179"/>
  <c r="N107" i="179"/>
  <c r="N109" i="179"/>
  <c r="N111" i="179"/>
  <c r="N112" i="179"/>
  <c r="N113" i="179"/>
  <c r="N114" i="179"/>
  <c r="N115" i="179"/>
  <c r="N116" i="179"/>
  <c r="N117" i="179"/>
  <c r="N118" i="179"/>
  <c r="N119" i="179"/>
  <c r="N121" i="179"/>
  <c r="N123" i="179"/>
  <c r="N126" i="179"/>
  <c r="N132" i="179"/>
  <c r="N133" i="179"/>
  <c r="N134" i="179"/>
  <c r="N135" i="179"/>
  <c r="N136" i="179"/>
  <c r="N137" i="179"/>
  <c r="N141" i="179"/>
  <c r="N143" i="179"/>
  <c r="N144" i="179"/>
  <c r="N145" i="179"/>
  <c r="N146" i="179"/>
  <c r="N148" i="179"/>
  <c r="N149" i="179"/>
  <c r="N151" i="179"/>
  <c r="N152" i="179"/>
  <c r="N153" i="179"/>
  <c r="N154" i="179"/>
  <c r="N155" i="179"/>
  <c r="N156" i="179"/>
  <c r="N157" i="179"/>
  <c r="N158" i="179"/>
  <c r="N159" i="179"/>
  <c r="N162" i="179"/>
  <c r="N163" i="179"/>
  <c r="N164" i="179"/>
  <c r="N165" i="179"/>
  <c r="N166" i="179"/>
  <c r="N167" i="179"/>
  <c r="N169" i="179"/>
  <c r="N171" i="179"/>
  <c r="N173" i="179"/>
  <c r="N180" i="179"/>
  <c r="N181" i="179"/>
  <c r="N184" i="179"/>
  <c r="N185" i="179"/>
  <c r="N186" i="179"/>
  <c r="M7" i="179"/>
  <c r="M11" i="179"/>
  <c r="M13" i="179"/>
  <c r="M15" i="179"/>
  <c r="M17" i="179"/>
  <c r="M23" i="179"/>
  <c r="M27" i="179"/>
  <c r="M28" i="179"/>
  <c r="M29" i="179"/>
  <c r="M31" i="179"/>
  <c r="M32" i="179"/>
  <c r="M35" i="179"/>
  <c r="M36" i="179"/>
  <c r="M40" i="179"/>
  <c r="M52" i="179"/>
  <c r="M53" i="179"/>
  <c r="M54" i="179"/>
  <c r="M55" i="179"/>
  <c r="M56" i="179"/>
  <c r="M58" i="179"/>
  <c r="M60" i="179"/>
  <c r="M61" i="179"/>
  <c r="M62" i="179"/>
  <c r="M63" i="179"/>
  <c r="M64" i="179"/>
  <c r="M65" i="179"/>
  <c r="M66" i="179"/>
  <c r="M67" i="179"/>
  <c r="M68" i="179"/>
  <c r="M69" i="179"/>
  <c r="M70" i="179"/>
  <c r="M71" i="179"/>
  <c r="M72" i="179"/>
  <c r="M73" i="179"/>
  <c r="M74" i="179"/>
  <c r="M75" i="179"/>
  <c r="M76" i="179"/>
  <c r="M77" i="179"/>
  <c r="M78" i="179"/>
  <c r="M79" i="179"/>
  <c r="M80" i="179"/>
  <c r="M81" i="179"/>
  <c r="M82" i="179"/>
  <c r="M83" i="179"/>
  <c r="M84" i="179"/>
  <c r="M85" i="179"/>
  <c r="M86" i="179"/>
  <c r="M87" i="179"/>
  <c r="M88" i="179"/>
  <c r="M89" i="179"/>
  <c r="M90" i="179"/>
  <c r="M92" i="179"/>
  <c r="M93" i="179"/>
  <c r="M94" i="179"/>
  <c r="M95" i="179"/>
  <c r="M96" i="179"/>
  <c r="M97" i="179"/>
  <c r="M98" i="179"/>
  <c r="M99" i="179"/>
  <c r="M100" i="179"/>
  <c r="M101" i="179"/>
  <c r="M102" i="179"/>
  <c r="M107" i="179"/>
  <c r="M109" i="179"/>
  <c r="M111" i="179"/>
  <c r="M112" i="179"/>
  <c r="M113" i="179"/>
  <c r="M114" i="179"/>
  <c r="M115" i="179"/>
  <c r="M116" i="179"/>
  <c r="M117" i="179"/>
  <c r="M118" i="179"/>
  <c r="M119" i="179"/>
  <c r="M121" i="179"/>
  <c r="M123" i="179"/>
  <c r="M126" i="179"/>
  <c r="M132" i="179"/>
  <c r="M133" i="179"/>
  <c r="M134" i="179"/>
  <c r="M135" i="179"/>
  <c r="M136" i="179"/>
  <c r="M137" i="179"/>
  <c r="M141" i="179"/>
  <c r="M143" i="179"/>
  <c r="M144" i="179"/>
  <c r="M145" i="179"/>
  <c r="M146" i="179"/>
  <c r="M148" i="179"/>
  <c r="M151" i="179"/>
  <c r="M152" i="179"/>
  <c r="M153" i="179"/>
  <c r="M154" i="179"/>
  <c r="M155" i="179"/>
  <c r="M156" i="179"/>
  <c r="M157" i="179"/>
  <c r="M158" i="179"/>
  <c r="M159" i="179"/>
  <c r="M160" i="179"/>
  <c r="M162" i="179"/>
  <c r="M163" i="179"/>
  <c r="M164" i="179"/>
  <c r="M165" i="179"/>
  <c r="M166" i="179"/>
  <c r="M167" i="179"/>
  <c r="M169" i="179"/>
  <c r="M171" i="179"/>
  <c r="M173" i="179"/>
  <c r="M180" i="179"/>
  <c r="M181" i="179"/>
  <c r="M184" i="179"/>
  <c r="M185" i="179"/>
  <c r="M186" i="179"/>
  <c r="L7" i="179"/>
  <c r="L11" i="179"/>
  <c r="L13" i="179"/>
  <c r="L15" i="179"/>
  <c r="L17" i="179"/>
  <c r="L23" i="179"/>
  <c r="L27" i="179"/>
  <c r="L28" i="179"/>
  <c r="L29" i="179"/>
  <c r="L31" i="179"/>
  <c r="L32" i="179"/>
  <c r="L35" i="179"/>
  <c r="L36" i="179"/>
  <c r="L40" i="179"/>
  <c r="L52" i="179"/>
  <c r="L53" i="179"/>
  <c r="L54" i="179"/>
  <c r="L55" i="179"/>
  <c r="L56" i="179"/>
  <c r="L58" i="179"/>
  <c r="L60" i="179"/>
  <c r="L61" i="179"/>
  <c r="L62" i="179"/>
  <c r="L63" i="179"/>
  <c r="L64" i="179"/>
  <c r="L65" i="179"/>
  <c r="L66" i="179"/>
  <c r="L67" i="179"/>
  <c r="L68" i="179"/>
  <c r="L69" i="179"/>
  <c r="L70" i="179"/>
  <c r="L71" i="179"/>
  <c r="L72" i="179"/>
  <c r="L73" i="179"/>
  <c r="L74" i="179"/>
  <c r="L75" i="179"/>
  <c r="L76" i="179"/>
  <c r="L77" i="179"/>
  <c r="L78" i="179"/>
  <c r="L79" i="179"/>
  <c r="L80" i="179"/>
  <c r="L81" i="179"/>
  <c r="L82" i="179"/>
  <c r="L83" i="179"/>
  <c r="L84" i="179"/>
  <c r="L85" i="179"/>
  <c r="L86" i="179"/>
  <c r="L87" i="179"/>
  <c r="L88" i="179"/>
  <c r="L89" i="179"/>
  <c r="L90" i="179"/>
  <c r="L92" i="179"/>
  <c r="L93" i="179"/>
  <c r="L94" i="179"/>
  <c r="L95" i="179"/>
  <c r="L96" i="179"/>
  <c r="L97" i="179"/>
  <c r="L98" i="179"/>
  <c r="L99" i="179"/>
  <c r="L100" i="179"/>
  <c r="L101" i="179"/>
  <c r="L102" i="179"/>
  <c r="L107" i="179"/>
  <c r="L109" i="179"/>
  <c r="L111" i="179"/>
  <c r="L112" i="179"/>
  <c r="L113" i="179"/>
  <c r="L114" i="179"/>
  <c r="L115" i="179"/>
  <c r="L116" i="179"/>
  <c r="L117" i="179"/>
  <c r="L118" i="179"/>
  <c r="L119" i="179"/>
  <c r="L121" i="179"/>
  <c r="L123" i="179"/>
  <c r="L126" i="179"/>
  <c r="L128" i="179"/>
  <c r="L132" i="179"/>
  <c r="L133" i="179"/>
  <c r="L134" i="179"/>
  <c r="L135" i="179"/>
  <c r="L136" i="179"/>
  <c r="L137" i="179"/>
  <c r="L141" i="179"/>
  <c r="L143" i="179"/>
  <c r="L144" i="179"/>
  <c r="L145" i="179"/>
  <c r="L146" i="179"/>
  <c r="L148" i="179"/>
  <c r="L149" i="179"/>
  <c r="L151" i="179"/>
  <c r="L152" i="179"/>
  <c r="L153" i="179"/>
  <c r="L154" i="179"/>
  <c r="L155" i="179"/>
  <c r="L156" i="179"/>
  <c r="L157" i="179"/>
  <c r="L158" i="179"/>
  <c r="L159" i="179"/>
  <c r="L160" i="179"/>
  <c r="L162" i="179"/>
  <c r="L163" i="179"/>
  <c r="L164" i="179"/>
  <c r="L165" i="179"/>
  <c r="L166" i="179"/>
  <c r="L167" i="179"/>
  <c r="L169" i="179"/>
  <c r="L171" i="179"/>
  <c r="L173" i="179"/>
  <c r="L180" i="179"/>
  <c r="L181" i="179"/>
  <c r="L184" i="179"/>
  <c r="L185" i="179"/>
  <c r="L186" i="179"/>
  <c r="K7" i="179"/>
  <c r="K8" i="179" s="1"/>
  <c r="J4" i="62" s="1"/>
  <c r="K11" i="179"/>
  <c r="K13" i="179"/>
  <c r="K15" i="179"/>
  <c r="K17" i="179"/>
  <c r="K23" i="179"/>
  <c r="K27" i="179"/>
  <c r="K28" i="179"/>
  <c r="K29" i="179"/>
  <c r="K31" i="179"/>
  <c r="K32" i="179"/>
  <c r="K35" i="179"/>
  <c r="K36" i="179"/>
  <c r="K52" i="179"/>
  <c r="K53" i="179"/>
  <c r="K54" i="179"/>
  <c r="K55" i="179"/>
  <c r="K56" i="179"/>
  <c r="K58" i="179"/>
  <c r="K60" i="179"/>
  <c r="K61" i="179"/>
  <c r="K62" i="179"/>
  <c r="K63" i="179"/>
  <c r="K64" i="179"/>
  <c r="K65" i="179"/>
  <c r="K66" i="179"/>
  <c r="K67" i="179"/>
  <c r="K68" i="179"/>
  <c r="K69" i="179"/>
  <c r="K70" i="179"/>
  <c r="K71" i="179"/>
  <c r="K72" i="179"/>
  <c r="K73" i="179"/>
  <c r="K74" i="179"/>
  <c r="K75" i="179"/>
  <c r="K76" i="179"/>
  <c r="K77" i="179"/>
  <c r="K78" i="179"/>
  <c r="K79" i="179"/>
  <c r="K80" i="179"/>
  <c r="K81" i="179"/>
  <c r="K82" i="179"/>
  <c r="K83" i="179"/>
  <c r="K84" i="179"/>
  <c r="K85" i="179"/>
  <c r="K86" i="179"/>
  <c r="K87" i="179"/>
  <c r="K88" i="179"/>
  <c r="K89" i="179"/>
  <c r="K90" i="179"/>
  <c r="K92" i="179"/>
  <c r="K93" i="179"/>
  <c r="K94" i="179"/>
  <c r="K95" i="179"/>
  <c r="K96" i="179"/>
  <c r="K97" i="179"/>
  <c r="K98" i="179"/>
  <c r="K99" i="179"/>
  <c r="K100" i="179"/>
  <c r="K101" i="179"/>
  <c r="K107" i="179"/>
  <c r="K109" i="179"/>
  <c r="K111" i="179"/>
  <c r="K112" i="179"/>
  <c r="K113" i="179"/>
  <c r="K114" i="179"/>
  <c r="K115" i="179"/>
  <c r="K116" i="179"/>
  <c r="K117" i="179"/>
  <c r="K118" i="179"/>
  <c r="K119" i="179"/>
  <c r="K121" i="179"/>
  <c r="K123" i="179"/>
  <c r="K126" i="179"/>
  <c r="K128" i="179"/>
  <c r="K132" i="179"/>
  <c r="K133" i="179"/>
  <c r="K134" i="179"/>
  <c r="K135" i="179"/>
  <c r="K136" i="179"/>
  <c r="K137" i="179"/>
  <c r="K141" i="179"/>
  <c r="K143" i="179"/>
  <c r="K144" i="179"/>
  <c r="K145" i="179"/>
  <c r="K146" i="179"/>
  <c r="K148" i="179"/>
  <c r="K149" i="179"/>
  <c r="K151" i="179"/>
  <c r="K152" i="179"/>
  <c r="K153" i="179"/>
  <c r="K154" i="179"/>
  <c r="K155" i="179"/>
  <c r="K156" i="179"/>
  <c r="K157" i="179"/>
  <c r="K158" i="179"/>
  <c r="K159" i="179"/>
  <c r="K160" i="179"/>
  <c r="K162" i="179"/>
  <c r="K163" i="179"/>
  <c r="K164" i="179"/>
  <c r="K165" i="179"/>
  <c r="K166" i="179"/>
  <c r="K167" i="179"/>
  <c r="K169" i="179"/>
  <c r="K171" i="179"/>
  <c r="K173" i="179"/>
  <c r="K180" i="179"/>
  <c r="K181" i="179"/>
  <c r="K184" i="179"/>
  <c r="K185" i="179"/>
  <c r="K186" i="179"/>
  <c r="J7" i="179"/>
  <c r="J8" i="179" s="1"/>
  <c r="I4" i="62" s="1"/>
  <c r="J11" i="179"/>
  <c r="J13" i="179"/>
  <c r="J23" i="179"/>
  <c r="J27" i="179"/>
  <c r="J28" i="179"/>
  <c r="J29" i="179"/>
  <c r="J31" i="179"/>
  <c r="J32" i="179"/>
  <c r="J35" i="179"/>
  <c r="J36" i="179"/>
  <c r="J40" i="179"/>
  <c r="J52" i="179"/>
  <c r="J53" i="179"/>
  <c r="J54" i="179"/>
  <c r="J55" i="179"/>
  <c r="J56" i="179"/>
  <c r="J58" i="179"/>
  <c r="J60" i="179"/>
  <c r="J61" i="179"/>
  <c r="J62" i="179"/>
  <c r="J63" i="179"/>
  <c r="J64" i="179"/>
  <c r="J65" i="179"/>
  <c r="J66" i="179"/>
  <c r="J67" i="179"/>
  <c r="J68" i="179"/>
  <c r="J69" i="179"/>
  <c r="J70" i="179"/>
  <c r="J71" i="179"/>
  <c r="J72" i="179"/>
  <c r="J73" i="179"/>
  <c r="J74" i="179"/>
  <c r="J75" i="179"/>
  <c r="J76" i="179"/>
  <c r="J77" i="179"/>
  <c r="J78" i="179"/>
  <c r="J79" i="179"/>
  <c r="J80" i="179"/>
  <c r="J81" i="179"/>
  <c r="J82" i="179"/>
  <c r="J83" i="179"/>
  <c r="J84" i="179"/>
  <c r="J85" i="179"/>
  <c r="J86" i="179"/>
  <c r="J87" i="179"/>
  <c r="J88" i="179"/>
  <c r="J89" i="179"/>
  <c r="J90" i="179"/>
  <c r="J92" i="179"/>
  <c r="J93" i="179"/>
  <c r="J94" i="179"/>
  <c r="J95" i="179"/>
  <c r="J96" i="179"/>
  <c r="J97" i="179"/>
  <c r="J98" i="179"/>
  <c r="J99" i="179"/>
  <c r="J100" i="179"/>
  <c r="J101" i="179"/>
  <c r="J102" i="179"/>
  <c r="J107" i="179"/>
  <c r="J109" i="179"/>
  <c r="J111" i="179"/>
  <c r="J112" i="179"/>
  <c r="J113" i="179"/>
  <c r="J114" i="179"/>
  <c r="J115" i="179"/>
  <c r="J116" i="179"/>
  <c r="J117" i="179"/>
  <c r="J118" i="179"/>
  <c r="J119" i="179"/>
  <c r="J121" i="179"/>
  <c r="J123" i="179"/>
  <c r="J126" i="179"/>
  <c r="J128" i="179"/>
  <c r="J132" i="179"/>
  <c r="J133" i="179"/>
  <c r="J134" i="179"/>
  <c r="J135" i="179"/>
  <c r="J136" i="179"/>
  <c r="J137" i="179"/>
  <c r="J141" i="179"/>
  <c r="J143" i="179"/>
  <c r="J144" i="179"/>
  <c r="J145" i="179"/>
  <c r="J146" i="179"/>
  <c r="J148" i="179"/>
  <c r="J149" i="179"/>
  <c r="J151" i="179"/>
  <c r="J152" i="179"/>
  <c r="J153" i="179"/>
  <c r="J154" i="179"/>
  <c r="J155" i="179"/>
  <c r="J156" i="179"/>
  <c r="J157" i="179"/>
  <c r="J158" i="179"/>
  <c r="J159" i="179"/>
  <c r="J160" i="179"/>
  <c r="J162" i="179"/>
  <c r="J163" i="179"/>
  <c r="J164" i="179"/>
  <c r="J165" i="179"/>
  <c r="J166" i="179"/>
  <c r="J167" i="179"/>
  <c r="J169" i="179"/>
  <c r="J171" i="179"/>
  <c r="J173" i="179"/>
  <c r="J180" i="179"/>
  <c r="J181" i="179"/>
  <c r="J184" i="179"/>
  <c r="J185" i="179"/>
  <c r="J186" i="179"/>
  <c r="I7" i="179"/>
  <c r="I8" i="179" s="1"/>
  <c r="H4" i="62" s="1"/>
  <c r="I11" i="179"/>
  <c r="I13" i="179"/>
  <c r="I15" i="179"/>
  <c r="I17" i="179"/>
  <c r="I23" i="179"/>
  <c r="I27" i="179"/>
  <c r="I28" i="179"/>
  <c r="I29" i="179"/>
  <c r="I31" i="179"/>
  <c r="I32" i="179"/>
  <c r="I35" i="179"/>
  <c r="I36" i="179"/>
  <c r="I40" i="179"/>
  <c r="I52" i="179"/>
  <c r="I53" i="179"/>
  <c r="I54" i="179"/>
  <c r="I55" i="179"/>
  <c r="I56" i="179"/>
  <c r="I58" i="179"/>
  <c r="I60" i="179"/>
  <c r="I61" i="179"/>
  <c r="I62" i="179"/>
  <c r="I63" i="179"/>
  <c r="I64" i="179"/>
  <c r="I65" i="179"/>
  <c r="I66" i="179"/>
  <c r="I67" i="179"/>
  <c r="I68" i="179"/>
  <c r="I69" i="179"/>
  <c r="I70" i="179"/>
  <c r="I71" i="179"/>
  <c r="I72" i="179"/>
  <c r="I73" i="179"/>
  <c r="I74" i="179"/>
  <c r="I75" i="179"/>
  <c r="I76" i="179"/>
  <c r="I77" i="179"/>
  <c r="I78" i="179"/>
  <c r="I79" i="179"/>
  <c r="I80" i="179"/>
  <c r="I81" i="179"/>
  <c r="I82" i="179"/>
  <c r="I83" i="179"/>
  <c r="I84" i="179"/>
  <c r="I85" i="179"/>
  <c r="I86" i="179"/>
  <c r="I87" i="179"/>
  <c r="I88" i="179"/>
  <c r="I89" i="179"/>
  <c r="I90" i="179"/>
  <c r="I92" i="179"/>
  <c r="I93" i="179"/>
  <c r="I94" i="179"/>
  <c r="I95" i="179"/>
  <c r="I96" i="179"/>
  <c r="I97" i="179"/>
  <c r="I98" i="179"/>
  <c r="I99" i="179"/>
  <c r="I100" i="179"/>
  <c r="I101" i="179"/>
  <c r="I102" i="179"/>
  <c r="I107" i="179"/>
  <c r="I109" i="179"/>
  <c r="I111" i="179"/>
  <c r="I112" i="179"/>
  <c r="I113" i="179"/>
  <c r="I114" i="179"/>
  <c r="I115" i="179"/>
  <c r="I116" i="179"/>
  <c r="I117" i="179"/>
  <c r="I118" i="179"/>
  <c r="I121" i="179"/>
  <c r="I123" i="179"/>
  <c r="I126" i="179"/>
  <c r="I128" i="179"/>
  <c r="I132" i="179"/>
  <c r="I133" i="179"/>
  <c r="I134" i="179"/>
  <c r="I135" i="179"/>
  <c r="I136" i="179"/>
  <c r="I137" i="179"/>
  <c r="I141" i="179"/>
  <c r="I143" i="179"/>
  <c r="I144" i="179"/>
  <c r="I145" i="179"/>
  <c r="I146" i="179"/>
  <c r="I148" i="179"/>
  <c r="I149" i="179"/>
  <c r="I151" i="179"/>
  <c r="I152" i="179"/>
  <c r="I153" i="179"/>
  <c r="I154" i="179"/>
  <c r="I155" i="179"/>
  <c r="I156" i="179"/>
  <c r="I157" i="179"/>
  <c r="I158" i="179"/>
  <c r="I159" i="179"/>
  <c r="I160" i="179"/>
  <c r="I162" i="179"/>
  <c r="I163" i="179"/>
  <c r="I164" i="179"/>
  <c r="I165" i="179"/>
  <c r="I166" i="179"/>
  <c r="I167" i="179"/>
  <c r="I169" i="179"/>
  <c r="I171" i="179"/>
  <c r="I173" i="179"/>
  <c r="I180" i="179"/>
  <c r="I181" i="179"/>
  <c r="I184" i="179"/>
  <c r="I185" i="179"/>
  <c r="I186" i="179"/>
  <c r="G7" i="179"/>
  <c r="G8" i="179" s="1"/>
  <c r="F4" i="62" s="1"/>
  <c r="G11" i="179"/>
  <c r="G13" i="179"/>
  <c r="G15" i="179"/>
  <c r="G17" i="179"/>
  <c r="G23" i="179"/>
  <c r="G27" i="179"/>
  <c r="G28" i="179"/>
  <c r="G29" i="179"/>
  <c r="G31" i="179"/>
  <c r="G32" i="179"/>
  <c r="G35" i="179"/>
  <c r="G36" i="179"/>
  <c r="G40" i="179"/>
  <c r="G52" i="179"/>
  <c r="G53" i="179"/>
  <c r="G54" i="179"/>
  <c r="G55" i="179"/>
  <c r="G56" i="179"/>
  <c r="G58" i="179"/>
  <c r="G60" i="179"/>
  <c r="G61" i="179"/>
  <c r="G62" i="179"/>
  <c r="G63" i="179"/>
  <c r="G64" i="179"/>
  <c r="G65" i="179"/>
  <c r="G66" i="179"/>
  <c r="G67" i="179"/>
  <c r="G68" i="179"/>
  <c r="G69" i="179"/>
  <c r="G70" i="179"/>
  <c r="G71" i="179"/>
  <c r="G72" i="179"/>
  <c r="G73" i="179"/>
  <c r="G74" i="179"/>
  <c r="G75" i="179"/>
  <c r="G76" i="179"/>
  <c r="G77" i="179"/>
  <c r="G78" i="179"/>
  <c r="G79" i="179"/>
  <c r="G80" i="179"/>
  <c r="G81" i="179"/>
  <c r="G82" i="179"/>
  <c r="G83" i="179"/>
  <c r="G84" i="179"/>
  <c r="G85" i="179"/>
  <c r="G86" i="179"/>
  <c r="G87" i="179"/>
  <c r="G88" i="179"/>
  <c r="G89" i="179"/>
  <c r="G90" i="179"/>
  <c r="G92" i="179"/>
  <c r="G93" i="179"/>
  <c r="G94" i="179"/>
  <c r="G95" i="179"/>
  <c r="G96" i="179"/>
  <c r="G97" i="179"/>
  <c r="G98" i="179"/>
  <c r="G99" i="179"/>
  <c r="G100" i="179"/>
  <c r="G101" i="179"/>
  <c r="G102" i="179"/>
  <c r="G107" i="179"/>
  <c r="G109" i="179"/>
  <c r="G111" i="179"/>
  <c r="G112" i="179"/>
  <c r="G113" i="179"/>
  <c r="G114" i="179"/>
  <c r="G115" i="179"/>
  <c r="G116" i="179"/>
  <c r="G117" i="179"/>
  <c r="G118" i="179"/>
  <c r="G119" i="179"/>
  <c r="G121" i="179"/>
  <c r="G123" i="179"/>
  <c r="G126" i="179"/>
  <c r="G128" i="179"/>
  <c r="G132" i="179"/>
  <c r="G133" i="179"/>
  <c r="G134" i="179"/>
  <c r="G135" i="179"/>
  <c r="G136" i="179"/>
  <c r="G137" i="179"/>
  <c r="G141" i="179"/>
  <c r="G143" i="179"/>
  <c r="G144" i="179"/>
  <c r="G145" i="179"/>
  <c r="G146" i="179"/>
  <c r="G148" i="179"/>
  <c r="G149" i="179"/>
  <c r="G151" i="179"/>
  <c r="G152" i="179"/>
  <c r="G153" i="179"/>
  <c r="G154" i="179"/>
  <c r="G155" i="179"/>
  <c r="G156" i="179"/>
  <c r="G157" i="179"/>
  <c r="G158" i="179"/>
  <c r="G159" i="179"/>
  <c r="G160" i="179"/>
  <c r="G162" i="179"/>
  <c r="G165" i="179"/>
  <c r="G166" i="179"/>
  <c r="G167" i="179"/>
  <c r="G169" i="179"/>
  <c r="G171" i="179"/>
  <c r="G173" i="179"/>
  <c r="G180" i="179"/>
  <c r="G181" i="179"/>
  <c r="G184" i="179"/>
  <c r="G185" i="179"/>
  <c r="G186" i="179"/>
  <c r="F7" i="179"/>
  <c r="F8" i="179" s="1"/>
  <c r="E4" i="62" s="1"/>
  <c r="F11" i="179"/>
  <c r="F13" i="179"/>
  <c r="F15" i="179"/>
  <c r="F17" i="179"/>
  <c r="F23" i="179"/>
  <c r="F27" i="179"/>
  <c r="F28" i="179"/>
  <c r="F29" i="179"/>
  <c r="F31" i="179"/>
  <c r="F32" i="179"/>
  <c r="F35" i="179"/>
  <c r="F36" i="179"/>
  <c r="F40" i="179"/>
  <c r="F52" i="179"/>
  <c r="F53" i="179"/>
  <c r="F54" i="179"/>
  <c r="F55" i="179"/>
  <c r="F56" i="179"/>
  <c r="F58" i="179"/>
  <c r="F60" i="179"/>
  <c r="F61" i="179"/>
  <c r="F62" i="179"/>
  <c r="F63" i="179"/>
  <c r="F64" i="179"/>
  <c r="F65" i="179"/>
  <c r="F66" i="179"/>
  <c r="F67" i="179"/>
  <c r="F68" i="179"/>
  <c r="F69" i="179"/>
  <c r="F70" i="179"/>
  <c r="F71" i="179"/>
  <c r="F72" i="179"/>
  <c r="F73" i="179"/>
  <c r="F74" i="179"/>
  <c r="F75" i="179"/>
  <c r="F76" i="179"/>
  <c r="F77" i="179"/>
  <c r="F78" i="179"/>
  <c r="F79" i="179"/>
  <c r="F80" i="179"/>
  <c r="F81" i="179"/>
  <c r="F82" i="179"/>
  <c r="F83" i="179"/>
  <c r="F84" i="179"/>
  <c r="F85" i="179"/>
  <c r="F86" i="179"/>
  <c r="F87" i="179"/>
  <c r="F88" i="179"/>
  <c r="F89" i="179"/>
  <c r="F90" i="179"/>
  <c r="F92" i="179"/>
  <c r="F93" i="179"/>
  <c r="F94" i="179"/>
  <c r="F95" i="179"/>
  <c r="F96" i="179"/>
  <c r="F97" i="179"/>
  <c r="F98" i="179"/>
  <c r="F99" i="179"/>
  <c r="F100" i="179"/>
  <c r="F102" i="179"/>
  <c r="F107" i="179"/>
  <c r="F109" i="179"/>
  <c r="F111" i="179"/>
  <c r="F112" i="179"/>
  <c r="F113" i="179"/>
  <c r="F114" i="179"/>
  <c r="F115" i="179"/>
  <c r="F116" i="179"/>
  <c r="F117" i="179"/>
  <c r="F118" i="179"/>
  <c r="F119" i="179"/>
  <c r="F121" i="179"/>
  <c r="F123" i="179"/>
  <c r="F126" i="179"/>
  <c r="F128" i="179"/>
  <c r="F132" i="179"/>
  <c r="F133" i="179"/>
  <c r="F134" i="179"/>
  <c r="F135" i="179"/>
  <c r="F136" i="179"/>
  <c r="F137" i="179"/>
  <c r="F141" i="179"/>
  <c r="F143" i="179"/>
  <c r="F144" i="179"/>
  <c r="F145" i="179"/>
  <c r="F146" i="179"/>
  <c r="F148" i="179"/>
  <c r="F149" i="179"/>
  <c r="F151" i="179"/>
  <c r="F152" i="179"/>
  <c r="F153" i="179"/>
  <c r="F154" i="179"/>
  <c r="F155" i="179"/>
  <c r="F156" i="179"/>
  <c r="F157" i="179"/>
  <c r="F158" i="179"/>
  <c r="F160" i="179"/>
  <c r="F162" i="179"/>
  <c r="F163" i="179"/>
  <c r="F164" i="179"/>
  <c r="F165" i="179"/>
  <c r="F166" i="179"/>
  <c r="F167" i="179"/>
  <c r="F169" i="179"/>
  <c r="F171" i="179"/>
  <c r="F173" i="179"/>
  <c r="F180" i="179"/>
  <c r="F181" i="179"/>
  <c r="F184" i="179"/>
  <c r="F185" i="179"/>
  <c r="F186" i="179"/>
  <c r="E7" i="179"/>
  <c r="E8" i="179" s="1"/>
  <c r="D4" i="62" s="1"/>
  <c r="E11" i="179"/>
  <c r="E13" i="179"/>
  <c r="E15" i="179"/>
  <c r="E17" i="179"/>
  <c r="E23" i="179"/>
  <c r="E27" i="179"/>
  <c r="E28" i="179"/>
  <c r="E29" i="179"/>
  <c r="E31" i="179"/>
  <c r="E32" i="179"/>
  <c r="E35" i="179"/>
  <c r="E36" i="179"/>
  <c r="E40" i="179"/>
  <c r="E52" i="179"/>
  <c r="E53" i="179"/>
  <c r="E54" i="179"/>
  <c r="E55" i="179"/>
  <c r="E56" i="179"/>
  <c r="E58" i="179"/>
  <c r="E60" i="179"/>
  <c r="E61" i="179"/>
  <c r="E62" i="179"/>
  <c r="E63" i="179"/>
  <c r="E64" i="179"/>
  <c r="E65" i="179"/>
  <c r="E66" i="179"/>
  <c r="E67" i="179"/>
  <c r="E68" i="179"/>
  <c r="E69" i="179"/>
  <c r="E70" i="179"/>
  <c r="E71" i="179"/>
  <c r="E72" i="179"/>
  <c r="E73" i="179"/>
  <c r="E74" i="179"/>
  <c r="E75" i="179"/>
  <c r="E76" i="179"/>
  <c r="E77" i="179"/>
  <c r="E78" i="179"/>
  <c r="E79" i="179"/>
  <c r="E80" i="179"/>
  <c r="E81" i="179"/>
  <c r="E82" i="179"/>
  <c r="E83" i="179"/>
  <c r="E84" i="179"/>
  <c r="E85" i="179"/>
  <c r="E86" i="179"/>
  <c r="E87" i="179"/>
  <c r="E88" i="179"/>
  <c r="E89" i="179"/>
  <c r="E90" i="179"/>
  <c r="E92" i="179"/>
  <c r="E93" i="179"/>
  <c r="E94" i="179"/>
  <c r="E95" i="179"/>
  <c r="E96" i="179"/>
  <c r="E97" i="179"/>
  <c r="E98" i="179"/>
  <c r="E99" i="179"/>
  <c r="E100" i="179"/>
  <c r="E101" i="179"/>
  <c r="E102" i="179"/>
  <c r="E107" i="179"/>
  <c r="E109" i="179"/>
  <c r="E111" i="179"/>
  <c r="E112" i="179"/>
  <c r="E113" i="179"/>
  <c r="E114" i="179"/>
  <c r="E115" i="179"/>
  <c r="E116" i="179"/>
  <c r="E117" i="179"/>
  <c r="E118" i="179"/>
  <c r="E119" i="179"/>
  <c r="E121" i="179"/>
  <c r="E123" i="179"/>
  <c r="E126" i="179"/>
  <c r="E128" i="179"/>
  <c r="E132" i="179"/>
  <c r="E133" i="179"/>
  <c r="E134" i="179"/>
  <c r="E135" i="179"/>
  <c r="E136" i="179"/>
  <c r="E137" i="179"/>
  <c r="E141" i="179"/>
  <c r="E143" i="179"/>
  <c r="E144" i="179"/>
  <c r="E148" i="179"/>
  <c r="E149" i="179"/>
  <c r="E152" i="179"/>
  <c r="E157" i="179"/>
  <c r="E159" i="179"/>
  <c r="E160" i="179"/>
  <c r="E162" i="179"/>
  <c r="E163" i="179"/>
  <c r="E164" i="179"/>
  <c r="E165" i="179"/>
  <c r="E166" i="179"/>
  <c r="E167" i="179"/>
  <c r="E169" i="179"/>
  <c r="E171" i="179"/>
  <c r="E173" i="179"/>
  <c r="E180" i="179"/>
  <c r="E184" i="179"/>
  <c r="E185" i="179"/>
  <c r="E186" i="179"/>
  <c r="D14" i="107" l="1"/>
  <c r="E14" i="107" s="1"/>
  <c r="O49" i="186"/>
  <c r="O20" i="186"/>
  <c r="O175" i="186"/>
  <c r="F175" i="179"/>
  <c r="E11" i="62" s="1"/>
  <c r="J175" i="179"/>
  <c r="I11" i="62" s="1"/>
  <c r="K175" i="179"/>
  <c r="J11" i="62" s="1"/>
  <c r="L175" i="179"/>
  <c r="K11" i="62" s="1"/>
  <c r="E175" i="179"/>
  <c r="D11" i="62" s="1"/>
  <c r="G175" i="179"/>
  <c r="I175" i="179"/>
  <c r="H11" i="62" s="1"/>
  <c r="M175" i="179"/>
  <c r="L11" i="62" s="1"/>
  <c r="N175" i="179"/>
  <c r="M11" i="62" s="1"/>
  <c r="E49" i="179"/>
  <c r="D7" i="62" s="1"/>
  <c r="F49" i="179"/>
  <c r="E7" i="62" s="1"/>
  <c r="G49" i="179"/>
  <c r="F7" i="62" s="1"/>
  <c r="I49" i="179"/>
  <c r="H7" i="62" s="1"/>
  <c r="J49" i="179"/>
  <c r="I7" i="62" s="1"/>
  <c r="K49" i="179"/>
  <c r="J7" i="62" s="1"/>
  <c r="L49" i="179"/>
  <c r="K7" i="62" s="1"/>
  <c r="M49" i="179"/>
  <c r="L7" i="62" s="1"/>
  <c r="N49" i="179"/>
  <c r="M7" i="62" s="1"/>
  <c r="J20" i="179"/>
  <c r="I5" i="62" s="1"/>
  <c r="I20" i="179"/>
  <c r="H5" i="62" s="1"/>
  <c r="K20" i="179"/>
  <c r="J5" i="62" s="1"/>
  <c r="L20" i="179"/>
  <c r="K5" i="62" s="1"/>
  <c r="M20" i="179"/>
  <c r="L5" i="62" s="1"/>
  <c r="N20" i="179"/>
  <c r="M5" i="62" s="1"/>
  <c r="E20" i="179"/>
  <c r="D5" i="62" s="1"/>
  <c r="F20" i="179"/>
  <c r="E5" i="62" s="1"/>
  <c r="G20" i="179"/>
  <c r="F5" i="62" s="1"/>
  <c r="K138" i="179"/>
  <c r="J10" i="62" s="1"/>
  <c r="I138" i="179"/>
  <c r="H10" i="62" s="1"/>
  <c r="K129" i="179"/>
  <c r="J9" i="62" s="1"/>
  <c r="E3" i="107"/>
  <c r="N12" i="63"/>
  <c r="E188" i="186"/>
  <c r="G188" i="186"/>
  <c r="I188" i="186"/>
  <c r="J188" i="186"/>
  <c r="N188" i="186"/>
  <c r="N190" i="186" s="1"/>
  <c r="G138" i="179"/>
  <c r="F10" i="62" s="1"/>
  <c r="L129" i="179"/>
  <c r="K9" i="62" s="1"/>
  <c r="O138" i="186"/>
  <c r="N15" i="63"/>
  <c r="N5" i="63"/>
  <c r="N7" i="63"/>
  <c r="N11" i="63"/>
  <c r="L187" i="179"/>
  <c r="K13" i="62" s="1"/>
  <c r="M187" i="179"/>
  <c r="L13" i="62" s="1"/>
  <c r="D8" i="62"/>
  <c r="M21" i="188"/>
  <c r="D6" i="138"/>
  <c r="G836" i="180"/>
  <c r="D17" i="63"/>
  <c r="H836" i="180"/>
  <c r="E17" i="63"/>
  <c r="I836" i="180"/>
  <c r="F17" i="63"/>
  <c r="E21" i="138"/>
  <c r="I21" i="138"/>
  <c r="L835" i="180"/>
  <c r="F16" i="63"/>
  <c r="N14" i="63"/>
  <c r="N10" i="63"/>
  <c r="K835" i="180"/>
  <c r="I835" i="180"/>
  <c r="E16" i="63"/>
  <c r="N9" i="63"/>
  <c r="G16" i="63"/>
  <c r="G18" i="63" s="1"/>
  <c r="N835" i="180"/>
  <c r="P835" i="180"/>
  <c r="P837" i="180" s="1"/>
  <c r="N8" i="63"/>
  <c r="H16" i="63"/>
  <c r="H18" i="63" s="1"/>
  <c r="Q835" i="187"/>
  <c r="I16" i="63"/>
  <c r="I18" i="63" s="1"/>
  <c r="M16" i="63"/>
  <c r="M18" i="63" s="1"/>
  <c r="K16" i="63"/>
  <c r="K18" i="63" s="1"/>
  <c r="J835" i="180"/>
  <c r="G835" i="180"/>
  <c r="H835" i="180"/>
  <c r="M835" i="180"/>
  <c r="J6" i="63"/>
  <c r="J16" i="63" s="1"/>
  <c r="J18" i="63" s="1"/>
  <c r="O835" i="180"/>
  <c r="O837" i="180" s="1"/>
  <c r="L6" i="63"/>
  <c r="L16" i="63" s="1"/>
  <c r="L18" i="63" s="1"/>
  <c r="D16" i="63"/>
  <c r="M129" i="179"/>
  <c r="L9" i="62" s="1"/>
  <c r="O187" i="186"/>
  <c r="F11" i="62"/>
  <c r="O129" i="186"/>
  <c r="I8" i="62"/>
  <c r="F188" i="186"/>
  <c r="K8" i="62"/>
  <c r="M188" i="186"/>
  <c r="L8" i="62"/>
  <c r="E8" i="62"/>
  <c r="K188" i="186"/>
  <c r="L188" i="186"/>
  <c r="L190" i="186" s="1"/>
  <c r="N21" i="139"/>
  <c r="Q834" i="180"/>
  <c r="Q759" i="180"/>
  <c r="Q762" i="180" s="1"/>
  <c r="Q229" i="180"/>
  <c r="Q234" i="180" s="1"/>
  <c r="Q812" i="180"/>
  <c r="Q820" i="180" s="1"/>
  <c r="Q492" i="180"/>
  <c r="Q677" i="180" s="1"/>
  <c r="Q721" i="180"/>
  <c r="Q726" i="180" s="1"/>
  <c r="Q39" i="180"/>
  <c r="Q45" i="180" s="1"/>
  <c r="Q171" i="180"/>
  <c r="Q222" i="180" s="1"/>
  <c r="Q690" i="180"/>
  <c r="Q702" i="180" s="1"/>
  <c r="Q351" i="180"/>
  <c r="Q478" i="180" s="1"/>
  <c r="N21" i="138"/>
  <c r="M21" i="138"/>
  <c r="L21" i="138"/>
  <c r="K21" i="138"/>
  <c r="J21" i="138"/>
  <c r="O13" i="138"/>
  <c r="O9" i="138"/>
  <c r="O5" i="138"/>
  <c r="O20" i="138"/>
  <c r="O16" i="138"/>
  <c r="O12" i="138"/>
  <c r="O8" i="138"/>
  <c r="O4" i="138"/>
  <c r="H21" i="138"/>
  <c r="O17" i="138"/>
  <c r="G21" i="138"/>
  <c r="F21" i="138"/>
  <c r="O19" i="138"/>
  <c r="O15" i="138"/>
  <c r="O11" i="138"/>
  <c r="O7" i="138"/>
  <c r="O3" i="138"/>
  <c r="O18" i="138"/>
  <c r="O14" i="138"/>
  <c r="O10" i="138"/>
  <c r="O6" i="138"/>
  <c r="M8" i="62"/>
  <c r="N129" i="179"/>
  <c r="M9" i="62" s="1"/>
  <c r="N187" i="179"/>
  <c r="M13" i="62" s="1"/>
  <c r="N138" i="179"/>
  <c r="M10" i="62" s="1"/>
  <c r="M138" i="179"/>
  <c r="L10" i="62" s="1"/>
  <c r="L138" i="179"/>
  <c r="K10" i="62" s="1"/>
  <c r="K187" i="179"/>
  <c r="J13" i="62" s="1"/>
  <c r="J129" i="179"/>
  <c r="I9" i="62" s="1"/>
  <c r="J187" i="179"/>
  <c r="I13" i="62" s="1"/>
  <c r="J138" i="179"/>
  <c r="I10" i="62" s="1"/>
  <c r="H8" i="62"/>
  <c r="I129" i="179"/>
  <c r="H9" i="62" s="1"/>
  <c r="I187" i="179"/>
  <c r="H13" i="62" s="1"/>
  <c r="G187" i="179"/>
  <c r="F13" i="62" s="1"/>
  <c r="F8" i="62"/>
  <c r="G129" i="179"/>
  <c r="F9" i="62" s="1"/>
  <c r="F187" i="179"/>
  <c r="E13" i="62" s="1"/>
  <c r="F129" i="179"/>
  <c r="E9" i="62" s="1"/>
  <c r="F138" i="179"/>
  <c r="E10" i="62" s="1"/>
  <c r="E129" i="179"/>
  <c r="D9" i="62" s="1"/>
  <c r="E138" i="179"/>
  <c r="D10" i="62" s="1"/>
  <c r="E187" i="179"/>
  <c r="D13" i="62" s="1"/>
  <c r="F18" i="63" l="1"/>
  <c r="O188" i="186"/>
  <c r="E14" i="62"/>
  <c r="L14" i="62"/>
  <c r="M14" i="62"/>
  <c r="M16" i="62" s="1"/>
  <c r="I14" i="62"/>
  <c r="F14" i="62"/>
  <c r="D14" i="62"/>
  <c r="H14" i="62"/>
  <c r="K188" i="179"/>
  <c r="J8" i="62"/>
  <c r="J14" i="62" s="1"/>
  <c r="K14" i="62"/>
  <c r="K16" i="62" s="1"/>
  <c r="J188" i="179"/>
  <c r="G188" i="179"/>
  <c r="F188" i="179"/>
  <c r="L188" i="179"/>
  <c r="L190" i="179" s="1"/>
  <c r="I837" i="180"/>
  <c r="N17" i="63"/>
  <c r="H837" i="180"/>
  <c r="D18" i="63"/>
  <c r="G837" i="180"/>
  <c r="E18" i="63"/>
  <c r="N6" i="63"/>
  <c r="N16" i="63" s="1"/>
  <c r="M188" i="179"/>
  <c r="N188" i="179"/>
  <c r="N190" i="179" s="1"/>
  <c r="I188" i="179"/>
  <c r="E188" i="179"/>
  <c r="Q835" i="180"/>
  <c r="O21" i="138"/>
  <c r="O177" i="179"/>
  <c r="H7" i="179"/>
  <c r="H8" i="179" s="1"/>
  <c r="G4" i="62" s="1"/>
  <c r="H11" i="179"/>
  <c r="H13" i="179"/>
  <c r="H15" i="179"/>
  <c r="H17" i="179"/>
  <c r="H23" i="179"/>
  <c r="H24" i="179" s="1"/>
  <c r="G6" i="62" s="1"/>
  <c r="N6" i="62" s="1"/>
  <c r="H27" i="179"/>
  <c r="H28" i="179"/>
  <c r="H29" i="179"/>
  <c r="H32" i="179"/>
  <c r="H35" i="179"/>
  <c r="H36" i="179"/>
  <c r="H40" i="179"/>
  <c r="H52" i="179"/>
  <c r="H53" i="179"/>
  <c r="H54" i="179"/>
  <c r="H55" i="179"/>
  <c r="H56" i="179"/>
  <c r="H58" i="179"/>
  <c r="H60" i="179"/>
  <c r="H61" i="179"/>
  <c r="H62" i="179"/>
  <c r="H63" i="179"/>
  <c r="H64" i="179"/>
  <c r="H65" i="179"/>
  <c r="H66" i="179"/>
  <c r="H67" i="179"/>
  <c r="H68" i="179"/>
  <c r="H69" i="179"/>
  <c r="H70" i="179"/>
  <c r="H71" i="179"/>
  <c r="H72" i="179"/>
  <c r="H73" i="179"/>
  <c r="H74" i="179"/>
  <c r="H75" i="179"/>
  <c r="H76" i="179"/>
  <c r="H77" i="179"/>
  <c r="H78" i="179"/>
  <c r="H79" i="179"/>
  <c r="H80" i="179"/>
  <c r="H81" i="179"/>
  <c r="H82" i="179"/>
  <c r="H83" i="179"/>
  <c r="H84" i="179"/>
  <c r="H85" i="179"/>
  <c r="H86" i="179"/>
  <c r="H87" i="179"/>
  <c r="H88" i="179"/>
  <c r="H89" i="179"/>
  <c r="H90" i="179"/>
  <c r="H92" i="179"/>
  <c r="H93" i="179"/>
  <c r="H94" i="179"/>
  <c r="H95" i="179"/>
  <c r="H96" i="179"/>
  <c r="H97" i="179"/>
  <c r="H98" i="179"/>
  <c r="H99" i="179"/>
  <c r="H100" i="179"/>
  <c r="H101" i="179"/>
  <c r="H102" i="179"/>
  <c r="H107" i="179"/>
  <c r="H109" i="179"/>
  <c r="H111" i="179"/>
  <c r="H112" i="179"/>
  <c r="H113" i="179"/>
  <c r="H114" i="179"/>
  <c r="H115" i="179"/>
  <c r="H116" i="179"/>
  <c r="H117" i="179"/>
  <c r="H118" i="179"/>
  <c r="H119" i="179"/>
  <c r="H121" i="179"/>
  <c r="H123" i="179"/>
  <c r="H126" i="179"/>
  <c r="H128" i="179"/>
  <c r="H133" i="179"/>
  <c r="H134" i="179"/>
  <c r="H135" i="179"/>
  <c r="H136" i="179"/>
  <c r="H141" i="179"/>
  <c r="H143" i="179"/>
  <c r="H145" i="179"/>
  <c r="H146" i="179"/>
  <c r="H148" i="179"/>
  <c r="H149" i="179"/>
  <c r="H151" i="179"/>
  <c r="H152" i="179"/>
  <c r="H153" i="179"/>
  <c r="H154" i="179"/>
  <c r="H155" i="179"/>
  <c r="H156" i="179"/>
  <c r="H157" i="179"/>
  <c r="H158" i="179"/>
  <c r="H159" i="179"/>
  <c r="H160" i="179"/>
  <c r="H162" i="179"/>
  <c r="H163" i="179"/>
  <c r="H164" i="179"/>
  <c r="H165" i="179"/>
  <c r="H166" i="179"/>
  <c r="H167" i="179"/>
  <c r="H169" i="179"/>
  <c r="H171" i="179"/>
  <c r="H180" i="179"/>
  <c r="H181" i="179"/>
  <c r="H184" i="179"/>
  <c r="H185" i="179"/>
  <c r="H186" i="179"/>
  <c r="H8" i="186"/>
  <c r="H24" i="186"/>
  <c r="H129" i="186"/>
  <c r="H138" i="186"/>
  <c r="H187" i="186"/>
  <c r="H175" i="179" l="1"/>
  <c r="G11" i="62" s="1"/>
  <c r="N11" i="62" s="1"/>
  <c r="H49" i="179"/>
  <c r="G7" i="62" s="1"/>
  <c r="N7" i="62" s="1"/>
  <c r="H20" i="179"/>
  <c r="G5" i="62" s="1"/>
  <c r="N5" i="62" s="1"/>
  <c r="N4" i="62"/>
  <c r="H187" i="179"/>
  <c r="G13" i="62" s="1"/>
  <c r="N13" i="62" s="1"/>
  <c r="N18" i="63"/>
  <c r="D21" i="139"/>
  <c r="D21" i="138"/>
  <c r="H188" i="186"/>
  <c r="G8" i="62"/>
  <c r="N8" i="62" s="1"/>
  <c r="H129" i="179"/>
  <c r="G9" i="62" s="1"/>
  <c r="N9" i="62" s="1"/>
  <c r="H138" i="179"/>
  <c r="G10" i="62" s="1"/>
  <c r="N10" i="62" s="1"/>
  <c r="H189" i="179"/>
  <c r="G15" i="62" s="1"/>
  <c r="G14" i="62" l="1"/>
  <c r="H188" i="179"/>
  <c r="H190" i="179" s="1"/>
  <c r="G16" i="62" l="1"/>
  <c r="N14" i="62"/>
  <c r="O156" i="179"/>
  <c r="O17" i="179"/>
  <c r="O102" i="179"/>
  <c r="O137" i="179"/>
  <c r="O146" i="179"/>
  <c r="O173" i="179"/>
  <c r="O181" i="179"/>
  <c r="O119" i="179"/>
  <c r="O15" i="179"/>
  <c r="O145" i="179"/>
  <c r="O160" i="179" l="1"/>
  <c r="C21" i="190" l="1"/>
  <c r="C22" i="190" s="1"/>
  <c r="O185" i="179" l="1"/>
  <c r="O184" i="179" l="1"/>
  <c r="O186" i="179"/>
  <c r="O158" i="179" l="1"/>
  <c r="O118" i="179"/>
  <c r="O159" i="179"/>
  <c r="O155" i="179" l="1"/>
  <c r="O153" i="179"/>
  <c r="O143" i="179"/>
  <c r="O144" i="179"/>
  <c r="O162" i="179"/>
  <c r="O163" i="179"/>
  <c r="O166" i="179"/>
  <c r="O167" i="179"/>
  <c r="O133" i="179"/>
  <c r="O132" i="179" l="1"/>
  <c r="O180" i="179"/>
  <c r="O187" i="179" s="1"/>
  <c r="O141" i="179"/>
  <c r="O165" i="179"/>
  <c r="O149" i="179"/>
  <c r="O157" i="179"/>
  <c r="O152" i="179"/>
  <c r="O171" i="179"/>
  <c r="O136" i="179"/>
  <c r="O135" i="179"/>
  <c r="O134" i="179"/>
  <c r="O164" i="179"/>
  <c r="O148" i="179"/>
  <c r="O151" i="179"/>
  <c r="O154" i="179"/>
  <c r="O169" i="179"/>
  <c r="O111" i="179"/>
  <c r="O112" i="179"/>
  <c r="O115" i="179"/>
  <c r="O116" i="179"/>
  <c r="O123" i="179"/>
  <c r="O126" i="179"/>
  <c r="O107" i="179"/>
  <c r="O54" i="179"/>
  <c r="O62" i="179"/>
  <c r="O66" i="179"/>
  <c r="O70" i="179"/>
  <c r="O74" i="179"/>
  <c r="O81" i="179"/>
  <c r="O82" i="179"/>
  <c r="O86" i="179"/>
  <c r="O90" i="179"/>
  <c r="O94" i="179"/>
  <c r="O95" i="179"/>
  <c r="O98" i="179"/>
  <c r="O99" i="179"/>
  <c r="O31" i="179"/>
  <c r="O40" i="179"/>
  <c r="O7" i="179"/>
  <c r="O8" i="179" s="1"/>
  <c r="O175" i="179" l="1"/>
  <c r="O36" i="179"/>
  <c r="O29" i="179"/>
  <c r="O89" i="179"/>
  <c r="O85" i="179"/>
  <c r="O73" i="179"/>
  <c r="O69" i="179"/>
  <c r="O65" i="179"/>
  <c r="O61" i="179"/>
  <c r="O53" i="179"/>
  <c r="O78" i="179"/>
  <c r="O11" i="179"/>
  <c r="O28" i="179"/>
  <c r="O52" i="179"/>
  <c r="O101" i="179"/>
  <c r="O97" i="179"/>
  <c r="O93" i="179"/>
  <c r="O88" i="179"/>
  <c r="O84" i="179"/>
  <c r="O77" i="179"/>
  <c r="O72" i="179"/>
  <c r="O68" i="179"/>
  <c r="O64" i="179"/>
  <c r="O56" i="179"/>
  <c r="O75" i="179"/>
  <c r="O58" i="179"/>
  <c r="O79" i="179"/>
  <c r="O121" i="179"/>
  <c r="O114" i="179"/>
  <c r="O109" i="179"/>
  <c r="O60" i="179"/>
  <c r="O13" i="179"/>
  <c r="O35" i="179"/>
  <c r="O23" i="179"/>
  <c r="O24" i="179" s="1"/>
  <c r="O27" i="179"/>
  <c r="O32" i="179"/>
  <c r="O100" i="179"/>
  <c r="O96" i="179"/>
  <c r="O92" i="179"/>
  <c r="O87" i="179"/>
  <c r="O83" i="179"/>
  <c r="O76" i="179"/>
  <c r="O71" i="179"/>
  <c r="O67" i="179"/>
  <c r="O63" i="179"/>
  <c r="O55" i="179"/>
  <c r="O80" i="179"/>
  <c r="O128" i="179"/>
  <c r="O117" i="179"/>
  <c r="O113" i="179"/>
  <c r="O138" i="179"/>
  <c r="O49" i="179" l="1"/>
  <c r="O20" i="179"/>
  <c r="O129" i="179"/>
  <c r="O188" i="179" l="1"/>
  <c r="N836" i="187" l="1"/>
  <c r="N837" i="187" s="1"/>
  <c r="D11" i="107" s="1"/>
  <c r="E11" i="107" s="1"/>
  <c r="M836" i="187"/>
  <c r="M837" i="187" s="1"/>
  <c r="D10" i="107" s="1"/>
  <c r="E10" i="107" s="1"/>
  <c r="L836" i="187"/>
  <c r="L837" i="187" s="1"/>
  <c r="D9" i="107" s="1"/>
  <c r="M189" i="186"/>
  <c r="M190" i="186" s="1"/>
  <c r="K189" i="186"/>
  <c r="K190" i="186" s="1"/>
  <c r="J189" i="186"/>
  <c r="J190" i="186" s="1"/>
  <c r="I189" i="186"/>
  <c r="I190" i="186" s="1"/>
  <c r="H189" i="186"/>
  <c r="H190" i="186" s="1"/>
  <c r="G189" i="186"/>
  <c r="G190" i="186" s="1"/>
  <c r="F189" i="186"/>
  <c r="F190" i="186" s="1"/>
  <c r="E9" i="107" l="1"/>
  <c r="E12" i="107" s="1"/>
  <c r="D12" i="107"/>
  <c r="K836" i="187"/>
  <c r="K837" i="187" s="1"/>
  <c r="D7" i="107" s="1"/>
  <c r="E7" i="107" s="1"/>
  <c r="J836" i="187"/>
  <c r="E189" i="186"/>
  <c r="J837" i="187" l="1"/>
  <c r="D6" i="107" s="1"/>
  <c r="Q836" i="187"/>
  <c r="Q837" i="187" s="1"/>
  <c r="E190" i="186"/>
  <c r="O189" i="186"/>
  <c r="O190" i="186" s="1"/>
  <c r="E6" i="107" l="1"/>
  <c r="E8" i="107" s="1"/>
  <c r="E13" i="107" s="1"/>
  <c r="E15" i="107" s="1"/>
  <c r="D8" i="107"/>
  <c r="D13" i="107" s="1"/>
  <c r="D15" i="107" s="1"/>
  <c r="K836" i="180"/>
  <c r="K837" i="180" s="1"/>
  <c r="L836" i="180"/>
  <c r="L837" i="180" s="1"/>
  <c r="E189" i="179"/>
  <c r="F189" i="179"/>
  <c r="G189" i="179"/>
  <c r="I189" i="179"/>
  <c r="J189" i="179"/>
  <c r="K189" i="179"/>
  <c r="M189" i="179"/>
  <c r="J190" i="179" l="1"/>
  <c r="I15" i="62"/>
  <c r="I16" i="62" s="1"/>
  <c r="E190" i="179"/>
  <c r="D15" i="62"/>
  <c r="I190" i="179"/>
  <c r="H15" i="62"/>
  <c r="H16" i="62" s="1"/>
  <c r="K190" i="179"/>
  <c r="J15" i="62"/>
  <c r="J16" i="62" s="1"/>
  <c r="M190" i="179"/>
  <c r="L15" i="62"/>
  <c r="L16" i="62" s="1"/>
  <c r="G190" i="179"/>
  <c r="F15" i="62"/>
  <c r="F16" i="62" s="1"/>
  <c r="F190" i="179"/>
  <c r="E15" i="62"/>
  <c r="E16" i="62" s="1"/>
  <c r="N836" i="180"/>
  <c r="N837" i="180" s="1"/>
  <c r="M836" i="180"/>
  <c r="M837" i="180" s="1"/>
  <c r="J836" i="180"/>
  <c r="N15" i="62" l="1"/>
  <c r="D16" i="62"/>
  <c r="N16" i="62" s="1"/>
  <c r="J837" i="180"/>
  <c r="Q836" i="180"/>
  <c r="Q837" i="180" s="1"/>
  <c r="O189" i="179"/>
  <c r="O190" i="179" s="1"/>
</calcChain>
</file>

<file path=xl/sharedStrings.xml><?xml version="1.0" encoding="utf-8"?>
<sst xmlns="http://schemas.openxmlformats.org/spreadsheetml/2006/main" count="3535" uniqueCount="1504">
  <si>
    <t>KEHOP-5.4.1-16-2016-00433 Szemléletformálási programok</t>
  </si>
  <si>
    <t>B14</t>
  </si>
  <si>
    <t>Működési célú visszatérítendő támogatások, kölcsönök visszatérülése államháztartáson belülről</t>
  </si>
  <si>
    <t>9.) Forgatási célú értékpapír beváltás projektekhez kapcsolódóan</t>
  </si>
  <si>
    <t>8.) Forgatási célú értékpapír vásárlás hazai forrásból átmenetileg szabad pénzeszközökből</t>
  </si>
  <si>
    <t>MINDÖSSZESEN:</t>
  </si>
  <si>
    <t>7.) Államháztartáson belüli megelőlegezés visszafizetése</t>
  </si>
  <si>
    <t>Igazga-tási dolgozó</t>
  </si>
  <si>
    <t>Óvoda pedagó-gus</t>
  </si>
  <si>
    <t>Népmű-velő, könyv-táros</t>
  </si>
  <si>
    <t xml:space="preserve">Hevesi Sándor Színház </t>
  </si>
  <si>
    <t>Költségvetési szervek összesen:</t>
  </si>
  <si>
    <t>Szakosztályok</t>
  </si>
  <si>
    <t>Építéshatósági feladatok</t>
  </si>
  <si>
    <t>5.) Általános tartalék</t>
  </si>
  <si>
    <t>Tartalékok</t>
  </si>
  <si>
    <t>Értékesítési és forgalmi adók (iparűzési adó)</t>
  </si>
  <si>
    <t>5.) Fejlesztéshez működési jellegű bevétel (HD, áfa visszaigénylés)</t>
  </si>
  <si>
    <t>Polgármesteri Kabinet</t>
  </si>
  <si>
    <t>Polgármesteri Kabinet kiadásai</t>
  </si>
  <si>
    <t xml:space="preserve">         ebből: költségvetési szervek</t>
  </si>
  <si>
    <t>Önkormányzat összesen költségvetési szervek nélkül</t>
  </si>
  <si>
    <t>Összesen:</t>
  </si>
  <si>
    <t>Működési célú támogatások áht-n belülről</t>
  </si>
  <si>
    <t>Felhalmozási célú támogatások áht-n belülről</t>
  </si>
  <si>
    <t>Közhatalmi bevételek</t>
  </si>
  <si>
    <t>Ellátottak pénzbeli juttatásai</t>
  </si>
  <si>
    <t>Egyéb felhalmo-zási célú kiadások</t>
  </si>
  <si>
    <t>6.) Államháztartáson belüli megelőlegezések</t>
  </si>
  <si>
    <t>Sorszám</t>
  </si>
  <si>
    <t>Jogi és közig.feladatok</t>
  </si>
  <si>
    <t>Felújítások</t>
  </si>
  <si>
    <t>Beruházások</t>
  </si>
  <si>
    <t>10.</t>
  </si>
  <si>
    <t>11.</t>
  </si>
  <si>
    <t>12.</t>
  </si>
  <si>
    <t>13.</t>
  </si>
  <si>
    <t>14.</t>
  </si>
  <si>
    <t>15.</t>
  </si>
  <si>
    <t>17.</t>
  </si>
  <si>
    <t>18.</t>
  </si>
  <si>
    <t>Változás</t>
  </si>
  <si>
    <t>Egyéb működési célú kiadások</t>
  </si>
  <si>
    <t>B</t>
  </si>
  <si>
    <t>B1</t>
  </si>
  <si>
    <t>Működési célú támogatások államháztartáson belülről</t>
  </si>
  <si>
    <t>B11</t>
  </si>
  <si>
    <t>Önkormányzatok működési támogatásai</t>
  </si>
  <si>
    <t>B111</t>
  </si>
  <si>
    <t>Helyi önkormányzatok működésének általános támogatása</t>
  </si>
  <si>
    <t>B112</t>
  </si>
  <si>
    <t>B113</t>
  </si>
  <si>
    <t>Települési önkormányzatok szociális és gyermekjóléti feladatainak támogatása</t>
  </si>
  <si>
    <t>B114</t>
  </si>
  <si>
    <t>B115</t>
  </si>
  <si>
    <t>Települési önkormányzatok kulturális feladatainak támogatása</t>
  </si>
  <si>
    <t>Működési célú támogatások államháztartáson belülről összesen</t>
  </si>
  <si>
    <t>B2</t>
  </si>
  <si>
    <t>Felhalmozási célú támogatások államháztartáson belülről</t>
  </si>
  <si>
    <t>B21</t>
  </si>
  <si>
    <t>Felhalmozási célú önkormányzati támogatás</t>
  </si>
  <si>
    <t>B25</t>
  </si>
  <si>
    <t>Egyéb felhalmozási célú támogatások bevételei államháztartáson belülről</t>
  </si>
  <si>
    <t>Települési önkormányzatok egyes köznevelési feladatainak tám.</t>
  </si>
  <si>
    <t>Felhalmozási célú támogatások államháztartáson belülről összesen</t>
  </si>
  <si>
    <t>B3</t>
  </si>
  <si>
    <t>B35</t>
  </si>
  <si>
    <t>B351</t>
  </si>
  <si>
    <t xml:space="preserve">Termékek és szolgáltatások adói </t>
  </si>
  <si>
    <t>B354</t>
  </si>
  <si>
    <t xml:space="preserve">TOP-6.5.1-16-ZL1-2017-00001 Liszt F.tagiskola energetikai korszerűsítése </t>
  </si>
  <si>
    <t xml:space="preserve">TOP-6.5.1-16-ZL1-2017-00005 Petőfi S. Székhelyiskola energetikai korszerűsítése </t>
  </si>
  <si>
    <t xml:space="preserve">TOP-6.5.1-16-ZL1-2017-00006 Dózsa Gy. tagiskola energetikai korszerűsítése </t>
  </si>
  <si>
    <t>Gépjárműadók</t>
  </si>
  <si>
    <t>B355</t>
  </si>
  <si>
    <t>B36</t>
  </si>
  <si>
    <t>Közhatalmi bevételek összesen</t>
  </si>
  <si>
    <t>B4</t>
  </si>
  <si>
    <t>B5</t>
  </si>
  <si>
    <t>B52</t>
  </si>
  <si>
    <t>Ingatlanok értékesítése</t>
  </si>
  <si>
    <t>Felhalmozási bevételek összesen</t>
  </si>
  <si>
    <t>B6</t>
  </si>
  <si>
    <t>B7</t>
  </si>
  <si>
    <t>Felhalmozási célú visszatérítendő támogatások, kölcsönök visszatérülése államháztartáson kívülről</t>
  </si>
  <si>
    <t>B73</t>
  </si>
  <si>
    <t>Egyéb felhalmozási célú átvett pénzeszközök</t>
  </si>
  <si>
    <t>Felhalmozási célú átvett pénzeszközök összesen</t>
  </si>
  <si>
    <t>B1-B7</t>
  </si>
  <si>
    <t>B8</t>
  </si>
  <si>
    <t>B81</t>
  </si>
  <si>
    <t>Belföldi finanszírozás bevételei</t>
  </si>
  <si>
    <t>B811</t>
  </si>
  <si>
    <t xml:space="preserve"> Hitel-, kölcsönfelvétel államháztartáson kívülről</t>
  </si>
  <si>
    <t>B813</t>
  </si>
  <si>
    <t>Finanszírozási bevételek összesen</t>
  </si>
  <si>
    <t>BEVÉTELEK ÖSSZESEN:</t>
  </si>
  <si>
    <t xml:space="preserve"> Finanszírozási bevételek</t>
  </si>
  <si>
    <t>Ügyviteli dolgozó</t>
  </si>
  <si>
    <t>1.) Működési célú támogatások államháztartáson belülről</t>
  </si>
  <si>
    <t xml:space="preserve">1.) Felhalmozási célú támogatások államháztartáson belülről </t>
  </si>
  <si>
    <t>2.) Közhatalmi bevételek</t>
  </si>
  <si>
    <t>3.) Működési bevételek</t>
  </si>
  <si>
    <t>3.) Felhalmozási bevételek</t>
  </si>
  <si>
    <t>4.) Felhalmozási célú átvett pénzeszközök</t>
  </si>
  <si>
    <t>4.) Működési célú átvett pénzeszközök</t>
  </si>
  <si>
    <t>5.) Előző év költségvetési maradványának igénybevétele</t>
  </si>
  <si>
    <t>1.) Egyéb  felhalmozási célú kiadások</t>
  </si>
  <si>
    <t xml:space="preserve"> Finanszírozási kiadások</t>
  </si>
  <si>
    <t>5.)Fejlesztési hitel kamata</t>
  </si>
  <si>
    <t>Egyéb felhalmozási célú kiadások</t>
  </si>
  <si>
    <t>K1-K8</t>
  </si>
  <si>
    <t>Költségvetési kiadások összesen:</t>
  </si>
  <si>
    <t>K9</t>
  </si>
  <si>
    <t>6.</t>
  </si>
  <si>
    <t>5.</t>
  </si>
  <si>
    <t>7.</t>
  </si>
  <si>
    <t>8.</t>
  </si>
  <si>
    <t>9.</t>
  </si>
  <si>
    <t>16.</t>
  </si>
  <si>
    <t>Pénzügyi lebonyolítás</t>
  </si>
  <si>
    <t xml:space="preserve"> </t>
  </si>
  <si>
    <t>Cím szám</t>
  </si>
  <si>
    <t>Alcím szám</t>
  </si>
  <si>
    <t>2.</t>
  </si>
  <si>
    <t>1.</t>
  </si>
  <si>
    <t>3.</t>
  </si>
  <si>
    <t>4.</t>
  </si>
  <si>
    <t>Központi, irányító szervi támogatás</t>
  </si>
  <si>
    <t>Működési célú költségvetési támogatások és kiegészítő támogatások</t>
  </si>
  <si>
    <t>B34</t>
  </si>
  <si>
    <t>Vagyoni típusú adók (építményadó, magánszemélyek kommunális adója)</t>
  </si>
  <si>
    <t>B53</t>
  </si>
  <si>
    <t>Egyéb tárgyi eszközök értékesítése</t>
  </si>
  <si>
    <t>Egyéb szakalkal- mazott</t>
  </si>
  <si>
    <t xml:space="preserve">Polgármesteri Hivatal </t>
  </si>
  <si>
    <t>Zalaegerszegi GESZ</t>
  </si>
  <si>
    <t xml:space="preserve"> Zalaegerszegi Egészségügyi Alapellátás</t>
  </si>
  <si>
    <t>Zalaegerszegi Belvárosi I. sz.Óvoda</t>
  </si>
  <si>
    <t>Zalaegerszegi Belvárosi II. sz.Óvoda</t>
  </si>
  <si>
    <t xml:space="preserve">Keresztury Dezső Városi Művelődési Központ </t>
  </si>
  <si>
    <t xml:space="preserve">Zalaegerszegi Turisztikai Hivatal és Információs Iroda </t>
  </si>
  <si>
    <t>Városi Sportlétesítmények Gondnoksága összesen:</t>
  </si>
  <si>
    <t>Szociális és igazgatási feladatok</t>
  </si>
  <si>
    <t>Humánigazgatási feladatok</t>
  </si>
  <si>
    <t>II. Felhalmozási célú kiadások</t>
  </si>
  <si>
    <t>II. Felhalmozási célú bevételek</t>
  </si>
  <si>
    <t>2.) Beruházás</t>
  </si>
  <si>
    <t>3.) Felújítás</t>
  </si>
  <si>
    <t>4.) Céltartalék</t>
  </si>
  <si>
    <t>FELHALMOZÁSI CÉLÚ BEVÉTELEK  ÖSSZESEN:</t>
  </si>
  <si>
    <t>FELHALMOZÁSI CÉLÚ KIADÁSOK ÖSSZESEN:</t>
  </si>
  <si>
    <t>BEVÉTELEK</t>
  </si>
  <si>
    <t xml:space="preserve"> TOP 6.9.2-16-ZL1-2017-00001 A helyi identitás és kohézió erősítésének megteremtése Zalaegerszegen</t>
  </si>
  <si>
    <t>7.) Lízing kötelezettség</t>
  </si>
  <si>
    <t>6.) Hitel- és kölcsön törlesztések</t>
  </si>
  <si>
    <t>Személyi juttatások</t>
  </si>
  <si>
    <t xml:space="preserve">     Költségvetési műk. bevételei összesen:</t>
  </si>
  <si>
    <t>Egyéb közhatalmi bevételek (különféle bírságok, talajterhelési díj)</t>
  </si>
  <si>
    <t>Egyéb áruhasználati és szolgáltatási adók ( idegenforgalmi adó)</t>
  </si>
  <si>
    <t xml:space="preserve">     Költségvetési felhalm. bevételei összesen:</t>
  </si>
  <si>
    <t xml:space="preserve">      Költségvetési felh.célú kiadásai összesen:</t>
  </si>
  <si>
    <t>Fizikai dolgozó</t>
  </si>
  <si>
    <t xml:space="preserve">   Költségvetési műk. kiadásai összesen:</t>
  </si>
  <si>
    <t>Városépítészeti feladatok</t>
  </si>
  <si>
    <t>Önkormányzat kiadásai összesen</t>
  </si>
  <si>
    <t>B16</t>
  </si>
  <si>
    <t>Egyéb működési célú támogatások bevételei államháztartáson belülről</t>
  </si>
  <si>
    <t>3.Egyéb működési célú kiadások (költségvetési szervek és tartalék nélkül)</t>
  </si>
  <si>
    <t>6.) Hitel felvétel</t>
  </si>
  <si>
    <t>7.) Előző év költségvetési maradványának igénybevétele</t>
  </si>
  <si>
    <t>Zalaegerszegi Gazdasági Ellátó Szervezet</t>
  </si>
  <si>
    <t xml:space="preserve">MŰKÖDÉSI CÉLÚ BEVÉTELEK ÖSSZ:                      </t>
  </si>
  <si>
    <t>TOP-6.1.1-15-ZL1-2016-00001 Zalaegerszeg Északi Ipari Park feltárása és közművekkel való ellátása (részben nettó)</t>
  </si>
  <si>
    <t>6.) Egyéb finanszírozási kiadás (államháztartáson belüli megelőlegezés visszafizetése)</t>
  </si>
  <si>
    <t>Mindösszesen:</t>
  </si>
  <si>
    <t>Megnevezés</t>
  </si>
  <si>
    <t>Összesen</t>
  </si>
  <si>
    <t>Polgármesteri Hivatal</t>
  </si>
  <si>
    <t>Városüzemelési feladatok</t>
  </si>
  <si>
    <t>Vagyonkezelési feladatok</t>
  </si>
  <si>
    <t>Finanszírozási kiadások</t>
  </si>
  <si>
    <t>Költségvetési kiadások</t>
  </si>
  <si>
    <t>Költségvetési bevételek</t>
  </si>
  <si>
    <t>Hitel-, kölcsönfelvétel áht-n kívülről</t>
  </si>
  <si>
    <t>Maradvány igénybevétele</t>
  </si>
  <si>
    <t>Hitel-, kölcsöntör-lesztés áht-n kívülre</t>
  </si>
  <si>
    <t>Egyéb finanszírozási bevétel</t>
  </si>
  <si>
    <t>Egyéb finanszírozási kiadás</t>
  </si>
  <si>
    <t>Rovat száma</t>
  </si>
  <si>
    <t>K1</t>
  </si>
  <si>
    <t>K2</t>
  </si>
  <si>
    <t>K3</t>
  </si>
  <si>
    <t>K4</t>
  </si>
  <si>
    <t>K5</t>
  </si>
  <si>
    <t>K6</t>
  </si>
  <si>
    <t>K7</t>
  </si>
  <si>
    <t>K8</t>
  </si>
  <si>
    <t>TOP-6.1.1-16 Zalaegerszegi Logisztikai Központ létrehozása</t>
  </si>
  <si>
    <t>SHAREPLACE Interreg Central Europe projekt pályázati támogatással</t>
  </si>
  <si>
    <t>TOP-6.1.2-16-ZL1-2017-00001 Inkubátorház bővítés Zalaegerszegen-III.ütem</t>
  </si>
  <si>
    <t>Keresztury Dezső Városi Művelődési Központ</t>
  </si>
  <si>
    <t>Deák Ferenc Megyei és Városi Könyvtár</t>
  </si>
  <si>
    <t>Göcseji Múzeum</t>
  </si>
  <si>
    <t>Zalaegerszegi Egyesített Bölcsődék</t>
  </si>
  <si>
    <t>Zalaegerszegi Belvárosi I. számú Óvoda</t>
  </si>
  <si>
    <t>Zalaegerszegi Belvárosi II. számú Óvoda</t>
  </si>
  <si>
    <t>Zalaegerszegi Kertvárosi Óvoda</t>
  </si>
  <si>
    <t>Zalaegerszegi Landorhegyi Óvoda</t>
  </si>
  <si>
    <t>Zalaegerszegi Turisztikai Hivatal és Információs Iroda</t>
  </si>
  <si>
    <t>Hevesi Sándor Színház</t>
  </si>
  <si>
    <t>Griff Bábszínház</t>
  </si>
  <si>
    <t>2.) Önkormányzat szakosztályainak  kiadásai</t>
  </si>
  <si>
    <t>TOP-6.1.4 -15-ZL1-2016-00003 Zöld Zala-part Turisztikai célú kerékpárút fejlesztés a Zala Mentén és Gébárton</t>
  </si>
  <si>
    <t>TOP-6.1.4-15-ZL1-2016-00001 "Zalaegerszeg turisztikai vonzerejének növelése a " SMART City" eszközrendszerével"</t>
  </si>
  <si>
    <t>TOP 6.5.1-15-ZL1-2016-0004 Landorhegyi Sportiskolai Általános Iskola energetikai korszerűsítése</t>
  </si>
  <si>
    <t>TOP 6.5.15-ZL1-2016-00003 Zalaegerszegi Ady Endre Általános Iskola, Gimnázium és Alapfokú Művészeti Iskola - többletenergiát az oktatásra</t>
  </si>
  <si>
    <t>TOP-6.6.2-15- ZL1-2016-00001 Szociális Alapszolgáltatások  fejlesztése Zalaegerszegen</t>
  </si>
  <si>
    <t>TOP-6.6.1-15-ZL1-2016-00001 Egészségügyi alapellátás  infrastrukturális fejlesztése Zalaegerszegen</t>
  </si>
  <si>
    <t>TOP-6.1.4-15-ZL1-2016-00002 Zalaegerszegi Göcseji Falumúzeum fejlesztése</t>
  </si>
  <si>
    <t>TOP-6.3.2-15-ZL1-2016-00002 Gébárti-tó  és környékének rekreációs, szabadidős használatát elősegítő infrastruktúra kialakítása</t>
  </si>
  <si>
    <t>TOP-6.3.2-15-ZL1-2016-00003 Városi terek élhetőbbé tétele - Vizslapark rekonstrukció</t>
  </si>
  <si>
    <t>TOP-6.2.1-15-ZL1-2016-00002 Zalaegerszegi Egyesített Bölcsődék Cseperedő Bölcsőde és a Zalaegerszegi Belvárosi II. számú Óvoda Petőfi utcai Tagóvodájának fejlesztése</t>
  </si>
  <si>
    <t>TOP-6.4.1-15-ZL1-2016-00001 Gyalogos és kerékpárosbarát belváros közlekedési feltételeinek megteremtése Zalaegerszegen hivatásforgalmi kerékpárutak fejlesztésével és a Kosztolányi Dezső út kétirányúsításával</t>
  </si>
  <si>
    <t>TOP-6.1.4-16-ZL1-2017-00002 Göcseji Múzeum épületének felújítása és kiállító tereinek fejlesztése</t>
  </si>
  <si>
    <t>TOP-6.8.2-15-ZL1-2016-00001 A vállalkozások igényeire alapuló foglalkoztatás-fejlesztési program Zalaegerszeg Megyei Jogú Városban (Foglalkoztatási paktum)</t>
  </si>
  <si>
    <t>TOP-6.1.5-15-ZL1-2016-00001 Ipari területeket feltáró utak kialakítása Zalaegerszegen</t>
  </si>
  <si>
    <t>Önkormányzat összesen:</t>
  </si>
  <si>
    <t>I. Működési célú bevételek</t>
  </si>
  <si>
    <t>I. Működési célú kiadások</t>
  </si>
  <si>
    <t>4.) Céltartalékból működésre</t>
  </si>
  <si>
    <t>MŰKÖDÉSI CÉLÚ KIADÁSOK ÖSSZ.:</t>
  </si>
  <si>
    <t>Városüzemelési felad.</t>
  </si>
  <si>
    <t>Vagyonkez. feladatok</t>
  </si>
  <si>
    <t>Jogi és közig. feladatok</t>
  </si>
  <si>
    <t>Kiadások összesen</t>
  </si>
  <si>
    <t>Önkormányzat</t>
  </si>
  <si>
    <t>Költségvetési szervek</t>
  </si>
  <si>
    <t>Főépítészi feladatok</t>
  </si>
  <si>
    <t>Zalaegerszegi Egészségügyi Alapellátási Intézmény</t>
  </si>
  <si>
    <t>Zalaegerszegi Család- és Gyermekjóléti Központ</t>
  </si>
  <si>
    <t>Közgyűjteményi és Közművelődési GESZ</t>
  </si>
  <si>
    <t>19.</t>
  </si>
  <si>
    <t>Városi Sportlétesítmény Gondnokság Intézménye</t>
  </si>
  <si>
    <t>Munkaadókat terhelő járulékok és szociális hj. adó</t>
  </si>
  <si>
    <t xml:space="preserve">Dologi kiadások </t>
  </si>
  <si>
    <t>Cím    szám</t>
  </si>
  <si>
    <t>Orvos</t>
  </si>
  <si>
    <t>Vásárcsarnok</t>
  </si>
  <si>
    <t>Dologi kiadások</t>
  </si>
  <si>
    <t>Működési bevételek</t>
  </si>
  <si>
    <t>Felhalmozási bevételek</t>
  </si>
  <si>
    <t>Működési célú átvett pénzeszközök</t>
  </si>
  <si>
    <t>Felhalmozási célú átvett pénzeszközök</t>
  </si>
  <si>
    <t>Finanszírozási bevételek</t>
  </si>
  <si>
    <t>Munkaadókat terhelő járulékok és szociális hj.adó</t>
  </si>
  <si>
    <t>Bevételek összesen</t>
  </si>
  <si>
    <t>Működési költségvetés összesen:</t>
  </si>
  <si>
    <t>Felhalmozási költségvetés összesen:</t>
  </si>
  <si>
    <t>ÖNKORMÁNYZAT ÖSSZESEN:</t>
  </si>
  <si>
    <t>1.) Költségvetési szervek kiadásai</t>
  </si>
  <si>
    <t>EcoSmartCities Interreg HU-HR projekt</t>
  </si>
  <si>
    <t xml:space="preserve"> Forgatási célú belföldi értékpapírok beváltása, értékesítése</t>
  </si>
  <si>
    <t>B8121</t>
  </si>
  <si>
    <t>8.) Forgatási célú értékpapír beváltás</t>
  </si>
  <si>
    <t>Mutatók</t>
  </si>
  <si>
    <t>Hozzájárulás jogcíme</t>
  </si>
  <si>
    <t>Normatíva     Ft/fő</t>
  </si>
  <si>
    <t>számított hozzájárulás</t>
  </si>
  <si>
    <t>Hozzájárulás       ezer Ft-ban</t>
  </si>
  <si>
    <t>Ft-ban</t>
  </si>
  <si>
    <t>2. melléklet szerinti jogcímek</t>
  </si>
  <si>
    <t>lakosságszám</t>
  </si>
  <si>
    <t>mutató</t>
  </si>
  <si>
    <t>I. Helyi önkormányzatok működésének általános támogatása</t>
  </si>
  <si>
    <t xml:space="preserve">1.a) önkormányzati hivatal működésének támogatása                     </t>
  </si>
  <si>
    <t>1.a) önkormányzati hivatal működésénak támogatása - beszámítás után</t>
  </si>
  <si>
    <t>1.b) település-üzemeltetéshez kapcsolódó feladataellátás támogatása</t>
  </si>
  <si>
    <t xml:space="preserve">     ba) zöldterület gazdálkodással kapcsolatos feladatok ellátásának támogatása (hektár)</t>
  </si>
  <si>
    <t xml:space="preserve">     bb) közvilágítás fenntartásának támogatása  (km)</t>
  </si>
  <si>
    <t xml:space="preserve">     bc) köztemető fenntartással kapcsolatos feladatok támogatása  (m²)</t>
  </si>
  <si>
    <r>
      <t xml:space="preserve">     bd) közutak fenntartásának támogatása  (km</t>
    </r>
    <r>
      <rPr>
        <sz val="8.1"/>
        <rFont val="Times New Roman"/>
        <family val="1"/>
        <charset val="238"/>
      </rPr>
      <t>)</t>
    </r>
  </si>
  <si>
    <t xml:space="preserve">1.b) település-üzemeltetéshez kapcsolódó feladataellátás támogatása - beszámítás után </t>
  </si>
  <si>
    <t>1.c) egyéb kötelező önkormányzati feladatok támogatása</t>
  </si>
  <si>
    <t>1.c) egyéb kötelező önkormányzati feladatok támogatása - beszámítás után</t>
  </si>
  <si>
    <t>1.d) Lakott külterülettel kapcsolatos feladatok támogatása</t>
  </si>
  <si>
    <t>1.d) Lakott külterülettel kapcsolatos feladatok támogatása - beszámítás után</t>
  </si>
  <si>
    <t>1.e) Üdülőhelyi feladatok támogatása</t>
  </si>
  <si>
    <t>1.e) Üdülőhelyi feladatok támogatása -  beszámítás után</t>
  </si>
  <si>
    <t>V. Beszámítás összege</t>
  </si>
  <si>
    <t>I.2.Nem közművel összegyűjtött háztartási szennyvíz ártalmatlanítása</t>
  </si>
  <si>
    <t>II. Települési önkormányzatok egyes köznevelési feladatainak támogatása</t>
  </si>
  <si>
    <t>1. Óvodapedagógusok és az óvodapedagógusok nevelő munkáját közvetlenül segítők bértámogatása</t>
  </si>
  <si>
    <t xml:space="preserve">  - óvodapedagógusok átlagbérének és közterheinek elismert összege </t>
  </si>
  <si>
    <t xml:space="preserve"> - óvodapedagógusok nevelő munkáját közvetlenük segítők átlagbérének és közterheinek elismert összege </t>
  </si>
  <si>
    <t xml:space="preserve">2. Óvodaműködtetési támogatás </t>
  </si>
  <si>
    <t>5. Kiegészítő támogatás az óvodapedagógusok minősítéséből adódó többletkiadásokhoz</t>
  </si>
  <si>
    <t xml:space="preserve">  (1) Pedagógus II. kategóriába sorolt óvodapedagógusok kiegészítő támogatása</t>
  </si>
  <si>
    <t xml:space="preserve">  (2) Pedagógus II. kategóriába sorolt óvodapedagógusok kiegészítő támogatása, akik a minősítés 2020. jan-1-jei átsorolással szerezték meg</t>
  </si>
  <si>
    <t xml:space="preserve">  (2) Mesterpedagógus kategóriába sorolt óvodapedagógusok kiegészítő támogatása</t>
  </si>
  <si>
    <t>III. Települési önkormányzatok szociális és gyermekjóléti feladatainak támogatása</t>
  </si>
  <si>
    <t>III.  2.a) Család és gyermekjóléti szolgálat</t>
  </si>
  <si>
    <t>III.  2. b.) Család- és gyermekjóléti központ ( járáshoz tartozó összes településre)</t>
  </si>
  <si>
    <t xml:space="preserve">  2.  c) Szociális étkeztetés</t>
  </si>
  <si>
    <t xml:space="preserve">  2.  d) Házi segítségnyújtás</t>
  </si>
  <si>
    <t xml:space="preserve">                da) szociális segítés</t>
  </si>
  <si>
    <t xml:space="preserve">                db) személyi gondozás</t>
  </si>
  <si>
    <t xml:space="preserve"> 2. f) Időskorúak nappali intézményi  ellátása</t>
  </si>
  <si>
    <t xml:space="preserve"> 2. g) Fogyatékos és demens személyek nappali intézményi ellátása</t>
  </si>
  <si>
    <t xml:space="preserve"> 2. h)  Pszichiátriai és szenvedélybetegek nappali intézményi ellátása</t>
  </si>
  <si>
    <t xml:space="preserve"> 2. n) Óvodai és iskolai szociális segítő tevékenység támogatása</t>
  </si>
  <si>
    <t>III.3.Bölcsődében a finanszírozás szempontból elismert szakmai dolgozók bértámogatása</t>
  </si>
  <si>
    <t xml:space="preserve">       - felsőfokú végzettségű kisgyermeknevelők</t>
  </si>
  <si>
    <t xml:space="preserve">       - bölcsődei dajkák,középfokú végzettségű kisgyermeknevelők</t>
  </si>
  <si>
    <t xml:space="preserve">       - bölcsődei üzemeltetési támogatás</t>
  </si>
  <si>
    <t>III.4. települési önk. által az idős és hajléktalan személyek részére nyújtott szociális szakosított ellátási feladatok</t>
  </si>
  <si>
    <t xml:space="preserve">   a) a kötelezően foglalkoztatott szakmai dolgozók bértámogatása</t>
  </si>
  <si>
    <t xml:space="preserve">   b)  intézmény üzemeltetési támogatás</t>
  </si>
  <si>
    <t>III.5.Gyermekétkeztetés támogatása</t>
  </si>
  <si>
    <t xml:space="preserve">   aa) a finanszírozás szempontjából elismert szakmai dolgozók bértámogatása</t>
  </si>
  <si>
    <t xml:space="preserve">   ab) Gyermekétkeztetés-üzemeltetési támogatás</t>
  </si>
  <si>
    <t xml:space="preserve">    b) rászoruló gyerekek szünidei étkeztetésének támogatása</t>
  </si>
  <si>
    <t>IV. Települési önk. kulturális feladatainak támogatása</t>
  </si>
  <si>
    <t>a) megyei jogú városok közművelődési támogatása</t>
  </si>
  <si>
    <t xml:space="preserve">e) megyei hatókörű könyvtár kistelepülési könyvtári és közművelődési célú kiegészítő támogatása </t>
  </si>
  <si>
    <t>3. mellékelt: Települési önkormányzatok  kiegészítő támogatásai</t>
  </si>
  <si>
    <t>13. Települési önkormányzatok kulturális feladatainak támogatása</t>
  </si>
  <si>
    <t xml:space="preserve">  a) megyei hatókörű városi múzeumok feldataiank támogatása ( Göcseji Múzeum)</t>
  </si>
  <si>
    <t xml:space="preserve">  b) megyei hatáskörű könyvtárak feladatainak támogatása ( (Deák Ferenc Megyei    Könyvtár és a  városi könyvtár) </t>
  </si>
  <si>
    <t>Állami hozzájárulás összesen:</t>
  </si>
  <si>
    <t>2020. évi  eredeti előirányzat</t>
  </si>
  <si>
    <t>2020. évi eredeti előirányzat</t>
  </si>
  <si>
    <t>Tervezési alapegység</t>
  </si>
  <si>
    <t>011130 Önkorm. és önkorm. hivatal. jogalk. és ált.ig.tev.</t>
  </si>
  <si>
    <t xml:space="preserve"> - Egerszeg kártya értékesítés</t>
  </si>
  <si>
    <t>221 902</t>
  </si>
  <si>
    <t>Szociális és igazgatási feladatok összesen:</t>
  </si>
  <si>
    <t>072112 Háziorvosi ügyeleti ellátás</t>
  </si>
  <si>
    <t xml:space="preserve"> - körzeti orvosi ügyelet fenntartásához községek hozzájárulása</t>
  </si>
  <si>
    <t>101211 Fogyatékossággal élők tartós bentlakásos ellátása</t>
  </si>
  <si>
    <t xml:space="preserve"> - Református Egyház által fizetendő bérleti díj</t>
  </si>
  <si>
    <t>Humánigazgatási feladatok összesen:</t>
  </si>
  <si>
    <t>013350 Önk-i vagyonnal való gazdálkodáshoz kapcs.fa.</t>
  </si>
  <si>
    <t xml:space="preserve"> - belterületbe vonással kapcsolatos bevétel</t>
  </si>
  <si>
    <t>Főépítészi feladatok összesen:</t>
  </si>
  <si>
    <t>081061 Szabadidős park, fürdő és strandszolgáltatás</t>
  </si>
  <si>
    <t xml:space="preserve"> - Gébárti fürdő lét. üzemelt. (Termál és Tóstrand)</t>
  </si>
  <si>
    <t xml:space="preserve"> - Aquapark üzemeltetés</t>
  </si>
  <si>
    <t>151 907</t>
  </si>
  <si>
    <t xml:space="preserve"> - ZG3 kút üzemeltetése</t>
  </si>
  <si>
    <t>151 915</t>
  </si>
  <si>
    <t>066010 Zöldterület kezelés</t>
  </si>
  <si>
    <t xml:space="preserve"> - fa értékesítés bevétele</t>
  </si>
  <si>
    <t>152 908</t>
  </si>
  <si>
    <t xml:space="preserve"> - haszonbérleti szerződések, kishaszonbérlet</t>
  </si>
  <si>
    <t>151506</t>
  </si>
  <si>
    <t>066020 Város-, községgazdálkodási egyéb szolgáltatás</t>
  </si>
  <si>
    <t xml:space="preserve"> - Zalai Közszolgáltató Nonprofit Kft. bérleti díj eszközpark használata után</t>
  </si>
  <si>
    <t xml:space="preserve"> - Széna tér zártkerti fejlesztése  pályázati támogatás (ZP-1-2019 kódszámú felhívás)</t>
  </si>
  <si>
    <t>152946</t>
  </si>
  <si>
    <t>045170 Parkoló, garázs üzemeltetése, fenntartása</t>
  </si>
  <si>
    <t xml:space="preserve"> - parkolási közszolgáltatási tevékenység ellátásával kapcsolatos bevétel</t>
  </si>
  <si>
    <t>151 910</t>
  </si>
  <si>
    <t>Városüzemelési feladatok összesen:</t>
  </si>
  <si>
    <t>052020  Szennyvíz gyűjtése, tisztítása, elhelyezése</t>
  </si>
  <si>
    <t xml:space="preserve"> -  Zalaegerszeg keleti vízbázisról ellátott települések ívóvízminőségének javítása KEHOP projekt</t>
  </si>
  <si>
    <t xml:space="preserve"> - Zalaegerszeg nyugati vízbázisról ellátott települések ívóvízminőségének javítása KEHOP projekt</t>
  </si>
  <si>
    <t>045110 Közúti közlekedés igazgatása és támogatása</t>
  </si>
  <si>
    <t xml:space="preserve"> - SHAREPLACE Interreg Central Europe projekt pályázati támogatás</t>
  </si>
  <si>
    <t>013350 Önk-i vagyonnal való gazdálkodáshoz kapcs. fa.</t>
  </si>
  <si>
    <t xml:space="preserve"> - ELENA programhoz önerő és bérfedezet megtérülése</t>
  </si>
  <si>
    <t xml:space="preserve"> - EcoSmartCities Interreg HU-HR projekt</t>
  </si>
  <si>
    <t xml:space="preserve"> -  Hotelfejlesztés engedélyes és kiviteli terveinek elkészítéséhez támogatás</t>
  </si>
  <si>
    <t xml:space="preserve"> - TOP-7.1.1-16-H-ERFA-2019-00089 TOP CLLD Art mozi közösségi és rendezvény térré alakítása</t>
  </si>
  <si>
    <t xml:space="preserve"> - TOP-6.2.1-15- ZL1-2016-00001 Andráshidai Óvoda éptése</t>
  </si>
  <si>
    <t xml:space="preserve"> - TOP-6.6.1-15-ZL1-2016-00001 Egészségügyi alapellátás  infrastrukturális fejlesztése Zalaegerszegen</t>
  </si>
  <si>
    <t xml:space="preserve"> - TOP-6.6.2-15- ZL1-2016-00001 Szociális Alapszolgáltatások  fejlesztése Zalaegerszegen</t>
  </si>
  <si>
    <t xml:space="preserve"> - TOP-6.1.4-15-ZL1-2016-00002 Zalaegerszegi Göcseji Falumúzeum fejlesztése</t>
  </si>
  <si>
    <t xml:space="preserve"> - TOP-6.4.1-15-ZL1-2016-00001 Gyalogos és kerékpárosbarát belváros közlekedési feltételeinek megteremtése Zalaegerszegen hivatásforgalmi kerékpárutak fejlesztésével és a Kosztolányi Dezső út kétirányúsításával</t>
  </si>
  <si>
    <t xml:space="preserve"> - TOP-6.1.4 -15-ZL1-2016-00003 Zöld Zala-part Turisztikai célú kerékpárút fejlesztés a Zala Mentén és Gébárton</t>
  </si>
  <si>
    <t xml:space="preserve"> - TOP-6.1.5-15-ZL1-2016-00001 Ipari területeket feltáró utak kialakítása Zalaegerszegen</t>
  </si>
  <si>
    <t xml:space="preserve"> - TOP-6.3.2-15-ZL1-2016-00002 Gébárti-tó  és környékének rekreációs, szabadidős használatát elősegítő infrastruktúra kialakítása</t>
  </si>
  <si>
    <t xml:space="preserve"> - TOP-6.1.1-15-ZL1-2016-00001 Zalaegerszeg Északi Ipari Park feltárása és közművekkel való ellátása (részben nettó)</t>
  </si>
  <si>
    <t xml:space="preserve"> - TOP-6.1.3 -15-ZL1-2016-00001 Helyi termelői és kézműves piac kialakítása Zalaegerszegen ( nettó!)</t>
  </si>
  <si>
    <t xml:space="preserve"> - TOP-6.1.4-15-ZL1-2016-00001 "Zalaegerszeg turisztikai vonzerejének növelése a " SMART City" eszközrendszerével"</t>
  </si>
  <si>
    <t xml:space="preserve"> - TOP-6.8.2-15-ZL1-2016-00001 A vállalkozások igényeire alapuló foglalkoztatás-fejlesztési program Zalaegerszeg Megyei Jogú Városban (Foglalkoztatási paktum)</t>
  </si>
  <si>
    <t xml:space="preserve"> - TOP-6.3.2-15-ZL1-2016-00003 Városi terek élhetőbbé tétele - Vizslapark rekonstrukció</t>
  </si>
  <si>
    <t xml:space="preserve"> - TOP-6.2.1-15-ZL1-2016-00002 Zalaegerszegi Egyesített Bölcsődék Cseperedő Bölcsőde és a Zalaegerszegi Belvárosi II. számú Óvoda Petőfi utcai Tagóvodájának fejlesztése</t>
  </si>
  <si>
    <t xml:space="preserve"> - TOP 6.5.15-ZL1-2016-00003 Zalaegerszegi Ady Endre Általános Iskola, Gimnázium és Alapfokú Művészeti Iskola - többletenergiát az oktatásra</t>
  </si>
  <si>
    <t xml:space="preserve"> - TOP 6.5.1-15-ZL1-2016-0004 Landorhegyi Sportiskolai Általános Iskola energetikai korszerűsítése</t>
  </si>
  <si>
    <t xml:space="preserve"> -TOP-6.1.1-16 Zalaegerszegi Logisztikai Központ létrehozása</t>
  </si>
  <si>
    <t xml:space="preserve"> - TOP-6.1.2-16-ZL1-2017-00001 Inkubátorház bővítés Zalaegerszegen-III.ütem</t>
  </si>
  <si>
    <t xml:space="preserve"> - TOP-6.1.4--16-ZL1-2017-00002 Göcseji Múzeum épületének felújítása és kiállító tereinek fejlesztése</t>
  </si>
  <si>
    <t xml:space="preserve"> - TOP 6.1.4-16-ZL1-2017-00001 Alsóerdő komplex turisztikai fejlesztése</t>
  </si>
  <si>
    <t xml:space="preserve"> - TOP-6.1.1-16-ZL1-2017-00001 Üzemcsarnok építés a Zalaegerszeg 4815/6 hrsz-ú ingatlanon </t>
  </si>
  <si>
    <t xml:space="preserve"> -  TOP 6.9.2-16-ZL1-2017-00001 A helyi identitás és kohézió erősítésének megteremtése Zalaegerszegen</t>
  </si>
  <si>
    <t xml:space="preserve"> - TOP-7.1.1-16-H-ERFA-2019-00167 Zalaegerszeg mobil applikáció projekt</t>
  </si>
  <si>
    <t xml:space="preserve"> - TOP-6.1.4-16-ZL1-2017-00003 Helyi termelői és kézműves piac kialakítása Zalaegerszegen - Göcsej Tudásközpont (nettó fiansz.)</t>
  </si>
  <si>
    <t xml:space="preserve"> - TOP-6.5.1-16-ZL1-2017-00001 Liszt F.tagiskola energetikai korszerűsítése </t>
  </si>
  <si>
    <t xml:space="preserve"> - TOP-6.5.1-16-ZL1-2017-00005 Petőfi S. Székhelyiskola energetikai korszerűsítése </t>
  </si>
  <si>
    <t xml:space="preserve"> - TOP-6.5.1-16-ZL1-2017-00006 Dózsa Gy. tagiskola energetikai korszerűsítése </t>
  </si>
  <si>
    <t xml:space="preserve"> - Mindszenty Múzeum és Zarándokközpont fejlesztése, zalaegerszegi "Mindszenty Út" megvalósítása MVP</t>
  </si>
  <si>
    <t xml:space="preserve"> - Uszoda tervezés és megvalósítás MVP támogatásból</t>
  </si>
  <si>
    <t xml:space="preserve"> - Alsóerdei Sport- és Rekreációs Központ fejlesztése MVP támogatással</t>
  </si>
  <si>
    <t xml:space="preserve"> - MVP-s projektekhez kapcsolódó támogatási különbözet Mindszenty</t>
  </si>
  <si>
    <t xml:space="preserve"> - Hevesi Sándor Színház felújítás és korszerűsítés előkészítése MVP</t>
  </si>
  <si>
    <t xml:space="preserve"> - Új városi multifunkciós rendezvény- és sportcsarnok MVP projekt keretében</t>
  </si>
  <si>
    <t xml:space="preserve"> - KEHOP-5.4.1-16-2016-00433 Szemléletformálási programok</t>
  </si>
  <si>
    <t xml:space="preserve"> - KEHOP-1.2.1-18-2018-00024 ZMJV helyi klímastratégiájának kidolgozása, helyi klímatudatosságot erősítő szemléletformálás</t>
  </si>
  <si>
    <t xml:space="preserve"> - Elektromos vagy plug-in hybrid gépjárművek beszerzése pályázati támogatással</t>
  </si>
  <si>
    <t xml:space="preserve"> - "Infrastrukturális fejlesztések Zalaegerszegen"</t>
  </si>
  <si>
    <t>Városépítészeti feladatok összesen:</t>
  </si>
  <si>
    <t xml:space="preserve"> - ingatlaneladás </t>
  </si>
  <si>
    <t>106010 Lakóingatl. szoc.célú bérbeadása, üzemeltetése</t>
  </si>
  <si>
    <t xml:space="preserve"> - LÉSZ bérlemény üzemeltetés bevétele</t>
  </si>
  <si>
    <t xml:space="preserve"> - egyéb ingatlanhasznosítás (nem lakáscélú helyiségek bérl.díja)</t>
  </si>
  <si>
    <t xml:space="preserve"> - Inkubátorház bérleti díja</t>
  </si>
  <si>
    <t xml:space="preserve"> - volt laktanyával kapcsolatos bevétel</t>
  </si>
  <si>
    <t xml:space="preserve"> - tesztpálya területének bérleti díja</t>
  </si>
  <si>
    <t xml:space="preserve">  - Stadion bérleti díj</t>
  </si>
  <si>
    <t xml:space="preserve"> - volt Nyomda épület hasznosítása</t>
  </si>
  <si>
    <t xml:space="preserve"> - Munkásszálló bérleti díj</t>
  </si>
  <si>
    <t>066020 Város-, községgazdálkodási egyéb szolgáltatások</t>
  </si>
  <si>
    <t xml:space="preserve"> - helypénz és helybiztosítás</t>
  </si>
  <si>
    <t>051040 Nem veszélyes hulladék kezelése, ártalmatlanítása</t>
  </si>
  <si>
    <t xml:space="preserve"> - ZALA-Müllex Kft.által 2020. évre fizetett haszn. díj </t>
  </si>
  <si>
    <t>Lakásalappal kapcsolatos bevételek</t>
  </si>
  <si>
    <t>061030 Lakáshoz jutást segítő támogatások</t>
  </si>
  <si>
    <t xml:space="preserve"> - kamatmentes hitelek és kölcsön  törlesztéséből </t>
  </si>
  <si>
    <t xml:space="preserve">018030 Támogatás célú finanszírozási műveletek </t>
  </si>
  <si>
    <t xml:space="preserve"> - lakásalap  maradványának bevonása</t>
  </si>
  <si>
    <t>Vagyonkezelési feladatok összesen:</t>
  </si>
  <si>
    <t>Jogi igazgatási feladatok</t>
  </si>
  <si>
    <t xml:space="preserve"> - önkormányzat kezelésében lévő ingatlanok hasznosításából származó bevétel</t>
  </si>
  <si>
    <t>17194**</t>
  </si>
  <si>
    <t xml:space="preserve"> - közterület reklám célú bérbeadása</t>
  </si>
  <si>
    <t xml:space="preserve"> - közterületfelügyeleti bírság</t>
  </si>
  <si>
    <t xml:space="preserve"> - közterületen hagyott gépjárművek értékesítése</t>
  </si>
  <si>
    <t xml:space="preserve"> - közterület használati díj </t>
  </si>
  <si>
    <t>Jogi igazgatási feladat összesen:</t>
  </si>
  <si>
    <t>900060 Forgatási és befektetési célú finanszírozási műveletek</t>
  </si>
  <si>
    <t xml:space="preserve"> - Fejlesztési célú hitel felvétel  150 M Ft-os hitelkeretekből</t>
  </si>
  <si>
    <t xml:space="preserve"> - folyószámla  és lekötött pénzeszközök kamata</t>
  </si>
  <si>
    <t xml:space="preserve"> -Áfa visszaigénylés</t>
  </si>
  <si>
    <t xml:space="preserve"> - államkötvény beváltás</t>
  </si>
  <si>
    <t>018010 Önkormányzatok elszámolásai a központi költségvetéssel</t>
  </si>
  <si>
    <t xml:space="preserve"> - Helyi önkormányzatok működésének általános támogatása</t>
  </si>
  <si>
    <t xml:space="preserve"> - Települési önkormányzatok egyes köznevelési feladatainak tám.</t>
  </si>
  <si>
    <t xml:space="preserve"> - Települési önkormányzatok szociális és gyermekjóléti feladatainak támogatása</t>
  </si>
  <si>
    <t xml:space="preserve"> - Települési önkormányzatok kulturális feladatainak támogatása</t>
  </si>
  <si>
    <t xml:space="preserve"> - beszámítás után járó állami támogatás</t>
  </si>
  <si>
    <t>900020 Önkormányzatok funkcióra nem sorolható bevételei áht-n kívűlről</t>
  </si>
  <si>
    <t xml:space="preserve"> - iparűzési adó</t>
  </si>
  <si>
    <t xml:space="preserve"> - gépjárműadó</t>
  </si>
  <si>
    <t xml:space="preserve"> - idegenforgalmi adó</t>
  </si>
  <si>
    <t xml:space="preserve"> - talajterhelési díj</t>
  </si>
  <si>
    <t xml:space="preserve"> - építmény adó</t>
  </si>
  <si>
    <t xml:space="preserve"> - kommunális adó</t>
  </si>
  <si>
    <t>082042 Könyvtári állomány gyarapítása, nyilvánt.</t>
  </si>
  <si>
    <t xml:space="preserve"> - Deák F. Megyei és Városi Könyvtár részére  megelőlegezett ált.forgalmi adó visszafizetése</t>
  </si>
  <si>
    <t>082061 Múzeumi gyűjteményi tevékenység</t>
  </si>
  <si>
    <t xml:space="preserve"> - Göcseji Múzeum részére megelőlegezett támogatás visszafizetése</t>
  </si>
  <si>
    <t>Pénzügyi lebonyolítás összesen:</t>
  </si>
  <si>
    <t xml:space="preserve"> - Építéshatósági feladatok</t>
  </si>
  <si>
    <t>Polgármesteri Kabinet összesen:</t>
  </si>
  <si>
    <t>feladat jellege</t>
  </si>
  <si>
    <t>Kiadás összesen</t>
  </si>
  <si>
    <t xml:space="preserve">Önkormányzat </t>
  </si>
  <si>
    <t>105010 Munkanélküli aktív korúak ellátásai</t>
  </si>
  <si>
    <t xml:space="preserve"> - megélhetési támogatás</t>
  </si>
  <si>
    <t>106020 Lakásfenntartással, lakhatással összefüggő ellátások</t>
  </si>
  <si>
    <t xml:space="preserve"> - lakásfenntartási segély</t>
  </si>
  <si>
    <t xml:space="preserve"> - önkormányzati bérlakásban élők lakásfenntartási segélye Lakásalapból</t>
  </si>
  <si>
    <t>107060 Egyéb szociális pénzbeli ellátások, támogatások</t>
  </si>
  <si>
    <t xml:space="preserve"> - gyermekétkeztetési támogatás</t>
  </si>
  <si>
    <t xml:space="preserve"> - átmeneti segély</t>
  </si>
  <si>
    <t xml:space="preserve"> - egyszeri nevelési támogatás</t>
  </si>
  <si>
    <t xml:space="preserve"> - méltányossági segély</t>
  </si>
  <si>
    <t xml:space="preserve"> - szociális krízis alap</t>
  </si>
  <si>
    <t xml:space="preserve"> - tüzifa támogatás</t>
  </si>
  <si>
    <t>103010 Elhunyt személyek hátramaradottainak pénzbeli ellátása</t>
  </si>
  <si>
    <t xml:space="preserve"> - temetési segély</t>
  </si>
  <si>
    <t xml:space="preserve"> - lakhatási krízis alap Lakásalapból</t>
  </si>
  <si>
    <t xml:space="preserve"> - gyógyszertámogatás</t>
  </si>
  <si>
    <t xml:space="preserve"> - gyógyászati segédeszköz támogatás</t>
  </si>
  <si>
    <t xml:space="preserve"> - köztemetés</t>
  </si>
  <si>
    <t>094260 Hallgatói és oktatói ösztöndíjak, egyéb juttatások</t>
  </si>
  <si>
    <t xml:space="preserve"> - Bursa Hungarica ösztöndíj</t>
  </si>
  <si>
    <t xml:space="preserve"> - lakásgazdálkodási feladatokra</t>
  </si>
  <si>
    <t>104042 Család- és gyermekjóléti szolgálat</t>
  </si>
  <si>
    <t xml:space="preserve"> - Családsegítő Szolgálathoz krízissegélyezés</t>
  </si>
  <si>
    <t xml:space="preserve"> - Egerszegkártya</t>
  </si>
  <si>
    <t xml:space="preserve"> - Nemzedékek kézfogása</t>
  </si>
  <si>
    <t>22190**</t>
  </si>
  <si>
    <t>032020 Tűz- és katasztrófavéd. tevékenység</t>
  </si>
  <si>
    <t xml:space="preserve"> - helyi védelmi igazgatás</t>
  </si>
  <si>
    <t>109010 Szociális szolgáltatás igazgatása</t>
  </si>
  <si>
    <t xml:space="preserve"> - "Lakhatásért" Közalapítvány támogatása</t>
  </si>
  <si>
    <t>Szociális és igazgatási fa.működési kiadás összesen:</t>
  </si>
  <si>
    <t>Beruházási és felújítási kiadások:</t>
  </si>
  <si>
    <t>1./1</t>
  </si>
  <si>
    <t>Önkormányzat által nyújtott lakástámogatás első lakáshoz jutók részére  (Lakásalapból)</t>
  </si>
  <si>
    <t>2019. évről áthúzódó feladat</t>
  </si>
  <si>
    <t>1.a/1</t>
  </si>
  <si>
    <t>Családok otthonteremtési kedvezménye (Lakásalap)</t>
  </si>
  <si>
    <t>1.a/2</t>
  </si>
  <si>
    <t>Kamatmentes kölcsön az ideiglenesen nehéz helyzetbe került zeg-i polgárok számára (Lakásalapból)</t>
  </si>
  <si>
    <t>Szociális és igazgatási fa. kiadásai összesen:</t>
  </si>
  <si>
    <t xml:space="preserve">               </t>
  </si>
  <si>
    <t>Oktatási feladatok</t>
  </si>
  <si>
    <t>098010 Oktatás igazgatása</t>
  </si>
  <si>
    <t xml:space="preserve"> - Zalaegerszegi Szakképzési Centrum részére támogatás szakképzési ösztöndíj céljára</t>
  </si>
  <si>
    <t xml:space="preserve"> - intézmények és civil szervezetek támogatása, rendezvényeik finanszírozása</t>
  </si>
  <si>
    <t xml:space="preserve"> - díszokleveles pedagógusok ünnepsége és jutalmazása</t>
  </si>
  <si>
    <t xml:space="preserve"> - Zeg.Felsőfokú Oktatásáért Közalapítvány támogatása</t>
  </si>
  <si>
    <t>- Támogatás a Zalaegerszegi Tankerületi Központ részére a Zrínyi matematikai verseny lebonyolítására</t>
  </si>
  <si>
    <t xml:space="preserve"> - nyári táboroztatás</t>
  </si>
  <si>
    <t>Kulturális és ifjúsági feladatok</t>
  </si>
  <si>
    <t>084070 A fiatalok társ. integrációját segítő struktúra, szakmai szolgált. fejlesztése, működtetése</t>
  </si>
  <si>
    <t xml:space="preserve"> - ifjúsági rendezvények</t>
  </si>
  <si>
    <t xml:space="preserve"> - Zalaegerszegi Városi Diákönkormányzat </t>
  </si>
  <si>
    <t xml:space="preserve"> - Zalaegerszegi Városi Diáknapok</t>
  </si>
  <si>
    <t xml:space="preserve"> - Zalaegerszegi Egyetemisták Egyesülete</t>
  </si>
  <si>
    <t xml:space="preserve"> - Zalaegerszegi Ifjúsági Kerekasztal</t>
  </si>
  <si>
    <t xml:space="preserve"> - UNICEF gyermekbarát település pályázat</t>
  </si>
  <si>
    <t xml:space="preserve"> - felsőoktatási ösztöndíj és támogatás</t>
  </si>
  <si>
    <t>074052 Kábítószer megelőzés programja</t>
  </si>
  <si>
    <t xml:space="preserve"> - Zalaegerszegi Kábítószerügyi Egyeztető Fórum</t>
  </si>
  <si>
    <t>082091 Közművelődés - közösségi és társ. részvétel fejleszt.</t>
  </si>
  <si>
    <t xml:space="preserve"> - Magyar Kultúra Napja</t>
  </si>
  <si>
    <t xml:space="preserve"> - Fazekas-keramikus találkozó</t>
  </si>
  <si>
    <t xml:space="preserve"> - Egerszeg búcsú</t>
  </si>
  <si>
    <t xml:space="preserve"> - Betlehem működtetése</t>
  </si>
  <si>
    <t xml:space="preserve"> - Zalaegerszegi Rendezvényszervező Kft. működési támogatása</t>
  </si>
  <si>
    <t xml:space="preserve"> - Keresztury Emlékbizottság</t>
  </si>
  <si>
    <t xml:space="preserve"> - Gébárti Művésztelep</t>
  </si>
  <si>
    <t xml:space="preserve"> -  táncház mozgalom</t>
  </si>
  <si>
    <t xml:space="preserve"> -  Népi hang-színek kiadvány</t>
  </si>
  <si>
    <t xml:space="preserve">  - komolyzenei hétvége</t>
  </si>
  <si>
    <t>- Gála open</t>
  </si>
  <si>
    <t>- 10 éves sajtófotó kiállítás és album</t>
  </si>
  <si>
    <t>- Trianon 100. évforduló</t>
  </si>
  <si>
    <t xml:space="preserve"> - Zalaegerszegi Szimfonikus Zenekar támogatása</t>
  </si>
  <si>
    <t xml:space="preserve"> - '47-es Honvéd Zászlóalj Hagyományőrző Egyesület támogatása</t>
  </si>
  <si>
    <t xml:space="preserve"> - Andráshidai közösségi ház működtetés</t>
  </si>
  <si>
    <t>084031 Civil szervezetek műk. támogatása</t>
  </si>
  <si>
    <t xml:space="preserve"> - Zalai Civil Életért Közhasznú Egy.támogatása (Civil ház működtetése)</t>
  </si>
  <si>
    <t xml:space="preserve"> - Pannon Tükör kulturális folyóirat támogatása</t>
  </si>
  <si>
    <t xml:space="preserve"> - önálló kulturális egyesületek, együttesek</t>
  </si>
  <si>
    <t xml:space="preserve"> - peremkerületek támogatása</t>
  </si>
  <si>
    <t xml:space="preserve"> - Zalai Táncegyüttes Egyesület támogatás</t>
  </si>
  <si>
    <t xml:space="preserve"> - Zalegerszeg Kultúrájáért Közalapítvány támogatása</t>
  </si>
  <si>
    <t xml:space="preserve"> - Zalaegerszegi Honvéd Klub támogatása</t>
  </si>
  <si>
    <t xml:space="preserve"> - "Street Food" hétvége</t>
  </si>
  <si>
    <t xml:space="preserve"> - városi farsang megrendezése</t>
  </si>
  <si>
    <t>082030 Művészeti tevékenység</t>
  </si>
  <si>
    <t xml:space="preserve"> - művészeti ösztöndíjak</t>
  </si>
  <si>
    <t>Egészségügyi és humánigazgatási feladatok</t>
  </si>
  <si>
    <t>101211 Fogyatékosággal élők tartós bentlakásos ellátása</t>
  </si>
  <si>
    <t xml:space="preserve"> -Fogyatékos Otthon működtetése</t>
  </si>
  <si>
    <t xml:space="preserve"> - Idősek Otthona férőhely megváltás visszafizetése</t>
  </si>
  <si>
    <t>084010 Társ.tev., esélyegyenlőséggel, érdekképv., nemzetiségekkel, egyházakkal kapcs. felad.igazg.</t>
  </si>
  <si>
    <t xml:space="preserve"> - szociális és egészségügyi rendezvények szervezése</t>
  </si>
  <si>
    <t>072311 Fogorvosi alapellátás</t>
  </si>
  <si>
    <t xml:space="preserve"> - fogászati ügyelet támogatása</t>
  </si>
  <si>
    <t xml:space="preserve"> - Városi Idősügyi Tanács feladatai</t>
  </si>
  <si>
    <t xml:space="preserve"> -   egyéb szociális szolgáltatás</t>
  </si>
  <si>
    <t xml:space="preserve"> -  címpótlék a szociális intézményekben</t>
  </si>
  <si>
    <t xml:space="preserve"> -  egészségügyi és szociális ágazat pályázati kerete</t>
  </si>
  <si>
    <t>Sport feladatok</t>
  </si>
  <si>
    <t>081041 Versenysport- és utánpótlás-nevelési tevékenység</t>
  </si>
  <si>
    <t xml:space="preserve"> - ZTE FC Zrt.  és  Sportszolg. Kft.támogatása </t>
  </si>
  <si>
    <t xml:space="preserve"> - ZTE KK. Kft. támogatás </t>
  </si>
  <si>
    <t xml:space="preserve"> - Zeg. Jégsportjáért Alapítvány támogatása</t>
  </si>
  <si>
    <t>081043 Iskolai, diáksport-tevékenység és támogatása</t>
  </si>
  <si>
    <t xml:space="preserve"> - DO rendezvények lebonyolítása</t>
  </si>
  <si>
    <t xml:space="preserve"> - alapfokú versenyek rendezése és  támogatása</t>
  </si>
  <si>
    <t xml:space="preserve"> - országos DO. zalaegerszegi rendezvényei</t>
  </si>
  <si>
    <t xml:space="preserve"> - úszásoktatás támogatása</t>
  </si>
  <si>
    <t>081045 Szabadidősport-tevékenység és támogatása</t>
  </si>
  <si>
    <t xml:space="preserve"> - szabadidősport klubok támogatása</t>
  </si>
  <si>
    <t xml:space="preserve">  - Andráshidai SC működési és sportlétesítmény üzemeltetés tám.</t>
  </si>
  <si>
    <t xml:space="preserve"> - Botfai LSC sportlétesítmény üzemeltetés tám.</t>
  </si>
  <si>
    <t xml:space="preserve"> - Páterdomb LSC sportlétesítmény üzemeltetési tám.</t>
  </si>
  <si>
    <t xml:space="preserve"> - Csuti SK sportlétesítmény üzemeltetés támogatása</t>
  </si>
  <si>
    <t xml:space="preserve"> - Police Ola LSK sportlétesítmény bérleti díja</t>
  </si>
  <si>
    <t xml:space="preserve"> - Csácsbozsok NSE sportlét.bérleti díj</t>
  </si>
  <si>
    <t xml:space="preserve"> - Vorhotai LSC sportlétesítmény üzemeltetés támogatása</t>
  </si>
  <si>
    <t xml:space="preserve"> - sport- és humánigazgatási feladatok</t>
  </si>
  <si>
    <t>081041 Versenysport- és utánpótlás - nevelés tevékenység</t>
  </si>
  <si>
    <t xml:space="preserve"> - Zeg. Úszóklub támogatása</t>
  </si>
  <si>
    <t xml:space="preserve"> - Zeg. Triatlon Klub támogatása</t>
  </si>
  <si>
    <t xml:space="preserve"> - Zalaegerszegi Atlétikai Club támogatása</t>
  </si>
  <si>
    <t xml:space="preserve"> - Szűcs Valdó olimpiai felkészülés támogatása</t>
  </si>
  <si>
    <t xml:space="preserve"> - ZTE Teniszklub támogatása</t>
  </si>
  <si>
    <t xml:space="preserve"> - ZTE Röplabda Klub támogatása</t>
  </si>
  <si>
    <t xml:space="preserve"> - Zeg-i Súlyemelő Klub támogatása</t>
  </si>
  <si>
    <t xml:space="preserve"> - Zalaegerszegi Teke Klub támogatása</t>
  </si>
  <si>
    <t xml:space="preserve"> - ZTE ZÁÉV Teke Klub támogatása</t>
  </si>
  <si>
    <t xml:space="preserve"> - ZTE Női Kosárlabda Klub Kft.támogatása</t>
  </si>
  <si>
    <t xml:space="preserve"> - Zalaegerszegi Vívó Egylet támogatása</t>
  </si>
  <si>
    <t xml:space="preserve"> - Zalaegerszegi Kerékpáros SE támogatása</t>
  </si>
  <si>
    <t xml:space="preserve"> -  Mányoki Attila versenyeinek támogatása (ZKSE)</t>
  </si>
  <si>
    <t xml:space="preserve"> - Csuti SK támogatása</t>
  </si>
  <si>
    <t xml:space="preserve"> - Zalaegerszegi Judo SE támogatása</t>
  </si>
  <si>
    <t xml:space="preserve"> - ZTC (Tájfutó Club) támogatása</t>
  </si>
  <si>
    <t xml:space="preserve"> - ZKSE verseny rendezése</t>
  </si>
  <si>
    <t xml:space="preserve"> - Göcsej Kupa</t>
  </si>
  <si>
    <t xml:space="preserve"> - Horgászegyesületek Z.M. Szövetsége támogatása</t>
  </si>
  <si>
    <t xml:space="preserve"> - Őshonos halfauna fejlesztése Gébárton (pénzeszköz átadás a Horgászegyesületek Zala megyei Szövetsége részére) </t>
  </si>
  <si>
    <t>- Zala Megyei Sportszövetségek Egyesülése működési támogatása</t>
  </si>
  <si>
    <t>- Zalaegerszegi Torna Egylet 100 éves jubilemiumi évfordulója</t>
  </si>
  <si>
    <t xml:space="preserve"> - Restart sport fesztivál</t>
  </si>
  <si>
    <t xml:space="preserve"> - Zalaegerszegi Thai  Box   SE támogatása</t>
  </si>
  <si>
    <t xml:space="preserve"> - Toriki KHKE támogatása</t>
  </si>
  <si>
    <t xml:space="preserve"> - Zalaegerszegi SHOTOKAN Karate Egyesület támogatás</t>
  </si>
  <si>
    <t xml:space="preserve"> - Egerszegi Kézilabda Klub támogatása</t>
  </si>
  <si>
    <t xml:space="preserve"> - rendezvények támogatása</t>
  </si>
  <si>
    <t>081030 Sportlétes., edzőtáborok működtetése és fejlesztése</t>
  </si>
  <si>
    <t xml:space="preserve"> - Sportcsarnok és környéke igénybevétel miatti kiadás</t>
  </si>
  <si>
    <t xml:space="preserve"> - Sportlétesítmények üzemeltetésének támogatása</t>
  </si>
  <si>
    <t xml:space="preserve"> - Sportlétesítmények igénybevételének támogatása</t>
  </si>
  <si>
    <t>Humánigazgatási feladatok működési kiadásai:</t>
  </si>
  <si>
    <t>1./1.</t>
  </si>
  <si>
    <t xml:space="preserve">              Óvodák </t>
  </si>
  <si>
    <t>1./1./1</t>
  </si>
  <si>
    <t>"Nemzeti Ovi-Sport Program" című pályázaton való részvétel (Bazitai, Ságodi és Szivárvány téri tagóvodák) önrész és előkészítő munkák</t>
  </si>
  <si>
    <t>1./1./2</t>
  </si>
  <si>
    <t>Andráshidai Óvoda eszközfejlesztése</t>
  </si>
  <si>
    <t>1./1./3</t>
  </si>
  <si>
    <t>Landorhegyi óvoda eszközfejlesztés</t>
  </si>
  <si>
    <t>1./1./4</t>
  </si>
  <si>
    <t>Ságodi ovifoci pálya előkészítés</t>
  </si>
  <si>
    <t>1./1./5</t>
  </si>
  <si>
    <t>Bazitai ovifoci pálya előkészítés</t>
  </si>
  <si>
    <t>1./1./6</t>
  </si>
  <si>
    <t xml:space="preserve">Csácsi ovifoci  pálya előkészítés </t>
  </si>
  <si>
    <t>1./1./7</t>
  </si>
  <si>
    <t>Mikes Óvoda csoportszoba felújítás</t>
  </si>
  <si>
    <t>1./1./8</t>
  </si>
  <si>
    <t>Napsugár utcai valamint Űrhajós óvoda, bölcsőde intézményi fejlesztések</t>
  </si>
  <si>
    <t>1./1./9</t>
  </si>
  <si>
    <t>Óvodák felújítása</t>
  </si>
  <si>
    <t>1./2.</t>
  </si>
  <si>
    <t xml:space="preserve">             Általános iskolák</t>
  </si>
  <si>
    <t>1./2/1</t>
  </si>
  <si>
    <t>Öveges József Általános Iskola eszközfejlesztése</t>
  </si>
  <si>
    <t>1./2/2</t>
  </si>
  <si>
    <t>Ady Iskola intézményi fejlesztések támogatása</t>
  </si>
  <si>
    <t>1./2/3</t>
  </si>
  <si>
    <t>Petőfi Iskola  intézményi fejlesztések támogatása</t>
  </si>
  <si>
    <t>1./2/4</t>
  </si>
  <si>
    <t>Liszt Ferenc Ált. Iskola eszközbeszerzés</t>
  </si>
  <si>
    <t>1./2/5</t>
  </si>
  <si>
    <t>Liszt iskola Kertmozi elosztószekrény és kábelkiépítés</t>
  </si>
  <si>
    <t>1./2/6</t>
  </si>
  <si>
    <t>Liszt Ferenc Általásos Iskola támogatás - "Szupermenza" kialakítására</t>
  </si>
  <si>
    <t>1./2/7</t>
  </si>
  <si>
    <t>1./2/8</t>
  </si>
  <si>
    <t>1./3.</t>
  </si>
  <si>
    <r>
      <t xml:space="preserve">            </t>
    </r>
    <r>
      <rPr>
        <b/>
        <i/>
        <sz val="10"/>
        <rFont val="Times New Roman"/>
        <family val="1"/>
        <charset val="238"/>
      </rPr>
      <t>Középiskolák</t>
    </r>
  </si>
  <si>
    <t>1./3./1</t>
  </si>
  <si>
    <t>Csány László KSZK  informatikai eszközök beszerzése</t>
  </si>
  <si>
    <t>2./1</t>
  </si>
  <si>
    <t>Apáczai udvarán lévő kosárlabda pálya kialakítása, kapu építés, palánk felállítása</t>
  </si>
  <si>
    <t>2./2</t>
  </si>
  <si>
    <t>Doni emléktábla</t>
  </si>
  <si>
    <t xml:space="preserve">                 Egészségügyi és humánigazgatási feladatok</t>
  </si>
  <si>
    <t>3./1</t>
  </si>
  <si>
    <t>3./2</t>
  </si>
  <si>
    <t>Bölcsődék felújítása</t>
  </si>
  <si>
    <t xml:space="preserve">Andráshida utca 5. orvosi rendelő aljzatsüllyedés miatti balesetveszély elhárítás </t>
  </si>
  <si>
    <t>6.a/1</t>
  </si>
  <si>
    <t>Dózsa Iskola játszótér fejlesztés</t>
  </si>
  <si>
    <t>6.a/2</t>
  </si>
  <si>
    <t>Liszt Iskola szolgálati lakás ajtócsere</t>
  </si>
  <si>
    <t>6.a/3</t>
  </si>
  <si>
    <t>Zalaegerszegi Kölcsey Ferenc Gimnázium intézményi fejlesztés</t>
  </si>
  <si>
    <t>6.a/4</t>
  </si>
  <si>
    <t>Városi Hangverseny és Kiállítóterem beázásának megszüntetése</t>
  </si>
  <si>
    <t>6.a/5</t>
  </si>
  <si>
    <t>Keresztury ház külső fa korlát felújítása</t>
  </si>
  <si>
    <t>6.a/6</t>
  </si>
  <si>
    <t>Zalaegerszegi Egyesített Bölcsődék Tipegő Bölcsőde főzőkonyha felújítása</t>
  </si>
  <si>
    <t>6.a/7</t>
  </si>
  <si>
    <t>6.a/8</t>
  </si>
  <si>
    <t>Csácsbozsoki  multifunkciós pálya előkészítése</t>
  </si>
  <si>
    <t>6.a/9</t>
  </si>
  <si>
    <t>Teqball sporteszközök beszerzése és elhelyezése</t>
  </si>
  <si>
    <t xml:space="preserve"> - főépítészi feladatok</t>
  </si>
  <si>
    <t xml:space="preserve"> - területrendezési és egyéb eljárások költségei főépítészi feladatokhoz</t>
  </si>
  <si>
    <t xml:space="preserve"> - Tervtanács  működtetése</t>
  </si>
  <si>
    <t xml:space="preserve"> - belterületbe vonással kapcsolatos műk.kiadások</t>
  </si>
  <si>
    <t>Főépítészi feladatok működési kiadásai</t>
  </si>
  <si>
    <t>Beruházási kiadások:</t>
  </si>
  <si>
    <t>Rendezési tervek</t>
  </si>
  <si>
    <t>Helyi építészeti értékek védelme</t>
  </si>
  <si>
    <t>*</t>
  </si>
  <si>
    <t>Városüzemelési  feladatok:</t>
  </si>
  <si>
    <t>066010 Zöldterület-kezelés</t>
  </si>
  <si>
    <t xml:space="preserve"> - parkfenntartás</t>
  </si>
  <si>
    <t xml:space="preserve"> - VG.Kft. parkfenntartás szerződéses munkák</t>
  </si>
  <si>
    <t xml:space="preserve"> - belterületi fás szárú növények fenntartási munkái</t>
  </si>
  <si>
    <t xml:space="preserve"> - erdészeti szakirányítás</t>
  </si>
  <si>
    <t xml:space="preserve"> - fatelepítésekkel kapcsolatos működési kiadások</t>
  </si>
  <si>
    <t xml:space="preserve"> - önkormányzati tulajdonú erdők ápolása, fenntartása</t>
  </si>
  <si>
    <t xml:space="preserve"> - vegyszeres és termikus gyomirtás</t>
  </si>
  <si>
    <t xml:space="preserve"> -  Kertvárosi zöldfelület fejlesztés </t>
  </si>
  <si>
    <t xml:space="preserve"> - okos kukák üzemeltetése</t>
  </si>
  <si>
    <t xml:space="preserve"> - köztéri  padok és bútorok</t>
  </si>
  <si>
    <t xml:space="preserve"> - városrészek környezetrendezési feladataira</t>
  </si>
  <si>
    <t xml:space="preserve"> - játszóterek fenntartása, karbantartása</t>
  </si>
  <si>
    <t xml:space="preserve"> - játszótéri eszközök felülvizsgálata, tiltó táblák</t>
  </si>
  <si>
    <t xml:space="preserve"> - felnőtt játszótér üzemeltetése, karbantartása</t>
  </si>
  <si>
    <t xml:space="preserve"> - kutyafuttatók üzemeltetése, karbantartása</t>
  </si>
  <si>
    <t xml:space="preserve"> - Apáczai tér kutyafuttató karbantartás</t>
  </si>
  <si>
    <t xml:space="preserve"> - védett természeti értékek kezelése</t>
  </si>
  <si>
    <t xml:space="preserve"> - faállományok felmérése</t>
  </si>
  <si>
    <t xml:space="preserve"> - Kontakt Kft. szegélyezési munkák</t>
  </si>
  <si>
    <t xml:space="preserve"> - Kontakt Kft. tuskómarási munkálatok</t>
  </si>
  <si>
    <t xml:space="preserve"> - Kontakt Kft. graffiti eltávolítás</t>
  </si>
  <si>
    <t xml:space="preserve"> - Zöldterületi Stratégia feladatai</t>
  </si>
  <si>
    <t xml:space="preserve"> - Csónakázó tó rendbetétele</t>
  </si>
  <si>
    <t xml:space="preserve"> - Piac környezete fenntartási munkái</t>
  </si>
  <si>
    <t>045120 Út, autópálya építése</t>
  </si>
  <si>
    <t xml:space="preserve"> - helyi utak, hidak fenntartása</t>
  </si>
  <si>
    <t xml:space="preserve"> - forgalomtechnikai  és közlekedési feladatok</t>
  </si>
  <si>
    <t xml:space="preserve"> - kerékpárutak fenntartása </t>
  </si>
  <si>
    <t xml:space="preserve"> - Platán sor lokális útjavítás </t>
  </si>
  <si>
    <t xml:space="preserve"> - info tornyok üzemeltetése </t>
  </si>
  <si>
    <t xml:space="preserve"> - Free wifi rendszer üzemeltetése </t>
  </si>
  <si>
    <t xml:space="preserve"> - rendezvényhez kapcsolódó forgalomkorlátozások</t>
  </si>
  <si>
    <t xml:space="preserve"> - buszvárok javítása, karbantartása </t>
  </si>
  <si>
    <t xml:space="preserve"> - városban található buszöblök fenntartási munkálatai </t>
  </si>
  <si>
    <t xml:space="preserve"> - utastájékoztatási rendszer üzemeltetése</t>
  </si>
  <si>
    <t xml:space="preserve"> - önkormányzati utak szakági nyilvántartása</t>
  </si>
  <si>
    <t xml:space="preserve"> - lépcsők,sétányok, támfalak, korlátok javítása</t>
  </si>
  <si>
    <t xml:space="preserve"> - mezőgazdasági utak karbantartása, telekrendezés</t>
  </si>
  <si>
    <t xml:space="preserve"> - forgalmasabb közl-i útvonalak hőségben történő locsolása</t>
  </si>
  <si>
    <t xml:space="preserve"> - Páterdomb utcanévtáblák kihelyezése</t>
  </si>
  <si>
    <t>045140 Városi és elővárosi közúti személyszállítás</t>
  </si>
  <si>
    <t xml:space="preserve"> - helyi közösségi közlekedés veszteségének finanszírozása</t>
  </si>
  <si>
    <t>047410 Ár- és belvízvédelemmel összefüggő tevékenység</t>
  </si>
  <si>
    <t xml:space="preserve"> - vízkészlethasználati járulék</t>
  </si>
  <si>
    <t xml:space="preserve"> - ár és belvízvédelmi feladatok</t>
  </si>
  <si>
    <t xml:space="preserve"> - viharkárok elhárítása, vis major önrész</t>
  </si>
  <si>
    <t>063020 Víztermelés, -kezelés, -ellátás</t>
  </si>
  <si>
    <t xml:space="preserve"> - települési vízellátás</t>
  </si>
  <si>
    <t xml:space="preserve"> - árvízvédelmi létesítmények fenntartása</t>
  </si>
  <si>
    <t xml:space="preserve"> - nyílt csapadékvízelvezető létesítmények fenntartása</t>
  </si>
  <si>
    <t xml:space="preserve"> -  csapadékvízelvezető létesítmények helyreállítása</t>
  </si>
  <si>
    <t xml:space="preserve"> -  Avas árok vízszállító képességének fenntartása</t>
  </si>
  <si>
    <t xml:space="preserve"> -  zárt csapadékvízelvezető létesítmények tisztítása</t>
  </si>
  <si>
    <r>
      <t xml:space="preserve"> - csatorna</t>
    </r>
    <r>
      <rPr>
        <strike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diagnosztika</t>
    </r>
  </si>
  <si>
    <t xml:space="preserve"> - csapadékvízelvezető és árvízvédelmi létesítmények fenntartása,hibaelhárítás,sürgősségi feladatok</t>
  </si>
  <si>
    <t xml:space="preserve"> - csapadékvíz elvezető rendszer felmérése, szakági nyilvántartása</t>
  </si>
  <si>
    <t xml:space="preserve"> - csapadékvíz elvezető rendszer fennmaradási/üzemeltetési engedélyek</t>
  </si>
  <si>
    <t xml:space="preserve"> - Vízügyi hatóságokkal kapcs. feladatok</t>
  </si>
  <si>
    <r>
      <t xml:space="preserve"> - vízbázis</t>
    </r>
    <r>
      <rPr>
        <strike/>
        <sz val="10"/>
        <color indexed="53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védelemmel kapcsolatos feladatok</t>
    </r>
  </si>
  <si>
    <t xml:space="preserve"> - vízbázisok védőövezeteinek ingatlannyilvántartásba történő bejegyzése</t>
  </si>
  <si>
    <t>- viziközművek területigénylésével kapcsolatos költségek</t>
  </si>
  <si>
    <t xml:space="preserve"> - Északi Ipari Parkban létesült záportározó üzemeltetése</t>
  </si>
  <si>
    <t xml:space="preserve"> - Napsugár Tagbölcsőde csőtörés miatti helyreállítás</t>
  </si>
  <si>
    <t>051030 Nem veszélyes hulladék vegyes begyűjtése, szállítása, átrakása</t>
  </si>
  <si>
    <t xml:space="preserve"> - köztéri hulladéktárolók pótlása</t>
  </si>
  <si>
    <t xml:space="preserve"> - egyéb város és községgazd.</t>
  </si>
  <si>
    <t xml:space="preserve"> - Városüzemelési fa-hoz kapcsolódó közfoglalkoztatás</t>
  </si>
  <si>
    <t xml:space="preserve">  -  környezetvéd.alap feltöltése</t>
  </si>
  <si>
    <t xml:space="preserve"> - Környezetvédelmi Jeles napok rendezvény lebonyolítása</t>
  </si>
  <si>
    <t xml:space="preserve"> - utak, járdák,lépcsők, támfalak hibaelhárítás, sürgősségi feladatok</t>
  </si>
  <si>
    <t xml:space="preserve"> - Kontakt Kft. köztéri szobrok tisztítása</t>
  </si>
  <si>
    <t xml:space="preserve"> - Kontakt Kft.  speciális szennyeződésmentesítés</t>
  </si>
  <si>
    <t xml:space="preserve"> - Kontakt Kft. köztéri bútorok mosása, fertőtlenítése</t>
  </si>
  <si>
    <t xml:space="preserve"> - köztisztaság  szerződéses munkák</t>
  </si>
  <si>
    <t xml:space="preserve"> - VG Kft. köztisztaság szerződéses munkák</t>
  </si>
  <si>
    <t xml:space="preserve"> - hóeltakarítás, sikosságmentesítés</t>
  </si>
  <si>
    <t xml:space="preserve"> - közfoglalkoztatás anyag- és eszközigény biztosítása</t>
  </si>
  <si>
    <t xml:space="preserve"> - nyilvános illemhely üzemeltetése</t>
  </si>
  <si>
    <t xml:space="preserve"> - köztéri szobrok, emlékművek helyreállítása, javítása</t>
  </si>
  <si>
    <t xml:space="preserve"> - megvalósult projektekhez kapcsolódó üzemeltetési és igénybevételi díj</t>
  </si>
  <si>
    <t xml:space="preserve"> - szirénák karbantartása, felülvizsgálata</t>
  </si>
  <si>
    <t xml:space="preserve"> - elektromos töltők üzemeltetése</t>
  </si>
  <si>
    <t xml:space="preserve"> - ELENA program bérek fedezetének átadása</t>
  </si>
  <si>
    <t xml:space="preserve"> - közterületek, önk-i ingatlanok zöldfelület gazdálkodása</t>
  </si>
  <si>
    <t xml:space="preserve"> - ZG 3 termálkút üzemeltetése</t>
  </si>
  <si>
    <t xml:space="preserve"> -  Fürdő létesítményekhez kapcsolódó kisértékű eszközök beszerzése</t>
  </si>
  <si>
    <t>013320 Köztemető-fenntartás és működtetés</t>
  </si>
  <si>
    <t xml:space="preserve"> -köztemető fenntartás és temetői létesítmények  használati díja</t>
  </si>
  <si>
    <t xml:space="preserve"> - védett síremlékek rendbetétele</t>
  </si>
  <si>
    <t>- köztemetőben lévő hadisírok rendbetétele</t>
  </si>
  <si>
    <t>064010 Közvilágítás</t>
  </si>
  <si>
    <t xml:space="preserve"> - villamosenergia vásárlás</t>
  </si>
  <si>
    <t xml:space="preserve"> - liberalizált energiapiacra való kilépés műszaki előkész.</t>
  </si>
  <si>
    <t xml:space="preserve"> - közvilágítási hálózat karbantartása</t>
  </si>
  <si>
    <t xml:space="preserve"> - közvilágítási feladatok előkészítő munkái</t>
  </si>
  <si>
    <t xml:space="preserve"> - köztéri műalkotások, épületek megvilágításának karbantartása </t>
  </si>
  <si>
    <t>042180 Állat-egészségügy</t>
  </si>
  <si>
    <t xml:space="preserve"> - gyepmesteri tev. ellátásához eszköz és munkaruha biztosítása</t>
  </si>
  <si>
    <t xml:space="preserve"> - parkolási közszolgáltatási tevékenység ellátásával kapcsolatos költségek</t>
  </si>
  <si>
    <t xml:space="preserve"> - Buslakpusztai bezárt hulladéklerakó szennyezés lokalizációja létesítmény üzemeltetés</t>
  </si>
  <si>
    <t>052020 Szennyvíz gyűjtése, tisztítása, elhelyezése</t>
  </si>
  <si>
    <t xml:space="preserve"> -  folyékony hulladék szállítás</t>
  </si>
  <si>
    <t>Városüzemelési működési kiadásai összesen:</t>
  </si>
  <si>
    <t>Csatornarendszer (szennyvíz-csapadékvíz)</t>
  </si>
  <si>
    <t>Lokális vízelvezetési problémák kezelése Zalabesenyőben</t>
  </si>
  <si>
    <t>1./2</t>
  </si>
  <si>
    <t>Hegyalja utca 11-13 parkoló vízelvezetése</t>
  </si>
  <si>
    <t>1./3</t>
  </si>
  <si>
    <t>Lokális csapadékvízelvezetési munkák elvégzése</t>
  </si>
  <si>
    <t>1./4</t>
  </si>
  <si>
    <t>Avas árok gázvezeték kiváltás</t>
  </si>
  <si>
    <t>1./5</t>
  </si>
  <si>
    <t>Babits u. 2. vízmegállás megszüntetése</t>
  </si>
  <si>
    <t>1./6</t>
  </si>
  <si>
    <t>E-közmű adatszolgáltatás</t>
  </si>
  <si>
    <t>1./7</t>
  </si>
  <si>
    <t>Erdész u. 76. csapadékcsatorna rekonstrukció</t>
  </si>
  <si>
    <t>1./8</t>
  </si>
  <si>
    <t>Platán sor 9. körüli csapadékcsatorna rekonstrukció</t>
  </si>
  <si>
    <t>Ady utca csapadékvízátkötés</t>
  </si>
  <si>
    <t>1.a/3</t>
  </si>
  <si>
    <t>Ságodi patak rendezése</t>
  </si>
  <si>
    <t>1.a/4</t>
  </si>
  <si>
    <t>Csapadékvízelvezetéssel, vízrendezésekkel kapcsolatos tervezési díjak</t>
  </si>
  <si>
    <t>1.a/5</t>
  </si>
  <si>
    <t>Lokális csapadékvízelvezető létesítmények felújítása</t>
  </si>
  <si>
    <t>Ivóvíz beruházások</t>
  </si>
  <si>
    <t xml:space="preserve">Közvilágítás és egyéb közmű </t>
  </si>
  <si>
    <t>Lukahegyi közvilágítás fejlesztése</t>
  </si>
  <si>
    <t xml:space="preserve">Gálafej közvilágítás fejlesztés </t>
  </si>
  <si>
    <t>3./3</t>
  </si>
  <si>
    <t>Közvilágítás fejlesztések a Csácsi városrészben</t>
  </si>
  <si>
    <t>3./4</t>
  </si>
  <si>
    <t>Cserlap közvilágítás fejlesztés</t>
  </si>
  <si>
    <t>3./5</t>
  </si>
  <si>
    <t>Rozmaring u. közvilágítás fejlesztése</t>
  </si>
  <si>
    <t>3./6</t>
  </si>
  <si>
    <t>Fenyvesalja u. lámpafelhelyezések</t>
  </si>
  <si>
    <t>3.a/1</t>
  </si>
  <si>
    <t>Közvilágítás fejlesztés</t>
  </si>
  <si>
    <t>3.a/2</t>
  </si>
  <si>
    <t>Gazdaság u.-Andráshida u. között közvilágítás</t>
  </si>
  <si>
    <t>3.a/3</t>
  </si>
  <si>
    <t xml:space="preserve">Villanyoszlopok felállítása (Apáczai tér 5., ünnepi megvilágítás) </t>
  </si>
  <si>
    <t>3.a/4</t>
  </si>
  <si>
    <t>Gógánhegyi közvilágítás bővítés</t>
  </si>
  <si>
    <t xml:space="preserve">Út-járda parkoló </t>
  </si>
  <si>
    <t>4./1</t>
  </si>
  <si>
    <t xml:space="preserve">Körmendi úton (virágbolt előtt, Gébárti úti kereszteződésben) sárga villogó lámpa elhelyezése gyalogátkelőhelyeken </t>
  </si>
  <si>
    <t>4./2</t>
  </si>
  <si>
    <t xml:space="preserve">Mikes Kelemen utca 8. térköves parkolóépítés </t>
  </si>
  <si>
    <t>4./3</t>
  </si>
  <si>
    <t xml:space="preserve">Hajnalcsillag utca és Holdfény utca zúzalékos javítása </t>
  </si>
  <si>
    <t>4./4</t>
  </si>
  <si>
    <t xml:space="preserve">Hegyközség utca járdafelújítás </t>
  </si>
  <si>
    <t>4./5</t>
  </si>
  <si>
    <t xml:space="preserve">Új gyalogátkelőhely megvalósítása Nyíres utca - Iskola utca között sárga villogó lámpával </t>
  </si>
  <si>
    <t>4./6</t>
  </si>
  <si>
    <t xml:space="preserve">Járda kiépítése Rét utca - Gébárti út-i buszmegálló között </t>
  </si>
  <si>
    <t>4./7</t>
  </si>
  <si>
    <t>Kaszaházi sétány rendezése</t>
  </si>
  <si>
    <t>4./8</t>
  </si>
  <si>
    <t>Zala utca parkoló építése</t>
  </si>
  <si>
    <t>4./9</t>
  </si>
  <si>
    <t>Ságodi út járda rehabilitációja I. ütem (közösségi ház mentén)</t>
  </si>
  <si>
    <t>4./10</t>
  </si>
  <si>
    <t>4./11</t>
  </si>
  <si>
    <t>Zala hídtól - Király utcáig járda építés I. ütem</t>
  </si>
  <si>
    <t>4./12</t>
  </si>
  <si>
    <t>Nekeresdi út I. ütem aszfaltozása</t>
  </si>
  <si>
    <t>4./13</t>
  </si>
  <si>
    <t xml:space="preserve">Kerékpárút (Nekeresd-Egervári út elágazójánál a rézsű megcsúszásának a kezelése) </t>
  </si>
  <si>
    <t>4./14</t>
  </si>
  <si>
    <t>Ady Endre utca út-és közműfelújítás</t>
  </si>
  <si>
    <t>4./15</t>
  </si>
  <si>
    <t>Petőfi Sándor köz felújítás és bővítés I. ütem</t>
  </si>
  <si>
    <t>4./16</t>
  </si>
  <si>
    <t>Olai templom előtti tér befejezése</t>
  </si>
  <si>
    <t>4./17</t>
  </si>
  <si>
    <r>
      <t xml:space="preserve">Berzsenyi u. 13. parkoló </t>
    </r>
    <r>
      <rPr>
        <sz val="10"/>
        <rFont val="Times New Roman"/>
        <family val="1"/>
        <charset val="238"/>
      </rPr>
      <t>építése</t>
    </r>
  </si>
  <si>
    <t>4./18</t>
  </si>
  <si>
    <t>Stadion utca 4-6 járda, lépcső felújítás, lassító</t>
  </si>
  <si>
    <t>4./19</t>
  </si>
  <si>
    <t>Ola utca 14-16 volt játszótér helyett parkoló építése</t>
  </si>
  <si>
    <t>4./20</t>
  </si>
  <si>
    <t>4./21</t>
  </si>
  <si>
    <t>Berzsenyi parkoló, járda és út felújítás a gyógyszertár előtt</t>
  </si>
  <si>
    <t>4./22</t>
  </si>
  <si>
    <t>Erdődy-Hűvös Kastély park - Botfa utca közötti útszakasz felújítása</t>
  </si>
  <si>
    <t>4./23</t>
  </si>
  <si>
    <t>Járdafelújítások Zalabesenyőben</t>
  </si>
  <si>
    <t>4./24</t>
  </si>
  <si>
    <t>Parkoló kialakítása a Baross G. utcában</t>
  </si>
  <si>
    <t>4./25</t>
  </si>
  <si>
    <t>Arany János utca járdafelújítások</t>
  </si>
  <si>
    <t>4./26</t>
  </si>
  <si>
    <t>4./27</t>
  </si>
  <si>
    <t>Batsányi János utca járdafelújítás II. ütem</t>
  </si>
  <si>
    <t>4./28</t>
  </si>
  <si>
    <t>Jókai Mór utca balesetveszélyes járda felújítás</t>
  </si>
  <si>
    <t>4./29</t>
  </si>
  <si>
    <t xml:space="preserve">Arany J. - Mikes u. okoszebra létesítése </t>
  </si>
  <si>
    <t>4./30</t>
  </si>
  <si>
    <t xml:space="preserve">Landorhegyi út 18. társasház parkolóbővítés </t>
  </si>
  <si>
    <t>4./31</t>
  </si>
  <si>
    <t>Útfejlesztések Gálafejen</t>
  </si>
  <si>
    <t>4./32</t>
  </si>
  <si>
    <t>Landorhegyi út 34. parkolóhelybővítés</t>
  </si>
  <si>
    <t>4./33</t>
  </si>
  <si>
    <t>Landorhegyi út - Pais Dezső utca parkolókialakítás</t>
  </si>
  <si>
    <t>4./34</t>
  </si>
  <si>
    <t>Gyümölcsös utca szélesítés</t>
  </si>
  <si>
    <t>4./35</t>
  </si>
  <si>
    <t>Buszmegálló fejlesztése (Bazita és Ebergény)</t>
  </si>
  <si>
    <t>4./36</t>
  </si>
  <si>
    <t>Becsali út alsó szakasz járdarekonstrukció</t>
  </si>
  <si>
    <t>4./37</t>
  </si>
  <si>
    <t xml:space="preserve">Pais Dezső utcában parkolóhelyek kialakítása </t>
  </si>
  <si>
    <t>4./38</t>
  </si>
  <si>
    <t>Gyalogátkelő létesítése a Gasparich utcában I. ütem</t>
  </si>
  <si>
    <t>4./39</t>
  </si>
  <si>
    <t>Lankás utca Zengő utcától keletre eső szakaszának felújítása</t>
  </si>
  <si>
    <t>4./40</t>
  </si>
  <si>
    <t>Kikelet u. fejlesztése</t>
  </si>
  <si>
    <t>4./41</t>
  </si>
  <si>
    <t>Járdaépítés a Sas utcában</t>
  </si>
  <si>
    <t>4./42</t>
  </si>
  <si>
    <t>Alsójánkahegyi úton forgalomlassító küszöb megépítése</t>
  </si>
  <si>
    <t>4./43</t>
  </si>
  <si>
    <t>Szent László utcai óvoda belső udvarának járda felújítása</t>
  </si>
  <si>
    <t>4./44</t>
  </si>
  <si>
    <t>Bartók Béla utca 29. előtti járda felújítása</t>
  </si>
  <si>
    <t>4./45</t>
  </si>
  <si>
    <t>Járdafelújítás az Árpád utcában</t>
  </si>
  <si>
    <t>4./46</t>
  </si>
  <si>
    <t>Kertvárosi járda rekonstrukció</t>
  </si>
  <si>
    <t>4./47</t>
  </si>
  <si>
    <t>Erdész utcai buszmegálló  felújítás</t>
  </si>
  <si>
    <t>4./48</t>
  </si>
  <si>
    <t>Átalszegett utca 9-11. környezetében található parkoló rekonstrukciója</t>
  </si>
  <si>
    <t>4./49</t>
  </si>
  <si>
    <t xml:space="preserve"> Kertvárosi  utak, járdák felújítása,  parkoló </t>
  </si>
  <si>
    <t>4./50</t>
  </si>
  <si>
    <t>Nemzetőr utca parkoló szegély II. ütemének cseréje</t>
  </si>
  <si>
    <t>4./51</t>
  </si>
  <si>
    <t>Peteli hegyi út felújítása I. ütem</t>
  </si>
  <si>
    <t>4./52</t>
  </si>
  <si>
    <t xml:space="preserve">Bozsoki hegyi út felújítása </t>
  </si>
  <si>
    <t xml:space="preserve">Csácsi hegyi Kápolna melletti út felújítása </t>
  </si>
  <si>
    <t xml:space="preserve">Csácsi – Damjanich utca buszváró csere </t>
  </si>
  <si>
    <t>Bozsok, Szabadság utca járda felújítás II.ütem</t>
  </si>
  <si>
    <t xml:space="preserve">Berzsenyi utca 26., 28-30. társasházakat összekötő járda felújítása </t>
  </si>
  <si>
    <t>Nyerges utca járdafelújítás I. ütem</t>
  </si>
  <si>
    <t>Platán sor burkolat felújítás</t>
  </si>
  <si>
    <t>Szekeresvölgyi u. aszfaltozása III. ütem</t>
  </si>
  <si>
    <t>Cimpóhegyi út aszfaltozása III. ütem</t>
  </si>
  <si>
    <t>Stadion 2.-buszpályaudvar közötti járda építése</t>
  </si>
  <si>
    <t>Platán sor járdafelújítások I. ütem</t>
  </si>
  <si>
    <t>Átalszegett utca 25. járda felújítás</t>
  </si>
  <si>
    <t xml:space="preserve">Kisfaludy S. 17-19. szám - OTP - előtti járdafelújítás és csapadékvíz elvezetés </t>
  </si>
  <si>
    <t>Városban lévő lépcsők felújítása</t>
  </si>
  <si>
    <t>Magánerős útépítések</t>
  </si>
  <si>
    <t>Közműberuházással érintett - közlekedési területet nem érintő - közterületek helyreállítása</t>
  </si>
  <si>
    <t>Sebességmérő készülékek javítása, cseréje</t>
  </si>
  <si>
    <t xml:space="preserve">Szegélycserék a város területén </t>
  </si>
  <si>
    <t>4.a/1</t>
  </si>
  <si>
    <t>Belváros járda-parkoló felújítás</t>
  </si>
  <si>
    <t>4.a/2</t>
  </si>
  <si>
    <t xml:space="preserve">Landorhegyi u. 14. sz. társasház melletti járda és lépcsőfelújítás II. ütem </t>
  </si>
  <si>
    <t>4.a/3</t>
  </si>
  <si>
    <t>Ősz utca  garázssor aszfaltozása</t>
  </si>
  <si>
    <t>4.a/4</t>
  </si>
  <si>
    <t>Göcseji út 45. környezetének rekonstrukciója</t>
  </si>
  <si>
    <t>4.a/5</t>
  </si>
  <si>
    <t>Buszvárók telepítése</t>
  </si>
  <si>
    <t>4.a/6</t>
  </si>
  <si>
    <t>Gyalogátkelő létesítése Hegyi u. -Posta u.</t>
  </si>
  <si>
    <t>4.a/7</t>
  </si>
  <si>
    <t>Gógánvölgyi u. úthelyreállítás</t>
  </si>
  <si>
    <t>4.a/8</t>
  </si>
  <si>
    <t>KEHOP ivóvíz projekthez kapcsolódó úthelyreállítás</t>
  </si>
  <si>
    <t>Ola utca a járdafelújítás (Nefelejcs és a Szilágyi utca között + Kölcsey 1.előtt)</t>
  </si>
  <si>
    <t>Tervek készítése, műszaki ellenőrzések és egyéb hatósági díjak</t>
  </si>
  <si>
    <t>Babits-Hegyalja sarok parkoló kialakítás</t>
  </si>
  <si>
    <t>Parkok, terek, játszóterek</t>
  </si>
  <si>
    <t>5./1</t>
  </si>
  <si>
    <t>Béke ligeti iskola játszótér fejlesztés</t>
  </si>
  <si>
    <t>5./2</t>
  </si>
  <si>
    <t xml:space="preserve">Erdődy-Hűvös Kastély parkjának megújítása </t>
  </si>
  <si>
    <t>5./3</t>
  </si>
  <si>
    <t>Páterdombi sportpálya környezetének fejlesztése</t>
  </si>
  <si>
    <t>5./4</t>
  </si>
  <si>
    <t>Hegyi út játszótér fejlesztés</t>
  </si>
  <si>
    <t>5./5</t>
  </si>
  <si>
    <t>Vizslapark kiegészítő fejlesztése</t>
  </si>
  <si>
    <t>5./6</t>
  </si>
  <si>
    <t>Gálafeji játszótér  bővítés</t>
  </si>
  <si>
    <t>5./7</t>
  </si>
  <si>
    <t>30 db fa ültetése az Olai városrészben</t>
  </si>
  <si>
    <t>5./8</t>
  </si>
  <si>
    <t>Fedett kiülő létesítése a Pais Dezső utcában</t>
  </si>
  <si>
    <t>5./9</t>
  </si>
  <si>
    <r>
      <t xml:space="preserve">Erkel Ferenc utca játszótér </t>
    </r>
    <r>
      <rPr>
        <strike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létesítése</t>
    </r>
  </si>
  <si>
    <t>5./10</t>
  </si>
  <si>
    <t xml:space="preserve">Játszóterek felújítása a Kertvárosban </t>
  </si>
  <si>
    <t>5./11</t>
  </si>
  <si>
    <t>Hidegkúti forrás kiépítése</t>
  </si>
  <si>
    <t>5./12</t>
  </si>
  <si>
    <t>Bajcsy-Zsilinszky tér rekonstrukciója, országzászló elhelyezése</t>
  </si>
  <si>
    <t>5./13</t>
  </si>
  <si>
    <t>5./14</t>
  </si>
  <si>
    <t>Németh J. fürdősétány szobrának felújítása</t>
  </si>
  <si>
    <t>5.a/1</t>
  </si>
  <si>
    <t>Önkormányzati erdő ápolási és megújítási feladatok</t>
  </si>
  <si>
    <t>5.a/2</t>
  </si>
  <si>
    <t>I-II. világháborús emlékmű áthelyezése és parkrendezés</t>
  </si>
  <si>
    <t>5.a/3</t>
  </si>
  <si>
    <t>Holocaust emlékmű rekonstrukció</t>
  </si>
  <si>
    <t>5.a/4</t>
  </si>
  <si>
    <t>A Tanulókért és az Iskoláért Ady Alapítvány támogatása játszótérfejlesztéshez</t>
  </si>
  <si>
    <t>5.a/5</t>
  </si>
  <si>
    <t>Bóbita játszótér, kerítés és ütéscsillapító burkolat csere</t>
  </si>
  <si>
    <t>Hulladékgazdálkodás</t>
  </si>
  <si>
    <t>Köztemető</t>
  </si>
  <si>
    <t>8./2.</t>
  </si>
  <si>
    <t>Temetői fejlesztések</t>
  </si>
  <si>
    <t>Egyéb feladatok</t>
  </si>
  <si>
    <t>9./1</t>
  </si>
  <si>
    <t>Evangélikus egyházi fejlesztések támogatása</t>
  </si>
  <si>
    <t>9./2</t>
  </si>
  <si>
    <t>Parkolóórák telepítése</t>
  </si>
  <si>
    <t>9.a/1</t>
  </si>
  <si>
    <t>Termálmedence felújítása</t>
  </si>
  <si>
    <t>9.a/2</t>
  </si>
  <si>
    <t>Gébárti tó fejlesztési feladatai VÜCS</t>
  </si>
  <si>
    <t>9.a/3</t>
  </si>
  <si>
    <t>Vis maior pályázatokhoz önrész</t>
  </si>
  <si>
    <t>9.a/4</t>
  </si>
  <si>
    <t xml:space="preserve">Turisztikai táblák kihelyezése Páterdombon, Botfán, Zalabesenyőben </t>
  </si>
  <si>
    <t>9.a/5</t>
  </si>
  <si>
    <t>Információs táblák pótlása, kihelyezése</t>
  </si>
  <si>
    <t>9.a/6</t>
  </si>
  <si>
    <t>Szabadság emlékmű felújításának előkészítése</t>
  </si>
  <si>
    <t>9.a/7</t>
  </si>
  <si>
    <t>Széna tér zártkerti fejlesztése</t>
  </si>
  <si>
    <t>Városüzemelési kiadások összesen:</t>
  </si>
  <si>
    <t>Városépítészeti feladatok:</t>
  </si>
  <si>
    <t xml:space="preserve"> - magasépítési feladatokhoz kapcsolódó működési kiadások</t>
  </si>
  <si>
    <t xml:space="preserve"> - egyéb létesítményi működési kiadások</t>
  </si>
  <si>
    <t xml:space="preserve"> - út- és közműépítési feladatokhoz kapcsolódó működési kiadások</t>
  </si>
  <si>
    <t xml:space="preserve"> - stratégiai fejlesztési feladatokhoz kapcsolódó működési kiadások</t>
  </si>
  <si>
    <t xml:space="preserve"> - beruházási feladatokhoz kapcsolódó működési kiadások</t>
  </si>
  <si>
    <t xml:space="preserve"> - volt Pais iskola leválasztott fűtési szakasz feltárási munkái</t>
  </si>
  <si>
    <t xml:space="preserve"> - lakossági, civil kezdeményezések támogatása </t>
  </si>
  <si>
    <t>Városépítészet működési kiadások:</t>
  </si>
  <si>
    <t xml:space="preserve"> Beruházási kiadások </t>
  </si>
  <si>
    <t xml:space="preserve">Szennyvíz felújítások használati díj terhére </t>
  </si>
  <si>
    <t>Mártírok útja-Arany J.u. átkötő út víziközmű fejlesztés</t>
  </si>
  <si>
    <t>Falumúzeum szennyvízbekötése (telekhatáron belül 1 m-re)</t>
  </si>
  <si>
    <t>Kispálhegyi utca szennyvízelvezetés</t>
  </si>
  <si>
    <t>Szennyvízfelújítások a Társulás által átadott használati díj terhére</t>
  </si>
  <si>
    <t>15465/19 hrsz-ú ingatlan szennyvízbekötése</t>
  </si>
  <si>
    <t>2./1.</t>
  </si>
  <si>
    <t xml:space="preserve">Ivóvíz felújítások használati díj terhére </t>
  </si>
  <si>
    <t>2.a/1</t>
  </si>
  <si>
    <t xml:space="preserve"> Zalaegerszeg keleti vízbázisról ellátott települések ívóvízminőségének javítása KEHOP projekt</t>
  </si>
  <si>
    <t>2.a/2</t>
  </si>
  <si>
    <t>Zalaegerszeg nyugati vízbázisról ellátott települések ívóvízminőségének javítása KEHOP projekt</t>
  </si>
  <si>
    <t>Közvilágítás és egyéb közmű beruházások</t>
  </si>
  <si>
    <t>Karácsonyi díszkivilágítás beszerzése az Olai városrészben</t>
  </si>
  <si>
    <t>Díszvilágítás elromlott sorok cseréje, fejlesztése</t>
  </si>
  <si>
    <t>Út-járda parkoló beruházások</t>
  </si>
  <si>
    <t>Perlaki utca közműfejlesztés utáni úthelyreállítás</t>
  </si>
  <si>
    <t>Madách Imre utcában parkoló aszfaltozása</t>
  </si>
  <si>
    <t>Köztársaság útja 85-89. mögötti (Mókus utca folytatása) út és parkoló rekonstrukciója</t>
  </si>
  <si>
    <t>Kinizsi u. 99-105. környezetében parkoló kialakítása</t>
  </si>
  <si>
    <t>Baross G.utcában közvilágítási oszlop áthelyezése</t>
  </si>
  <si>
    <t>Eötvös J.Iskola környezetében parkoló és K+R várakozóhely kialakítása</t>
  </si>
  <si>
    <t>GFT-hez kapcsolódó út- és járda rekonstrukció</t>
  </si>
  <si>
    <t>Utakhoz kapcsolódó előtervezések</t>
  </si>
  <si>
    <t>Gyöngyvirág utca előtervezések</t>
  </si>
  <si>
    <t>Madách utcai parkolóépítés 4876/2 hrsz-ú ingatlanon</t>
  </si>
  <si>
    <t>Fejlesztésekhez kapcsolódó útfelújítások</t>
  </si>
  <si>
    <t>Szenterzsébethegy - közösségi ház és kert fejlesztése</t>
  </si>
  <si>
    <t xml:space="preserve">Szenterzsébethegyi közösségi tér </t>
  </si>
  <si>
    <t>Kodály kispark fejlesztése</t>
  </si>
  <si>
    <t>Kiemelt projektek</t>
  </si>
  <si>
    <t>Előtervezések</t>
  </si>
  <si>
    <t>Előtervezések út- és közműépítési feladatokhoz</t>
  </si>
  <si>
    <t>Előtervezések magasépítési feladatokhoz</t>
  </si>
  <si>
    <t>7.a./1</t>
  </si>
  <si>
    <t>Buslakpuszta hulladékdepó bővítéséhez területszerzés, kisajátítás</t>
  </si>
  <si>
    <t>9./1.</t>
  </si>
  <si>
    <t>Egyéb önkormányzati lakások felújítása lakásalap</t>
  </si>
  <si>
    <t>Vorhota, közösségi tér, és ház fejlesztés</t>
  </si>
  <si>
    <t>9./3</t>
  </si>
  <si>
    <t>Közösségi Ház fejlesztése Botfán</t>
  </si>
  <si>
    <t>9./4</t>
  </si>
  <si>
    <t>9./5</t>
  </si>
  <si>
    <t>9./6</t>
  </si>
  <si>
    <t>Rákóczi szobor elhelyezése és téralakítás</t>
  </si>
  <si>
    <t>Termálmedence felújítása (felnőtt medence)</t>
  </si>
  <si>
    <t>Önkormányzat tulajdonában lévő mintegy 22 db bérlakás   teljes vagy részleges  felújítása, korszerűsítése  (Lakásalap)</t>
  </si>
  <si>
    <t>Színész lakások balesetveszélyes erkélyek felújítása Lakásalapból</t>
  </si>
  <si>
    <t>Nyugdíjas otthonházi lakások felújítása</t>
  </si>
  <si>
    <t>Vorhota, közösségi ház fejlesztés</t>
  </si>
  <si>
    <t>Ságod, közösségi ház padlástér hőszigetelés</t>
  </si>
  <si>
    <t>Aquacity felújítások</t>
  </si>
  <si>
    <t>9.a/8</t>
  </si>
  <si>
    <t>Vásárcsarnok szabadtéri elárusító pavilonok beázásának megszüntetése</t>
  </si>
  <si>
    <t>9.a/9</t>
  </si>
  <si>
    <t>Ebergényi Közösségi tér fejlesztése</t>
  </si>
  <si>
    <t>9.a/10</t>
  </si>
  <si>
    <t>Kossuth L. u. 45. (Városi TV épülete) fűtés</t>
  </si>
  <si>
    <t>9.a/11</t>
  </si>
  <si>
    <t>Elektromos vagy plug-in hybrid gépjárművek beszerzése pályázati támogatással</t>
  </si>
  <si>
    <t>Stratégiai feladatok</t>
  </si>
  <si>
    <t>10./1.</t>
  </si>
  <si>
    <t>TOP Projektek</t>
  </si>
  <si>
    <t>10./1.a./1</t>
  </si>
  <si>
    <t>TOP-6.2.1-15- ZL1-2016-00001 Andráshidai Óvoda éptése</t>
  </si>
  <si>
    <t>10./1.a./2</t>
  </si>
  <si>
    <t>10./1.a./3</t>
  </si>
  <si>
    <t>10./1.a./4</t>
  </si>
  <si>
    <t>10./1.a./5</t>
  </si>
  <si>
    <t>10./1.a./6</t>
  </si>
  <si>
    <t>10./1.a./7</t>
  </si>
  <si>
    <t>10./1.a./8</t>
  </si>
  <si>
    <t>10./1.a./9</t>
  </si>
  <si>
    <t>10./1.a./10</t>
  </si>
  <si>
    <t>TOP-6.1.3 -15-ZL1-2016-00001 Helyi termelői és kézműves piac kialakítása Zalaegerszegen ( nettó!)</t>
  </si>
  <si>
    <t>10./1.a./11</t>
  </si>
  <si>
    <t>10./1.a./12</t>
  </si>
  <si>
    <t>10./1.a./13</t>
  </si>
  <si>
    <t>10./1.a./14</t>
  </si>
  <si>
    <t>10./1.a./15</t>
  </si>
  <si>
    <t>10./1.a./16</t>
  </si>
  <si>
    <t>10./1.a./17</t>
  </si>
  <si>
    <t>10./1.a./18</t>
  </si>
  <si>
    <t>10./1.a./19</t>
  </si>
  <si>
    <t>10./1.a./20</t>
  </si>
  <si>
    <t>TOP 6.1.4-16-ZL1-2017-00001 Alsóerdő komplex turisztikai fejlesztése</t>
  </si>
  <si>
    <t>10./1.a./21</t>
  </si>
  <si>
    <t xml:space="preserve"> TOP-6.1.1-16-ZL1-2017-00001 Üzemcsarnok építés a Zalaegerszeg 4815/6 hrsz-ú ingatlanon </t>
  </si>
  <si>
    <t>10./1.a./22</t>
  </si>
  <si>
    <t>10./1.a./23</t>
  </si>
  <si>
    <t>10./1.a./24</t>
  </si>
  <si>
    <t>10./1.a./25</t>
  </si>
  <si>
    <t>10./1.a./26</t>
  </si>
  <si>
    <t>10./1.a./27</t>
  </si>
  <si>
    <t>TOP-7.1.1-16-H-ERFA-2019-00167 Zalaegerszeg mobil applikáció projekt</t>
  </si>
  <si>
    <t>10./1.a./28</t>
  </si>
  <si>
    <t>TOP-7.1.1-16-H-ERFA-2019-00089 TOP CLLD Art mozi közösségi és rendezvény térré alakítása</t>
  </si>
  <si>
    <t>10./2.a</t>
  </si>
  <si>
    <t>"Infrastrukturális fejlesztések Zalaegerszegen"</t>
  </si>
  <si>
    <t>I.Városi terek megújítása</t>
  </si>
  <si>
    <t xml:space="preserve">  1. Keresztury Dezső Városi Művelődési Központ előtti közterület megújítása </t>
  </si>
  <si>
    <t xml:space="preserve">  2. Városi Sportcsarnok előtti tér átépítése</t>
  </si>
  <si>
    <t>II.Rekonstrukció csapadékvízelvezető rendszer legkritikusabb helyszínein</t>
  </si>
  <si>
    <t xml:space="preserve">  1.  Vizslaréti árok felbővítése a 0+737 – 0+872 szelvények között</t>
  </si>
  <si>
    <t>III.Önkormányzati utak, járdák, parkolók építése, felújítása</t>
  </si>
  <si>
    <t>1. Sport utca aszfaltburkolat felújítása</t>
  </si>
  <si>
    <t>2. Mátyás Király utca felújítása</t>
  </si>
  <si>
    <t>3. Zrínyi út parkoló korszerűsítés</t>
  </si>
  <si>
    <t>4. Berzsenyi út kerékpárút építés</t>
  </si>
  <si>
    <t>5. Andráshida u. - Gazdaság u. átkötő útszakasz építés</t>
  </si>
  <si>
    <t>6. Bíbor utca 4540/4 hrsz u. korszerűsítése</t>
  </si>
  <si>
    <t>7. Egervári út  0831/205 hrsz-ú ingatlan környezetében buszforduló létesítése</t>
  </si>
  <si>
    <t>8. Kaszaházi u. járda felújítás</t>
  </si>
  <si>
    <t>9. Arany Mártírok új átkötő út építése</t>
  </si>
  <si>
    <t>10. Vorhota járdaépítés</t>
  </si>
  <si>
    <t>11. Pózva Vasút u. keleti szakasz felújítás</t>
  </si>
  <si>
    <t>12. Ságod Telekalja u. burkolatépítés</t>
  </si>
  <si>
    <t>13. Kossuth út tömbbelső parkoló burkolatfelújítás</t>
  </si>
  <si>
    <t>14. Takarék köz átépítés III. ütem</t>
  </si>
  <si>
    <t>15. Csörge utca felújítása</t>
  </si>
  <si>
    <t>16. Kinizsi utca felújításának befejezése</t>
  </si>
  <si>
    <t>17. Kinizsi utca 80. parkoló építés</t>
  </si>
  <si>
    <t>18. Toposházi út felújítás</t>
  </si>
  <si>
    <t>19. Mókus utca-Köztársaság út parkoló építés</t>
  </si>
  <si>
    <t>20. Gyimesi utca parkoló III. ütem</t>
  </si>
  <si>
    <t>21. Gyimesi utca burkolat felújítása Köztársaság u. - Átalszegett u. között</t>
  </si>
  <si>
    <t>22. Hegyalja utca 54-60. tömbbelső lakóút és parkoló felújítása</t>
  </si>
  <si>
    <t>23. Hegyalja utca 59-65. tömbbelső lakóút és parkoló felújítása</t>
  </si>
  <si>
    <t>24. Csilla utca felújítás</t>
  </si>
  <si>
    <t>25. Csácsi út burkolatfelújítása csapadékvíz elvezetéssel együtt</t>
  </si>
  <si>
    <t>10./3.</t>
  </si>
  <si>
    <t>Modern Városok Program projektjei</t>
  </si>
  <si>
    <t>10./3.a/1</t>
  </si>
  <si>
    <t>Mindszenty Múzeum és Zarándokközpont fejlesztése, zalaegerszegi "Mindszenty Út" megvalósítása MVP</t>
  </si>
  <si>
    <t>10./3.a/2</t>
  </si>
  <si>
    <t>Uszoda tervezés és megvalósítás MVP támogatásból</t>
  </si>
  <si>
    <t>10./3.a/3</t>
  </si>
  <si>
    <t xml:space="preserve"> Alsóerdei Sport- és Rekreációs Központ fejlesztése MVP támogatással</t>
  </si>
  <si>
    <t>10./3.a/4</t>
  </si>
  <si>
    <t>MVP-s projektekhez kapcsolódó támogatási különbözet Mindszenty</t>
  </si>
  <si>
    <t>10./3.a/5</t>
  </si>
  <si>
    <t>Hevesi Sándor Színház felújítás és korszerűsítés előkészítése MVP</t>
  </si>
  <si>
    <t>10./3.a/6</t>
  </si>
  <si>
    <t>Új városi multifunkciós rendezvény- és sportcsarnok MVP projekt keretében</t>
  </si>
  <si>
    <t>10./4.</t>
  </si>
  <si>
    <t>Egyéb projektek</t>
  </si>
  <si>
    <t>10./4.a/1</t>
  </si>
  <si>
    <t>10./4.a/2</t>
  </si>
  <si>
    <t>KEHOP-1.2.1-18-2018-00024 ZMJV helyi klímastratégiájának kidolgozása, helyi klímatudatosságot erősítő szemléletformálás</t>
  </si>
  <si>
    <t>10./4.a/3</t>
  </si>
  <si>
    <t>10./4.a/4</t>
  </si>
  <si>
    <t>10./5.</t>
  </si>
  <si>
    <t>Egyéb stratégiai feladat</t>
  </si>
  <si>
    <t>10./5.1</t>
  </si>
  <si>
    <t>Munkáshotel kiegészítő munkák</t>
  </si>
  <si>
    <t>10./5.2</t>
  </si>
  <si>
    <t>TOP és egyéb pályázatok előkészítése a Lakásalapból</t>
  </si>
  <si>
    <t>10./5.a/1</t>
  </si>
  <si>
    <t xml:space="preserve"> Hotelfejlesztés engedélyes és kiviteli terveinek elkészítéséhez támogatás</t>
  </si>
  <si>
    <t>10.a/5./2</t>
  </si>
  <si>
    <t xml:space="preserve"> TOP  és egyéb úniós projektek keretében megvalósuló projektek nem támogatott munkarészei, többletfeladatok a 150 MFt--os hitelkeretből</t>
  </si>
  <si>
    <t>10.a/5./3</t>
  </si>
  <si>
    <t>TOP és egyéb pályázatok előkészítése és önerő biztosítása</t>
  </si>
  <si>
    <t>10.a/5./4</t>
  </si>
  <si>
    <t>Smart City tanulmány</t>
  </si>
  <si>
    <t>10.a/5./5</t>
  </si>
  <si>
    <t xml:space="preserve">TOP projektekhez kapcsolódó többletfeladatok, nem támogatott munkarészek önk-i forrásból </t>
  </si>
  <si>
    <t>10.a/5./6</t>
  </si>
  <si>
    <t>TOP-6.5.1. Egyéb, az MJV intézményfejlesztési stratégiája alapján kiválasztott intézmények energetikai fejlesztése</t>
  </si>
  <si>
    <t>Városépítészeti kiadások összesen:</t>
  </si>
  <si>
    <t xml:space="preserve">Vagyonkezelési feladatok </t>
  </si>
  <si>
    <t xml:space="preserve"> - önk. által kezelt ing.közös ktg.közüz.díj</t>
  </si>
  <si>
    <t xml:space="preserve"> - helyiséggazdálkodás kiadásai</t>
  </si>
  <si>
    <t xml:space="preserve"> - reptér működési kiadásai </t>
  </si>
  <si>
    <t xml:space="preserve"> - önk. ingatlanok állagmegóvása,vagyonvédelme</t>
  </si>
  <si>
    <t xml:space="preserve"> - volt vasúti ingatlanok működési kiadásai</t>
  </si>
  <si>
    <t xml:space="preserve"> - volt laktanyával kapcsolatos kiadások</t>
  </si>
  <si>
    <t xml:space="preserve"> -  vagyongazdálkodási feladatok és szakértői díjak</t>
  </si>
  <si>
    <t xml:space="preserve"> - Városfejlesztő Zrt. jutalék</t>
  </si>
  <si>
    <t>Lakásalappal kapcsolatos kiadások</t>
  </si>
  <si>
    <t xml:space="preserve"> - lakásalap kiadásai</t>
  </si>
  <si>
    <t>Vagyonkezelési feladatok műk. kiadásai</t>
  </si>
  <si>
    <t xml:space="preserve"> Beruházási és felújítási  kiadások </t>
  </si>
  <si>
    <t>LÉSZ Kft.részére önk-i tulajdonú ingatlanok utáni felújítási hozzájárulás</t>
  </si>
  <si>
    <t>Önk-i tulajdonú lakások iparosított technológiájú felújításához pe. átadás LÉSZ Kft.részére (Lakásalapból)</t>
  </si>
  <si>
    <t>Belvárosrehabilitációhoz kapcsolódó fejlesztések (Lakásalapból)</t>
  </si>
  <si>
    <t>Városrehabilitáció II. ütem folytatása Lakásalapból</t>
  </si>
  <si>
    <t>Ingatlanvásárlások</t>
  </si>
  <si>
    <t>Volt nyomda épület hasznosítása - lízing kötelezettség</t>
  </si>
  <si>
    <t>1.a/6</t>
  </si>
  <si>
    <t>Gébárti tó fejlesztéséhez kapcsolódó ingatlanszerzés</t>
  </si>
  <si>
    <t>Jogi és igazgatási feladatok:</t>
  </si>
  <si>
    <t xml:space="preserve"> - közterület reklám célú bérbeadásához kapcsolódó kiadás</t>
  </si>
  <si>
    <t xml:space="preserve"> - önkormányzat kezelésében lévő ingatlanok hasznosításához kapcsolódó kiadások</t>
  </si>
  <si>
    <t xml:space="preserve"> - térinformatika rendszer működtetése</t>
  </si>
  <si>
    <t xml:space="preserve"> - ASP önkormányzati rendszer</t>
  </si>
  <si>
    <t xml:space="preserve"> - képviselők, bizottsági tagok és tisztségviselők tiszteletdíja</t>
  </si>
  <si>
    <t xml:space="preserve"> - közbeszerzési eljárásokkal és jogi feladatokkal  kapcsolatos díjak</t>
  </si>
  <si>
    <t>031060 Bűnmegelőzés</t>
  </si>
  <si>
    <t xml:space="preserve"> - közbiztonsági feladatok</t>
  </si>
  <si>
    <t xml:space="preserve"> -  Zalaegerszegi Városi Közbiztonsági  Polgárőr Egyesület támogatása</t>
  </si>
  <si>
    <t xml:space="preserve"> - "Rendért" Zalai Közbiztonsági és Polgárőr Egyesület támogatása</t>
  </si>
  <si>
    <t xml:space="preserve"> - Polgárőrök Zalaegerszeg Biztonságáért Egyesület támogatása</t>
  </si>
  <si>
    <t>031030 Közterület rendjének fenntartása</t>
  </si>
  <si>
    <t xml:space="preserve"> - közterület felügyelet működési kiadásai</t>
  </si>
  <si>
    <t xml:space="preserve"> - közterület felügyeleti bírság visszautalása</t>
  </si>
  <si>
    <t xml:space="preserve"> - közterületen hagyott gépjárművek elszállítása</t>
  </si>
  <si>
    <t>Jogi és igazgatási feladatok működési kiadásai összesen:</t>
  </si>
  <si>
    <t xml:space="preserve">Beruházási és felújítási kiadások </t>
  </si>
  <si>
    <t>Kamerarendszer a buszállomás környékére</t>
  </si>
  <si>
    <t>Térfigyelő kamerák bővítése, megújítása</t>
  </si>
  <si>
    <t>Jogi és igazgatási feladatok összesen:</t>
  </si>
  <si>
    <t>Pénzügyi lebonyolítás:</t>
  </si>
  <si>
    <t>018020 Központi költségvetési befizetések</t>
  </si>
  <si>
    <t xml:space="preserve"> - 2019. évi állami hozzájárulás elszámolása </t>
  </si>
  <si>
    <t xml:space="preserve"> - 2020. évi állami hozzájárulás előleg visszafizetése </t>
  </si>
  <si>
    <t xml:space="preserve"> - szolidaritási hozzájárulás</t>
  </si>
  <si>
    <t xml:space="preserve"> - forgalmi jutalék, számlavezetési díj</t>
  </si>
  <si>
    <t xml:space="preserve"> - ÁFA befizetés</t>
  </si>
  <si>
    <t xml:space="preserve"> - könyvvizsgálat díja</t>
  </si>
  <si>
    <t xml:space="preserve"> - dolgozói lakásépítés és -vásárlás támogatása</t>
  </si>
  <si>
    <t xml:space="preserve"> - vagyonbiztosítás</t>
  </si>
  <si>
    <t>011140 Országos és helyi nemzetiségi önkorm.igazg. tev.</t>
  </si>
  <si>
    <t xml:space="preserve"> - Roma Nemzetiségi Önkormányzat támogatása</t>
  </si>
  <si>
    <t xml:space="preserve"> - Ukrán Nemzetiségi Önkormányzat</t>
  </si>
  <si>
    <t>107013 Hajléktalanok átmeneti ellátása</t>
  </si>
  <si>
    <t xml:space="preserve"> - Hajléktalanok szállása (Vöröskereszt) műk. támog.</t>
  </si>
  <si>
    <t xml:space="preserve"> - Zalaegerszegi Szociális Társulás működési hozzájárulás</t>
  </si>
  <si>
    <t xml:space="preserve"> - Ágazati felad. postai szolg. és utalvány díja, illeték</t>
  </si>
  <si>
    <t xml:space="preserve"> - Fejlesztési célú hitel igénybevételi díj, törlesztés és   kamatfizetési kötelezettség</t>
  </si>
  <si>
    <t xml:space="preserve"> - államkötvény  vásárlása átmenetileg szabad pénzeszközökből</t>
  </si>
  <si>
    <t>084031 Civil szervezetek működési támogatása</t>
  </si>
  <si>
    <t xml:space="preserve"> - egyéb szervezetek támogatása </t>
  </si>
  <si>
    <t>191 111</t>
  </si>
  <si>
    <t xml:space="preserve"> - Városi Strandfürdő és Fedett uszoda műk.  támogatása</t>
  </si>
  <si>
    <t>Pénzügyi lebonyolítás és kp-i  összesen:</t>
  </si>
  <si>
    <t>Felhalmozási célú pénzeszköz átadás a Z.M.Katasztrófavéd. Igazgatóság részére</t>
  </si>
  <si>
    <t xml:space="preserve"> - Építéshatósági feladatok összesen:</t>
  </si>
  <si>
    <t>22.</t>
  </si>
  <si>
    <t xml:space="preserve"> Polgármesteri Kabinet</t>
  </si>
  <si>
    <t xml:space="preserve"> - rendezvények, kommunikáció, reprezentáció</t>
  </si>
  <si>
    <t xml:space="preserve"> - turisztikai feladatok</t>
  </si>
  <si>
    <t xml:space="preserve"> - városmarketing</t>
  </si>
  <si>
    <t xml:space="preserve"> - tagsági díjak ( MJVSZ stb.)</t>
  </si>
  <si>
    <t xml:space="preserve"> - városi hírportál szerkesztése</t>
  </si>
  <si>
    <t xml:space="preserve"> - médiával kapcsolatos szerződések, támogatások</t>
  </si>
  <si>
    <t xml:space="preserve"> - kulturális városi rendezvények</t>
  </si>
  <si>
    <t xml:space="preserve"> - monográfia</t>
  </si>
  <si>
    <t xml:space="preserve"> - Zalaegerszegi Létesítményfenntartó Kft. működési támogatása</t>
  </si>
  <si>
    <t xml:space="preserve"> - Nemzetközi kapcsolatokra</t>
  </si>
  <si>
    <t>083030 Egyéb kiadói tevékenység</t>
  </si>
  <si>
    <t xml:space="preserve"> - városi újság támogatása</t>
  </si>
  <si>
    <t xml:space="preserve">  - városi kiadvány</t>
  </si>
  <si>
    <t xml:space="preserve"> - ZalaSport Online (ANDÉ Bt.) támogatása</t>
  </si>
  <si>
    <t xml:space="preserve"> - Polgármesteri rendelkezésű keret</t>
  </si>
  <si>
    <t xml:space="preserve"> - Településrészi Önkormányzatok</t>
  </si>
  <si>
    <t>2216**</t>
  </si>
  <si>
    <t>041233 Hosszabb időtartamú közfoglalkoztatás</t>
  </si>
  <si>
    <t xml:space="preserve"> - közfoglalkoztatás</t>
  </si>
  <si>
    <t xml:space="preserve"> - Kontakt Nonprofit Kft. működési támogatása</t>
  </si>
  <si>
    <t>105020 Foglalkoztatást elősegítő képz. és egyéb támog.</t>
  </si>
  <si>
    <t xml:space="preserve"> - Foglalkoztatás támogatása, munkaerőkölcsönzés</t>
  </si>
  <si>
    <t xml:space="preserve"> - Vállalkozás fejlesztés és befektetés támogató program</t>
  </si>
  <si>
    <t xml:space="preserve">  - Nyugat-Pannon Járműipari és Mechanikai Szolgáltató Kp. működési hozzájárulás</t>
  </si>
  <si>
    <t xml:space="preserve"> - Városfejlesztési alap előkészítésével kapcsolatos kiadás</t>
  </si>
  <si>
    <t>083050 Televízió-műsor szolgáltatása és támogatása</t>
  </si>
  <si>
    <t xml:space="preserve"> - Zalaegerszegi TV  és Rádió működési támogatása</t>
  </si>
  <si>
    <t xml:space="preserve"> - Formula Student East rendezvény támogatása Járműmérnökök Egyesülete részére</t>
  </si>
  <si>
    <t xml:space="preserve"> - Zalaegerszegi Polgárőr Egyesület és a Jánkahegyi Polgárőr Egyesület támogatása, rendezvények szervezése, biztosítása</t>
  </si>
  <si>
    <t xml:space="preserve"> - Rendezvények támogatása (KRESZ verseny, Kertmozi, Alsójánkahegyi fesztivál, Idősek Napja)</t>
  </si>
  <si>
    <t xml:space="preserve"> - Andráshida közösségi programok</t>
  </si>
  <si>
    <t xml:space="preserve"> - Polgárőrség megalakítása ( Andráshida, Vorhota, Szenterzsébethegy)</t>
  </si>
  <si>
    <t xml:space="preserve"> - Botfai LSC 70 éves ünnepség</t>
  </si>
  <si>
    <t xml:space="preserve"> - Zalai Magyar Nemzeti Szövetség és Rákóczi Szövetség éves rendezvényei</t>
  </si>
  <si>
    <t xml:space="preserve"> - Ökumenikus segélyszervezet támogatása (MJVSZ)</t>
  </si>
  <si>
    <t>Polgármesteri Kabinet működési kiadásai összesen:</t>
  </si>
  <si>
    <t>Beruházási és felújítási kiadások</t>
  </si>
  <si>
    <t>Református egyház részére fejlesztési támogatás</t>
  </si>
  <si>
    <t>1.a/1.</t>
  </si>
  <si>
    <t>Túrautvonalak fejlesztése Aqua jótékonysági nap bevételéből</t>
  </si>
  <si>
    <t>Zalaegerszegi Rendezvényszervező Kft. törzstőke</t>
  </si>
  <si>
    <t>Vállalkozásfejlesztési Alapítvány kamattámogatás</t>
  </si>
  <si>
    <t>Polgármesteri Kabinet kiadásai összesen:</t>
  </si>
  <si>
    <t>900070 Fejezeti és általános tartalékok elszámolása</t>
  </si>
  <si>
    <t>Általános tartalék</t>
  </si>
  <si>
    <t>Céltartalék</t>
  </si>
  <si>
    <t>Állami támogatások  évközi visszafizetésére</t>
  </si>
  <si>
    <t xml:space="preserve">Év közben jelentkező feladatokra </t>
  </si>
  <si>
    <t>Intézmények egyéb feladatainak évközi finanszírozása</t>
  </si>
  <si>
    <t>Szünidei étkeztetés</t>
  </si>
  <si>
    <t>Elmaradt bevételek pótlására</t>
  </si>
  <si>
    <t>Támogatott lakások elkülönített lakbérbevételéből</t>
  </si>
  <si>
    <t>Felhalmozási célú céltartalék</t>
  </si>
  <si>
    <t>Költségvetési szervek felújítási kerete (Vis maior)</t>
  </si>
  <si>
    <t>Projektekhez, pályázatokhoz szükséges saját erő biztosításához</t>
  </si>
  <si>
    <t>Tartalék összesen:</t>
  </si>
  <si>
    <t>Önkormányzat összesen költségetési szervek nélkül</t>
  </si>
  <si>
    <t>9./7</t>
  </si>
  <si>
    <t>Műszaki stratégiai feladatok</t>
  </si>
  <si>
    <t>Önkormányzati ingatlanok gáznyomás szabályzók rekonstrukciója</t>
  </si>
  <si>
    <t xml:space="preserve"> - 2019. évi maradvány igénybevétele áthúzódó és új feladatokhoz</t>
  </si>
  <si>
    <t xml:space="preserve"> -  szennyvíz vagyon használati díja és Áfa visszaig.</t>
  </si>
  <si>
    <t xml:space="preserve"> - ivóvíz  vagyon használati díja és  Áfa visszaig.+ KIEFO</t>
  </si>
  <si>
    <t>9./8</t>
  </si>
  <si>
    <t xml:space="preserve"> - Járműipari és logisztikai országos konferencia megrendezése</t>
  </si>
  <si>
    <t xml:space="preserve"> - színművészeti szervezetek támogatása</t>
  </si>
  <si>
    <t xml:space="preserve"> - Zalaegerszegi Rally  verseny megrendezése</t>
  </si>
  <si>
    <t xml:space="preserve">Tankerülettel közösen megvalósítandó felújítások </t>
  </si>
  <si>
    <t xml:space="preserve">Kossuth utca burkolatfelújítás (térkőcsere) </t>
  </si>
  <si>
    <t>Idősek Otthona terasz beázás megszüntetése</t>
  </si>
  <si>
    <t>Vizslaparki út 1-5 melletti parkoló felújítása</t>
  </si>
  <si>
    <t>Közösségi Ház fejlesztése Páterdombon</t>
  </si>
  <si>
    <t xml:space="preserve"> - Vizslapark üzemeltetése, magasabb szintű fenntartása </t>
  </si>
  <si>
    <t>Virtuális valóság projekt (középkori vár és E-sport)</t>
  </si>
  <si>
    <t xml:space="preserve"> - Kvártélyház Kft. támogatása</t>
  </si>
  <si>
    <t xml:space="preserve"> - Klímavédelmi konferencia megrendezése</t>
  </si>
  <si>
    <t>2./3</t>
  </si>
  <si>
    <t>Sportfeladatok</t>
  </si>
  <si>
    <t>MLSZ pálya önrész Nekeresden Ovi-Foci program keretében</t>
  </si>
  <si>
    <t>- Kamaratáncfesztivál</t>
  </si>
  <si>
    <t>Ingatlan bontások</t>
  </si>
  <si>
    <t>Dózsa Iskola C+ tornaterem elektromos hálózatfejlesztés</t>
  </si>
  <si>
    <t>Platán sori Penny melletti járda javítás</t>
  </si>
  <si>
    <t>9.a/12</t>
  </si>
  <si>
    <t>Lassúfolyó  szigetelése</t>
  </si>
  <si>
    <t xml:space="preserve"> - Gébárti tó környezetének rendbetétele, továbbá pe.átadás a Z.M. Horgászszövetségnek</t>
  </si>
  <si>
    <t xml:space="preserve"> - fogászati alapellátás  önkormányzati támogatása</t>
  </si>
  <si>
    <t>Módosítás összege</t>
  </si>
  <si>
    <t xml:space="preserve"> - ZALAVÍZ Zrt. nem vÍziközmű után fizetendő bérleti díj</t>
  </si>
  <si>
    <t>Városi Hangverseny és Kiállítóterem belső festés</t>
  </si>
  <si>
    <t>Tipegő bölcsőde fejlesztés</t>
  </si>
  <si>
    <t xml:space="preserve"> -Kossuth utca posta előtti burkolat karbantartás, csere</t>
  </si>
  <si>
    <t>Vízelvezetési problémák megoldása Botfán</t>
  </si>
  <si>
    <t>Piac környéki parkolók zúzalékos felújítása</t>
  </si>
  <si>
    <t>Játszótéri padok, hulladékgyűjtők, lengőhinták felfüggesztésének cseréje</t>
  </si>
  <si>
    <t>Nem víziközmű vagyon fejlesztése</t>
  </si>
  <si>
    <t xml:space="preserve"> - Adományközpont működtetési támogatása</t>
  </si>
  <si>
    <t xml:space="preserve"> - Kárpát-medencei ifjúsági tábor</t>
  </si>
  <si>
    <t>Teljesítményösztönző keret</t>
  </si>
  <si>
    <t xml:space="preserve"> - Apáczai MK rendezvényeihez hozzájárulás, pénzeszközátadás</t>
  </si>
  <si>
    <t>A települési önkormányzatok működésének támogatása beszámítás és kiegészítés után</t>
  </si>
  <si>
    <t>11. A költségvetési szerveknél foglalkoztatottak 2019. évi áthúzódó és 2020. évi kompenzációja</t>
  </si>
  <si>
    <t>12. Szociális ágazati összevont pótlék és egészségügyi kiegészítő pótlék</t>
  </si>
  <si>
    <t>14. Kulturális illetménypótlék</t>
  </si>
  <si>
    <t xml:space="preserve"> - szociális ágazati összevont pótlék</t>
  </si>
  <si>
    <t xml:space="preserve"> - egészségügyi kiegészítő pótlék</t>
  </si>
  <si>
    <t>III. Vis maior támogatás</t>
  </si>
  <si>
    <t>I. Működési célú támogatások</t>
  </si>
  <si>
    <t>B74</t>
  </si>
  <si>
    <t>2020. évi módosított előirányzat</t>
  </si>
  <si>
    <t>2020. évi  módosított előirányzat</t>
  </si>
  <si>
    <t>2020. évi bevétel eredeti előirányzata</t>
  </si>
  <si>
    <t>2020. évi bevétel módosított előirányzata</t>
  </si>
  <si>
    <t xml:space="preserve"> - helyi önkormányzatok kiegészítő állami támogatásai</t>
  </si>
  <si>
    <t xml:space="preserve"> - Felhalmozási célú önkormányzati támogatás</t>
  </si>
  <si>
    <t xml:space="preserve"> - Országos Vadpörkölt és Borfesztivál megrendezése</t>
  </si>
  <si>
    <t xml:space="preserve"> - településrészi önkormányzatok</t>
  </si>
  <si>
    <t>2216*</t>
  </si>
  <si>
    <t xml:space="preserve"> - járványügyi védekezésre</t>
  </si>
  <si>
    <t>1./1./10</t>
  </si>
  <si>
    <t>Kosztolányi óvoda játszóudvar rekonstrukciója</t>
  </si>
  <si>
    <t>1./1./11</t>
  </si>
  <si>
    <t>Kosztolányi óvoda felújítása</t>
  </si>
  <si>
    <t>1./1./12</t>
  </si>
  <si>
    <t>Kis utcai óvoda udvari játszóeszközök rekonstrukciója</t>
  </si>
  <si>
    <t>3./5.</t>
  </si>
  <si>
    <t>Gondozási Központ Kossuth L.utcai konyha szennyvízvezeték felújítása</t>
  </si>
  <si>
    <t>Közösségi Ház fejlesztése Zalabesenyőben pe. átadás Besenyő a 2000-es években Alapítvány részére</t>
  </si>
  <si>
    <t>Választott tisztség-viselő</t>
  </si>
  <si>
    <t xml:space="preserve"> - államháztartáson belüli megelőlegezés</t>
  </si>
  <si>
    <t xml:space="preserve"> - államháztartáson belüli megelőlegezések visszafizetése</t>
  </si>
  <si>
    <t>Módosítás hatákör szerint</t>
  </si>
  <si>
    <t>Helyi önkormányzatok kiegészítő állami támogatásai</t>
  </si>
  <si>
    <t>B814</t>
  </si>
  <si>
    <t>Államháztartáson belüli megelőlegezések</t>
  </si>
  <si>
    <t xml:space="preserve"> - Városi uszoda kültéri medence bérleti díja</t>
  </si>
  <si>
    <t>074040 Fertőző megbetegedések megelőzése,járványügyi ellátás</t>
  </si>
  <si>
    <t xml:space="preserve"> - Városfejlesztő Zrt. működési kiadása</t>
  </si>
  <si>
    <t xml:space="preserve"> - Városfejlesztő Zrt. működési támogatása</t>
  </si>
  <si>
    <t>2020. évi   előirányzat</t>
  </si>
  <si>
    <t>10./5.3</t>
  </si>
  <si>
    <t>074040 fertőző megbetegedések megelőzése,járványügyi ellátás</t>
  </si>
  <si>
    <t xml:space="preserve"> - MOL adomány</t>
  </si>
  <si>
    <t xml:space="preserve"> - Rákóczi szobor elhelyezése és téralakítás</t>
  </si>
  <si>
    <t xml:space="preserve"> - cserével vegyes ingatlanszerződések</t>
  </si>
  <si>
    <t xml:space="preserve"> - intézményi elvonás maradvány terhére</t>
  </si>
  <si>
    <t xml:space="preserve"> - Szociális Társulástól befizetés maradvány terhére</t>
  </si>
  <si>
    <t xml:space="preserve"> - Elszámolásból származó bevételek</t>
  </si>
  <si>
    <t xml:space="preserve"> - vagyonbiztosítás kártérítés</t>
  </si>
  <si>
    <t xml:space="preserve"> - Gála open</t>
  </si>
  <si>
    <t xml:space="preserve"> - Hevesi Sándor Színház társműködtetöi támogatás átadása</t>
  </si>
  <si>
    <t xml:space="preserve"> - Griff Bábszínház társműködtetöi támogatás átadása</t>
  </si>
  <si>
    <t>Szent László utcai óvoda  felújítása</t>
  </si>
  <si>
    <t>Szent László utcai óvoda felújítása</t>
  </si>
  <si>
    <t xml:space="preserve"> - önkormányzati tulajdonú közművek felett úthibák javítása </t>
  </si>
  <si>
    <t>Ságodi Közösségi Ház ivóvízvezeték rekonstrukció</t>
  </si>
  <si>
    <t>9./9.</t>
  </si>
  <si>
    <t>Andráshidai Közösségi Ház csőtörés utáni helyreállítás</t>
  </si>
  <si>
    <t>10.a/5./7</t>
  </si>
  <si>
    <t>ELENA program bérek fedezetének átadása</t>
  </si>
  <si>
    <t>Cserével vegyes ingatlanszerződések</t>
  </si>
  <si>
    <t>018030 Támogatási célú finanszírozási műveletek</t>
  </si>
  <si>
    <t xml:space="preserve"> - 2019. évi mutatószámok elszámolásából eredő  intézményi póttámogatás</t>
  </si>
  <si>
    <t xml:space="preserve"> - ünnepi díszkivilágítás szerelés, elromlott sorok javítása ,karbantartása</t>
  </si>
  <si>
    <t>B116</t>
  </si>
  <si>
    <t>Elszámolásból származó bevételek</t>
  </si>
  <si>
    <t>Előző évi állami hozzájárulások elszámolásból származó bevételek</t>
  </si>
  <si>
    <t>151917</t>
  </si>
  <si>
    <t>151402</t>
  </si>
  <si>
    <t xml:space="preserve"> - magánerős útépítések</t>
  </si>
  <si>
    <t>152426</t>
  </si>
  <si>
    <t>161911</t>
  </si>
  <si>
    <t>151201</t>
  </si>
  <si>
    <t>151202</t>
  </si>
  <si>
    <t>151902</t>
  </si>
  <si>
    <t>TOP-7.1.1-16-H-ESZA-2019-01185 Interaktív történelmi séták Zalaegerszegen</t>
  </si>
  <si>
    <t xml:space="preserve"> - Nyugdíjas Otthonházi  adományok</t>
  </si>
  <si>
    <t xml:space="preserve"> - polgármesteri rendelkezésű keret</t>
  </si>
  <si>
    <t>2./4.</t>
  </si>
  <si>
    <t>Fekete György-emléktábla</t>
  </si>
  <si>
    <t>4./2.</t>
  </si>
  <si>
    <t>Botfai LSC létesítmény kerítés építés támogatása</t>
  </si>
  <si>
    <t xml:space="preserve"> - telephelyengedélyezési eljárás díjának átutalása</t>
  </si>
  <si>
    <t>9./10.</t>
  </si>
  <si>
    <t>Ságodi Közösségi Ház felújítási munkái</t>
  </si>
  <si>
    <t>TOP-6.1.4-16-ZL1-2017-00003 Helyi termelői és kézműves piac kialakítása Zalaegerszegen - Göcsej Tudásközpont (nettó fnansz.)</t>
  </si>
  <si>
    <t>TOP-6.1.4-16-ZL1-2017-00003 Helyi termelői és kézműves piac kialakítása Zalaegerszegen - Göcsej Tudásközpont (nettó finansz.)</t>
  </si>
  <si>
    <t>10./5.4</t>
  </si>
  <si>
    <t xml:space="preserve"> - Deák F. Megyei és Városi Könyvtár részére ált.forgalmi adó megelőlegezés </t>
  </si>
  <si>
    <t xml:space="preserve"> -felhalmozási célú pénzeszköz átvétel a MOL Nyrt-től </t>
  </si>
  <si>
    <t xml:space="preserve"> - normatíva emelése a 305/2020. (VI.30.) Korm.rendelet alapján</t>
  </si>
  <si>
    <t xml:space="preserve">      - bölcsődei pótlék kiegészítő támogatása</t>
  </si>
  <si>
    <t xml:space="preserve"> - Bajcsy-Zsilinszky tér rekonstrukciója, országzászló elhelyezéséhez NKA támogatás</t>
  </si>
  <si>
    <t>kgy</t>
  </si>
  <si>
    <t>pm</t>
  </si>
  <si>
    <t>kgy,pm</t>
  </si>
  <si>
    <t xml:space="preserve"> - "Zalaegerszeg egy a természettel"</t>
  </si>
  <si>
    <t xml:space="preserve"> - közművesítési hozzájárulás</t>
  </si>
  <si>
    <t>151611</t>
  </si>
  <si>
    <t>8./1.</t>
  </si>
  <si>
    <t xml:space="preserve"> Új köztemetőben locsolóvezeték kiépítése</t>
  </si>
  <si>
    <t>Ady u.15. és 17. számú ingatlanok között lévő ingatlanon új elektromos tolókapu építése</t>
  </si>
  <si>
    <t>3./4.</t>
  </si>
  <si>
    <t>Iskola utcai gáznyomásszabályzó létesítése</t>
  </si>
  <si>
    <t>Területvásárlások a TOP 6.1.1-16 Zalaegerszegi logisztikai Központ projekthez és egyéb fejlesztésekhez</t>
  </si>
  <si>
    <t>10./5.5.</t>
  </si>
  <si>
    <t>Körforgalmi csomópont kialakítása a 76.sz.főút és az észak-déli ipari parki út kereszteződésében projektelem megépítése</t>
  </si>
  <si>
    <t xml:space="preserve"> -Körforgalmi csomópont kialakítása a 76.sz.főút és az észak-déli ipari parki út kereszteződésében projektelem megépítésehez szükséges anyagi forrás biztosítása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</si>
</sst>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F_t_-;\-* #,##0.00\ _F_t_-;_-* &quot;-&quot;??\ _F_t_-;_-@_-"/>
    <numFmt numFmtId="165" formatCode="0.0"/>
    <numFmt numFmtId="166" formatCode="#,##0.0"/>
    <numFmt numFmtId="167" formatCode="_-* #,##0\ _F_t_-;\-* #,##0\ _F_t_-;_-* &quot;-&quot;??\ _F_t_-;_-@_-"/>
    <numFmt numFmtId="168" formatCode="_-* #,##0_-;\-* #,##0_-;_-* &quot;-&quot;??_-;_-@_-"/>
  </numFmts>
  <fonts count="112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sz val="10"/>
      <name val="Times New Roman CE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sz val="9"/>
      <name val="Arial CE"/>
      <family val="2"/>
      <charset val="238"/>
    </font>
    <font>
      <b/>
      <i/>
      <sz val="9"/>
      <name val="Arial CE"/>
      <family val="2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9"/>
      <name val="MS Sans Serif"/>
      <family val="2"/>
      <charset val="238"/>
    </font>
    <font>
      <i/>
      <sz val="9"/>
      <name val="Arial CE"/>
      <family val="2"/>
      <charset val="238"/>
    </font>
    <font>
      <sz val="10"/>
      <name val="Arial"/>
      <family val="2"/>
      <charset val="238"/>
    </font>
    <font>
      <sz val="9"/>
      <name val="Times New Roman CE"/>
      <charset val="238"/>
    </font>
    <font>
      <b/>
      <sz val="10"/>
      <name val="Times New Roman"/>
      <family val="1"/>
      <charset val="238"/>
    </font>
    <font>
      <sz val="9"/>
      <color indexed="10"/>
      <name val="Times New Roman"/>
      <family val="1"/>
      <charset val="238"/>
    </font>
    <font>
      <sz val="10"/>
      <color indexed="8"/>
      <name val="Tahoma"/>
      <family val="2"/>
      <charset val="238"/>
    </font>
    <font>
      <sz val="10"/>
      <color indexed="9"/>
      <name val="Tahoma"/>
      <family val="2"/>
      <charset val="238"/>
    </font>
    <font>
      <sz val="10"/>
      <color indexed="62"/>
      <name val="Tahoma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Tahoma"/>
      <family val="2"/>
      <charset val="238"/>
    </font>
    <font>
      <b/>
      <sz val="13"/>
      <color indexed="56"/>
      <name val="Tahoma"/>
      <family val="2"/>
      <charset val="238"/>
    </font>
    <font>
      <b/>
      <sz val="11"/>
      <color indexed="56"/>
      <name val="Tahoma"/>
      <family val="2"/>
      <charset val="238"/>
    </font>
    <font>
      <b/>
      <sz val="10"/>
      <color indexed="9"/>
      <name val="Tahoma"/>
      <family val="2"/>
      <charset val="238"/>
    </font>
    <font>
      <sz val="10"/>
      <color indexed="10"/>
      <name val="Tahoma"/>
      <family val="2"/>
      <charset val="238"/>
    </font>
    <font>
      <sz val="10"/>
      <color indexed="52"/>
      <name val="Tahoma"/>
      <family val="2"/>
      <charset val="238"/>
    </font>
    <font>
      <sz val="10"/>
      <name val="Arial"/>
      <family val="2"/>
      <charset val="238"/>
    </font>
    <font>
      <sz val="10"/>
      <color indexed="17"/>
      <name val="Tahoma"/>
      <family val="2"/>
      <charset val="238"/>
    </font>
    <font>
      <b/>
      <sz val="10"/>
      <color indexed="63"/>
      <name val="Tahoma"/>
      <family val="2"/>
      <charset val="238"/>
    </font>
    <font>
      <i/>
      <sz val="10"/>
      <color indexed="23"/>
      <name val="Tahoma"/>
      <family val="2"/>
      <charset val="238"/>
    </font>
    <font>
      <b/>
      <sz val="10"/>
      <color indexed="8"/>
      <name val="Tahoma"/>
      <family val="2"/>
      <charset val="238"/>
    </font>
    <font>
      <sz val="10"/>
      <color indexed="20"/>
      <name val="Tahoma"/>
      <family val="2"/>
      <charset val="238"/>
    </font>
    <font>
      <sz val="10"/>
      <color indexed="60"/>
      <name val="Tahoma"/>
      <family val="2"/>
      <charset val="238"/>
    </font>
    <font>
      <b/>
      <sz val="10"/>
      <color indexed="52"/>
      <name val="Tahoma"/>
      <family val="2"/>
      <charset val="238"/>
    </font>
    <font>
      <sz val="8"/>
      <name val="Times New Roman"/>
      <family val="1"/>
      <charset val="238"/>
    </font>
    <font>
      <sz val="10"/>
      <name val="Times New Roman CE"/>
      <family val="1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9"/>
      <name val="Times New Roman CE"/>
      <charset val="238"/>
    </font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MS Sans Serif"/>
      <charset val="238"/>
    </font>
    <font>
      <b/>
      <sz val="10"/>
      <name val="MS Sans Serif"/>
      <charset val="238"/>
    </font>
    <font>
      <i/>
      <sz val="9"/>
      <name val="Times New Roman"/>
      <family val="1"/>
      <charset val="238"/>
    </font>
    <font>
      <b/>
      <i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color indexed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1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8.1"/>
      <name val="Times New Roman"/>
      <family val="1"/>
      <charset val="238"/>
    </font>
    <font>
      <i/>
      <sz val="10"/>
      <name val="MS Sans Serif"/>
      <family val="2"/>
      <charset val="238"/>
    </font>
    <font>
      <sz val="9"/>
      <color rgb="FFFF0000"/>
      <name val="Times New Roman"/>
      <family val="1"/>
      <charset val="238"/>
    </font>
    <font>
      <sz val="10"/>
      <name val="Arial"/>
      <family val="2"/>
    </font>
    <font>
      <sz val="9"/>
      <color indexed="8"/>
      <name val="Times New Roman"/>
      <family val="1"/>
      <charset val="238"/>
    </font>
    <font>
      <sz val="9"/>
      <name val="Times New Roman"/>
      <family val="1"/>
      <charset val="1"/>
    </font>
    <font>
      <b/>
      <i/>
      <sz val="9"/>
      <name val="Times New Roman"/>
      <family val="1"/>
      <charset val="1"/>
    </font>
    <font>
      <strike/>
      <sz val="10"/>
      <name val="Times New Roman"/>
      <family val="1"/>
      <charset val="238"/>
    </font>
    <font>
      <strike/>
      <sz val="10"/>
      <color indexed="53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name val="Times New Roman CE"/>
      <family val="1"/>
      <charset val="238"/>
    </font>
    <font>
      <sz val="9"/>
      <color rgb="FFFF0000"/>
      <name val="Arial CE"/>
      <family val="2"/>
      <charset val="238"/>
    </font>
    <font>
      <sz val="10"/>
      <color theme="1"/>
      <name val="Times New Roman"/>
      <family val="1"/>
      <charset val="238"/>
    </font>
    <font>
      <b/>
      <i/>
      <sz val="9"/>
      <color rgb="FFFF0000"/>
      <name val="Times New Roman"/>
      <family val="1"/>
      <charset val="238"/>
    </font>
    <font>
      <sz val="10"/>
      <name val="Times New Roman"/>
      <family val="1"/>
    </font>
    <font>
      <sz val="9"/>
      <name val="Times New Roman"/>
      <family val="1"/>
    </font>
    <font>
      <sz val="10"/>
      <color indexed="8"/>
      <name val="Times New Roman"/>
      <family val="1"/>
      <charset val="238"/>
    </font>
    <font>
      <b/>
      <i/>
      <sz val="8"/>
      <name val="Arial CE"/>
      <family val="2"/>
      <charset val="238"/>
    </font>
    <font>
      <sz val="9"/>
      <color indexed="10"/>
      <name val="Arial CE"/>
      <family val="2"/>
      <charset val="238"/>
    </font>
    <font>
      <sz val="8"/>
      <name val="Arial CE"/>
      <family val="2"/>
      <charset val="238"/>
    </font>
    <font>
      <sz val="8"/>
      <name val="Times New Roman CE"/>
      <charset val="238"/>
    </font>
    <font>
      <b/>
      <i/>
      <sz val="10"/>
      <name val="Times New Roman"/>
      <family val="1"/>
    </font>
    <font>
      <i/>
      <sz val="10"/>
      <name val="Times New Roman"/>
      <family val="1"/>
    </font>
    <font>
      <b/>
      <i/>
      <sz val="9"/>
      <name val="Times New Roman"/>
      <family val="1"/>
    </font>
    <font>
      <sz val="10"/>
      <color rgb="FFFF0000"/>
      <name val="Arial"/>
      <family val="2"/>
      <charset val="238"/>
    </font>
  </fonts>
  <fills count="54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45"/>
      </patternFill>
    </fill>
    <fill>
      <patternFill patternType="solid">
        <fgColor indexed="27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54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50"/>
      </patternFill>
    </fill>
    <fill>
      <patternFill patternType="solid">
        <fgColor indexed="11"/>
      </patternFill>
    </fill>
    <fill>
      <patternFill patternType="solid">
        <fgColor indexed="11"/>
        <bgColor indexed="35"/>
      </patternFill>
    </fill>
    <fill>
      <patternFill patternType="solid">
        <fgColor indexed="51"/>
        <bgColor indexed="13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19"/>
      </patternFill>
    </fill>
    <fill>
      <patternFill patternType="solid">
        <fgColor indexed="10"/>
      </patternFill>
    </fill>
    <fill>
      <patternFill patternType="solid">
        <fgColor indexed="22"/>
      </patternFill>
    </fill>
    <fill>
      <patternFill patternType="solid">
        <fgColor indexed="55"/>
        <bgColor indexed="23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19"/>
      </patternFill>
    </fill>
    <fill>
      <patternFill patternType="solid">
        <fgColor indexed="22"/>
        <bgColor indexed="31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indexed="27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n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83">
    <xf numFmtId="0" fontId="0" fillId="0" borderId="0"/>
    <xf numFmtId="0" fontId="61" fillId="2" borderId="0" applyNumberFormat="0" applyBorder="0" applyAlignment="0" applyProtection="0"/>
    <xf numFmtId="0" fontId="61" fillId="3" borderId="0" applyNumberFormat="0" applyBorder="0" applyAlignment="0" applyProtection="0"/>
    <xf numFmtId="0" fontId="21" fillId="4" borderId="0" applyNumberFormat="0" applyBorder="0" applyAlignment="0" applyProtection="0"/>
    <xf numFmtId="0" fontId="60" fillId="5" borderId="0" applyNumberFormat="0" applyBorder="0" applyAlignment="0" applyProtection="0"/>
    <xf numFmtId="0" fontId="21" fillId="6" borderId="0" applyNumberFormat="0" applyBorder="0" applyAlignment="0" applyProtection="0"/>
    <xf numFmtId="0" fontId="60" fillId="7" borderId="0" applyNumberFormat="0" applyBorder="0" applyAlignment="0" applyProtection="0"/>
    <xf numFmtId="0" fontId="21" fillId="8" borderId="0" applyNumberFormat="0" applyBorder="0" applyAlignment="0" applyProtection="0"/>
    <xf numFmtId="0" fontId="60" fillId="9" borderId="0" applyNumberFormat="0" applyBorder="0" applyAlignment="0" applyProtection="0"/>
    <xf numFmtId="0" fontId="21" fillId="10" borderId="0" applyNumberFormat="0" applyBorder="0" applyAlignment="0" applyProtection="0"/>
    <xf numFmtId="0" fontId="60" fillId="11" borderId="0" applyNumberFormat="0" applyBorder="0" applyAlignment="0" applyProtection="0"/>
    <xf numFmtId="0" fontId="21" fillId="12" borderId="0" applyNumberFormat="0" applyBorder="0" applyAlignment="0" applyProtection="0"/>
    <xf numFmtId="0" fontId="60" fillId="13" borderId="0" applyNumberFormat="0" applyBorder="0" applyAlignment="0" applyProtection="0"/>
    <xf numFmtId="0" fontId="21" fillId="14" borderId="0" applyNumberFormat="0" applyBorder="0" applyAlignment="0" applyProtection="0"/>
    <xf numFmtId="0" fontId="60" fillId="15" borderId="0" applyNumberFormat="0" applyBorder="0" applyAlignment="0" applyProtection="0"/>
    <xf numFmtId="0" fontId="41" fillId="4" borderId="0" applyNumberFormat="0" applyBorder="0" applyAlignment="0" applyProtection="0"/>
    <xf numFmtId="0" fontId="41" fillId="6" borderId="0" applyNumberFormat="0" applyBorder="0" applyAlignment="0" applyProtection="0"/>
    <xf numFmtId="0" fontId="41" fillId="8" borderId="0" applyNumberFormat="0" applyBorder="0" applyAlignment="0" applyProtection="0"/>
    <xf numFmtId="0" fontId="41" fillId="10" borderId="0" applyNumberFormat="0" applyBorder="0" applyAlignment="0" applyProtection="0"/>
    <xf numFmtId="0" fontId="41" fillId="12" borderId="0" applyNumberFormat="0" applyBorder="0" applyAlignment="0" applyProtection="0"/>
    <xf numFmtId="0" fontId="41" fillId="14" borderId="0" applyNumberFormat="0" applyBorder="0" applyAlignment="0" applyProtection="0"/>
    <xf numFmtId="0" fontId="61" fillId="16" borderId="0" applyNumberFormat="0" applyBorder="0" applyAlignment="0" applyProtection="0"/>
    <xf numFmtId="0" fontId="61" fillId="17" borderId="0" applyNumberFormat="0" applyBorder="0" applyAlignment="0" applyProtection="0"/>
    <xf numFmtId="0" fontId="21" fillId="18" borderId="0" applyNumberFormat="0" applyBorder="0" applyAlignment="0" applyProtection="0"/>
    <xf numFmtId="0" fontId="60" fillId="19" borderId="0" applyNumberFormat="0" applyBorder="0" applyAlignment="0" applyProtection="0"/>
    <xf numFmtId="0" fontId="21" fillId="20" borderId="0" applyNumberFormat="0" applyBorder="0" applyAlignment="0" applyProtection="0"/>
    <xf numFmtId="0" fontId="60" fillId="21" borderId="0" applyNumberFormat="0" applyBorder="0" applyAlignment="0" applyProtection="0"/>
    <xf numFmtId="0" fontId="21" fillId="22" borderId="0" applyNumberFormat="0" applyBorder="0" applyAlignment="0" applyProtection="0"/>
    <xf numFmtId="0" fontId="60" fillId="23" borderId="0" applyNumberFormat="0" applyBorder="0" applyAlignment="0" applyProtection="0"/>
    <xf numFmtId="0" fontId="21" fillId="10" borderId="0" applyNumberFormat="0" applyBorder="0" applyAlignment="0" applyProtection="0"/>
    <xf numFmtId="0" fontId="60" fillId="11" borderId="0" applyNumberFormat="0" applyBorder="0" applyAlignment="0" applyProtection="0"/>
    <xf numFmtId="0" fontId="21" fillId="18" borderId="0" applyNumberFormat="0" applyBorder="0" applyAlignment="0" applyProtection="0"/>
    <xf numFmtId="0" fontId="60" fillId="19" borderId="0" applyNumberFormat="0" applyBorder="0" applyAlignment="0" applyProtection="0"/>
    <xf numFmtId="0" fontId="21" fillId="17" borderId="0" applyNumberFormat="0" applyBorder="0" applyAlignment="0" applyProtection="0"/>
    <xf numFmtId="0" fontId="60" fillId="24" borderId="0" applyNumberFormat="0" applyBorder="0" applyAlignment="0" applyProtection="0"/>
    <xf numFmtId="0" fontId="41" fillId="18" borderId="0" applyNumberFormat="0" applyBorder="0" applyAlignment="0" applyProtection="0"/>
    <xf numFmtId="0" fontId="41" fillId="20" borderId="0" applyNumberFormat="0" applyBorder="0" applyAlignment="0" applyProtection="0"/>
    <xf numFmtId="0" fontId="41" fillId="22" borderId="0" applyNumberFormat="0" applyBorder="0" applyAlignment="0" applyProtection="0"/>
    <xf numFmtId="0" fontId="41" fillId="10" borderId="0" applyNumberFormat="0" applyBorder="0" applyAlignment="0" applyProtection="0"/>
    <xf numFmtId="0" fontId="41" fillId="18" borderId="0" applyNumberFormat="0" applyBorder="0" applyAlignment="0" applyProtection="0"/>
    <xf numFmtId="0" fontId="41" fillId="17" borderId="0" applyNumberFormat="0" applyBorder="0" applyAlignment="0" applyProtection="0"/>
    <xf numFmtId="0" fontId="61" fillId="25" borderId="0" applyNumberFormat="0" applyBorder="0" applyAlignment="0" applyProtection="0"/>
    <xf numFmtId="0" fontId="61" fillId="26" borderId="0" applyNumberFormat="0" applyBorder="0" applyAlignment="0" applyProtection="0"/>
    <xf numFmtId="0" fontId="22" fillId="27" borderId="0" applyNumberFormat="0" applyBorder="0" applyAlignment="0" applyProtection="0"/>
    <xf numFmtId="0" fontId="61" fillId="28" borderId="0" applyNumberFormat="0" applyBorder="0" applyAlignment="0" applyProtection="0"/>
    <xf numFmtId="0" fontId="22" fillId="20" borderId="0" applyNumberFormat="0" applyBorder="0" applyAlignment="0" applyProtection="0"/>
    <xf numFmtId="0" fontId="61" fillId="21" borderId="0" applyNumberFormat="0" applyBorder="0" applyAlignment="0" applyProtection="0"/>
    <xf numFmtId="0" fontId="22" fillId="22" borderId="0" applyNumberFormat="0" applyBorder="0" applyAlignment="0" applyProtection="0"/>
    <xf numFmtId="0" fontId="61" fillId="23" borderId="0" applyNumberFormat="0" applyBorder="0" applyAlignment="0" applyProtection="0"/>
    <xf numFmtId="0" fontId="22" fillId="29" borderId="0" applyNumberFormat="0" applyBorder="0" applyAlignment="0" applyProtection="0"/>
    <xf numFmtId="0" fontId="61" fillId="30" borderId="0" applyNumberFormat="0" applyBorder="0" applyAlignment="0" applyProtection="0"/>
    <xf numFmtId="0" fontId="22" fillId="2" borderId="0" applyNumberFormat="0" applyBorder="0" applyAlignment="0" applyProtection="0"/>
    <xf numFmtId="0" fontId="61" fillId="31" borderId="0" applyNumberFormat="0" applyBorder="0" applyAlignment="0" applyProtection="0"/>
    <xf numFmtId="0" fontId="22" fillId="32" borderId="0" applyNumberFormat="0" applyBorder="0" applyAlignment="0" applyProtection="0"/>
    <xf numFmtId="0" fontId="61" fillId="33" borderId="0" applyNumberFormat="0" applyBorder="0" applyAlignment="0" applyProtection="0"/>
    <xf numFmtId="0" fontId="42" fillId="27" borderId="0" applyNumberFormat="0" applyBorder="0" applyAlignment="0" applyProtection="0"/>
    <xf numFmtId="0" fontId="42" fillId="20" borderId="0" applyNumberFormat="0" applyBorder="0" applyAlignment="0" applyProtection="0"/>
    <xf numFmtId="0" fontId="42" fillId="22" borderId="0" applyNumberFormat="0" applyBorder="0" applyAlignment="0" applyProtection="0"/>
    <xf numFmtId="0" fontId="42" fillId="29" borderId="0" applyNumberFormat="0" applyBorder="0" applyAlignment="0" applyProtection="0"/>
    <xf numFmtId="0" fontId="42" fillId="2" borderId="0" applyNumberFormat="0" applyBorder="0" applyAlignment="0" applyProtection="0"/>
    <xf numFmtId="0" fontId="42" fillId="32" borderId="0" applyNumberFormat="0" applyBorder="0" applyAlignment="0" applyProtection="0"/>
    <xf numFmtId="0" fontId="42" fillId="25" borderId="0" applyNumberFormat="0" applyBorder="0" applyAlignment="0" applyProtection="0"/>
    <xf numFmtId="0" fontId="42" fillId="34" borderId="0" applyNumberFormat="0" applyBorder="0" applyAlignment="0" applyProtection="0"/>
    <xf numFmtId="0" fontId="42" fillId="26" borderId="0" applyNumberFormat="0" applyBorder="0" applyAlignment="0" applyProtection="0"/>
    <xf numFmtId="0" fontId="42" fillId="29" borderId="0" applyNumberFormat="0" applyBorder="0" applyAlignment="0" applyProtection="0"/>
    <xf numFmtId="0" fontId="42" fillId="2" borderId="0" applyNumberFormat="0" applyBorder="0" applyAlignment="0" applyProtection="0"/>
    <xf numFmtId="0" fontId="42" fillId="3" borderId="0" applyNumberFormat="0" applyBorder="0" applyAlignment="0" applyProtection="0"/>
    <xf numFmtId="0" fontId="43" fillId="6" borderId="0" applyNumberFormat="0" applyBorder="0" applyAlignment="0" applyProtection="0"/>
    <xf numFmtId="0" fontId="23" fillId="14" borderId="1" applyNumberFormat="0" applyAlignment="0" applyProtection="0"/>
    <xf numFmtId="0" fontId="62" fillId="15" borderId="1" applyNumberFormat="0" applyAlignment="0" applyProtection="0"/>
    <xf numFmtId="0" fontId="44" fillId="35" borderId="1" applyNumberFormat="0" applyAlignment="0" applyProtection="0"/>
    <xf numFmtId="0" fontId="45" fillId="16" borderId="2" applyNumberFormat="0" applyAlignment="0" applyProtection="0"/>
    <xf numFmtId="0" fontId="24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63" fillId="0" borderId="4" applyNumberFormat="0" applyFill="0" applyAlignment="0" applyProtection="0"/>
    <xf numFmtId="0" fontId="26" fillId="0" borderId="5" applyNumberFormat="0" applyFill="0" applyAlignment="0" applyProtection="0"/>
    <xf numFmtId="0" fontId="64" fillId="0" borderId="6" applyNumberFormat="0" applyFill="0" applyAlignment="0" applyProtection="0"/>
    <xf numFmtId="0" fontId="27" fillId="0" borderId="7" applyNumberFormat="0" applyFill="0" applyAlignment="0" applyProtection="0"/>
    <xf numFmtId="0" fontId="65" fillId="0" borderId="8" applyNumberFormat="0" applyFill="0" applyAlignment="0" applyProtection="0"/>
    <xf numFmtId="0" fontId="27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28" fillId="16" borderId="2" applyNumberFormat="0" applyAlignment="0" applyProtection="0"/>
    <xf numFmtId="0" fontId="66" fillId="36" borderId="2" applyNumberFormat="0" applyAlignment="0" applyProtection="0"/>
    <xf numFmtId="0" fontId="46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47" fillId="8" borderId="0" applyNumberFormat="0" applyBorder="0" applyAlignment="0" applyProtection="0"/>
    <xf numFmtId="0" fontId="48" fillId="0" borderId="3" applyNumberFormat="0" applyFill="0" applyAlignment="0" applyProtection="0"/>
    <xf numFmtId="0" fontId="49" fillId="0" borderId="5" applyNumberFormat="0" applyFill="0" applyAlignment="0" applyProtection="0"/>
    <xf numFmtId="0" fontId="50" fillId="0" borderId="7" applyNumberFormat="0" applyFill="0" applyAlignment="0" applyProtection="0"/>
    <xf numFmtId="0" fontId="50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68" fillId="0" borderId="9" applyNumberFormat="0" applyFill="0" applyAlignment="0" applyProtection="0"/>
    <xf numFmtId="0" fontId="51" fillId="14" borderId="1" applyNumberFormat="0" applyAlignment="0" applyProtection="0"/>
    <xf numFmtId="0" fontId="31" fillId="37" borderId="10" applyNumberFormat="0" applyFont="0" applyAlignment="0" applyProtection="0"/>
    <xf numFmtId="0" fontId="59" fillId="38" borderId="10" applyNumberFormat="0" applyAlignment="0" applyProtection="0"/>
    <xf numFmtId="0" fontId="22" fillId="25" borderId="0" applyNumberFormat="0" applyBorder="0" applyAlignment="0" applyProtection="0"/>
    <xf numFmtId="0" fontId="61" fillId="39" borderId="0" applyNumberFormat="0" applyBorder="0" applyAlignment="0" applyProtection="0"/>
    <xf numFmtId="0" fontId="22" fillId="34" borderId="0" applyNumberFormat="0" applyBorder="0" applyAlignment="0" applyProtection="0"/>
    <xf numFmtId="0" fontId="61" fillId="40" borderId="0" applyNumberFormat="0" applyBorder="0" applyAlignment="0" applyProtection="0"/>
    <xf numFmtId="0" fontId="22" fillId="26" borderId="0" applyNumberFormat="0" applyBorder="0" applyAlignment="0" applyProtection="0"/>
    <xf numFmtId="0" fontId="61" fillId="41" borderId="0" applyNumberFormat="0" applyBorder="0" applyAlignment="0" applyProtection="0"/>
    <xf numFmtId="0" fontId="22" fillId="29" borderId="0" applyNumberFormat="0" applyBorder="0" applyAlignment="0" applyProtection="0"/>
    <xf numFmtId="0" fontId="61" fillId="30" borderId="0" applyNumberFormat="0" applyBorder="0" applyAlignment="0" applyProtection="0"/>
    <xf numFmtId="0" fontId="22" fillId="2" borderId="0" applyNumberFormat="0" applyBorder="0" applyAlignment="0" applyProtection="0"/>
    <xf numFmtId="0" fontId="61" fillId="31" borderId="0" applyNumberFormat="0" applyBorder="0" applyAlignment="0" applyProtection="0"/>
    <xf numFmtId="0" fontId="22" fillId="3" borderId="0" applyNumberFormat="0" applyBorder="0" applyAlignment="0" applyProtection="0"/>
    <xf numFmtId="0" fontId="61" fillId="42" borderId="0" applyNumberFormat="0" applyBorder="0" applyAlignment="0" applyProtection="0"/>
    <xf numFmtId="0" fontId="61" fillId="25" borderId="0" applyNumberFormat="0" applyBorder="0" applyAlignment="0" applyProtection="0"/>
    <xf numFmtId="0" fontId="61" fillId="3" borderId="0" applyNumberFormat="0" applyBorder="0" applyAlignment="0" applyProtection="0"/>
    <xf numFmtId="0" fontId="61" fillId="16" borderId="0" applyNumberFormat="0" applyBorder="0" applyAlignment="0" applyProtection="0"/>
    <xf numFmtId="0" fontId="61" fillId="17" borderId="0" applyNumberFormat="0" applyBorder="0" applyAlignment="0" applyProtection="0"/>
    <xf numFmtId="0" fontId="61" fillId="2" borderId="0" applyNumberFormat="0" applyBorder="0" applyAlignment="0" applyProtection="0"/>
    <xf numFmtId="0" fontId="61" fillId="26" borderId="0" applyNumberFormat="0" applyBorder="0" applyAlignment="0" applyProtection="0"/>
    <xf numFmtId="0" fontId="32" fillId="8" borderId="0" applyNumberFormat="0" applyBorder="0" applyAlignment="0" applyProtection="0"/>
    <xf numFmtId="0" fontId="69" fillId="9" borderId="0" applyNumberFormat="0" applyBorder="0" applyAlignment="0" applyProtection="0"/>
    <xf numFmtId="0" fontId="33" fillId="35" borderId="11" applyNumberFormat="0" applyAlignment="0" applyProtection="0"/>
    <xf numFmtId="0" fontId="70" fillId="43" borderId="11" applyNumberFormat="0" applyAlignment="0" applyProtection="0"/>
    <xf numFmtId="0" fontId="52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53" fillId="44" borderId="0" applyNumberFormat="0" applyBorder="0" applyAlignment="0" applyProtection="0"/>
    <xf numFmtId="0" fontId="31" fillId="0" borderId="0"/>
    <xf numFmtId="0" fontId="59" fillId="0" borderId="0"/>
    <xf numFmtId="0" fontId="17" fillId="0" borderId="0"/>
    <xf numFmtId="0" fontId="6" fillId="0" borderId="0"/>
    <xf numFmtId="0" fontId="7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5" fillId="0" borderId="0"/>
    <xf numFmtId="0" fontId="17" fillId="0" borderId="0"/>
    <xf numFmtId="0" fontId="17" fillId="0" borderId="0"/>
    <xf numFmtId="0" fontId="4" fillId="0" borderId="0"/>
    <xf numFmtId="0" fontId="6" fillId="0" borderId="0"/>
    <xf numFmtId="0" fontId="76" fillId="0" borderId="0"/>
    <xf numFmtId="0" fontId="76" fillId="0" borderId="0"/>
    <xf numFmtId="0" fontId="5" fillId="0" borderId="0"/>
    <xf numFmtId="0" fontId="6" fillId="0" borderId="0"/>
    <xf numFmtId="0" fontId="41" fillId="37" borderId="10" applyNumberFormat="0" applyFont="0" applyAlignment="0" applyProtection="0"/>
    <xf numFmtId="0" fontId="54" fillId="35" borderId="11" applyNumberFormat="0" applyAlignment="0" applyProtection="0"/>
    <xf numFmtId="0" fontId="35" fillId="0" borderId="12" applyNumberFormat="0" applyFill="0" applyAlignment="0" applyProtection="0"/>
    <xf numFmtId="0" fontId="72" fillId="0" borderId="12" applyNumberFormat="0" applyFill="0" applyAlignment="0" applyProtection="0"/>
    <xf numFmtId="0" fontId="36" fillId="6" borderId="0" applyNumberFormat="0" applyBorder="0" applyAlignment="0" applyProtection="0"/>
    <xf numFmtId="0" fontId="73" fillId="7" borderId="0" applyNumberFormat="0" applyBorder="0" applyAlignment="0" applyProtection="0"/>
    <xf numFmtId="0" fontId="37" fillId="44" borderId="0" applyNumberFormat="0" applyBorder="0" applyAlignment="0" applyProtection="0"/>
    <xf numFmtId="0" fontId="74" fillId="45" borderId="0" applyNumberFormat="0" applyBorder="0" applyAlignment="0" applyProtection="0"/>
    <xf numFmtId="0" fontId="38" fillId="35" borderId="1" applyNumberFormat="0" applyAlignment="0" applyProtection="0"/>
    <xf numFmtId="0" fontId="75" fillId="43" borderId="1" applyNumberFormat="0" applyAlignment="0" applyProtection="0"/>
    <xf numFmtId="0" fontId="55" fillId="0" borderId="0" applyNumberFormat="0" applyFill="0" applyBorder="0" applyAlignment="0" applyProtection="0"/>
    <xf numFmtId="0" fontId="56" fillId="0" borderId="12" applyNumberFormat="0" applyFill="0" applyAlignment="0" applyProtection="0"/>
    <xf numFmtId="0" fontId="57" fillId="0" borderId="0" applyNumberFormat="0" applyFill="0" applyBorder="0" applyAlignment="0" applyProtection="0"/>
    <xf numFmtId="0" fontId="6" fillId="0" borderId="0"/>
    <xf numFmtId="0" fontId="2" fillId="0" borderId="0"/>
    <xf numFmtId="43" fontId="2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7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90" fillId="0" borderId="0"/>
    <xf numFmtId="0" fontId="40" fillId="0" borderId="0"/>
    <xf numFmtId="0" fontId="17" fillId="0" borderId="0"/>
    <xf numFmtId="0" fontId="9" fillId="0" borderId="0"/>
    <xf numFmtId="0" fontId="6" fillId="0" borderId="0"/>
    <xf numFmtId="0" fontId="59" fillId="0" borderId="0"/>
    <xf numFmtId="0" fontId="17" fillId="0" borderId="0"/>
    <xf numFmtId="0" fontId="40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1" fillId="0" borderId="0"/>
    <xf numFmtId="43" fontId="1" fillId="0" borderId="0" applyFont="0" applyFill="0" applyBorder="0" applyAlignment="0" applyProtection="0"/>
  </cellStyleXfs>
  <cellXfs count="971">
    <xf numFmtId="0" fontId="0" fillId="0" borderId="0" xfId="0"/>
    <xf numFmtId="3" fontId="7" fillId="0" borderId="0" xfId="0" applyNumberFormat="1" applyFont="1" applyAlignment="1">
      <alignment vertical="center"/>
    </xf>
    <xf numFmtId="3" fontId="12" fillId="0" borderId="13" xfId="140" applyNumberFormat="1" applyFont="1" applyFill="1" applyBorder="1" applyAlignment="1">
      <alignment horizontal="center" vertical="center" wrapText="1"/>
    </xf>
    <xf numFmtId="3" fontId="11" fillId="0" borderId="13" xfId="140" applyNumberFormat="1" applyFont="1" applyFill="1" applyBorder="1" applyAlignment="1">
      <alignment horizontal="center" vertical="center" wrapText="1"/>
    </xf>
    <xf numFmtId="3" fontId="12" fillId="0" borderId="13" xfId="140" applyNumberFormat="1" applyFont="1" applyBorder="1" applyAlignment="1">
      <alignment horizontal="center" vertical="center"/>
    </xf>
    <xf numFmtId="3" fontId="12" fillId="0" borderId="13" xfId="140" applyNumberFormat="1" applyFont="1" applyBorder="1" applyAlignment="1">
      <alignment horizontal="right" vertical="center"/>
    </xf>
    <xf numFmtId="3" fontId="12" fillId="0" borderId="13" xfId="140" applyNumberFormat="1" applyFont="1" applyBorder="1" applyAlignment="1">
      <alignment vertical="center"/>
    </xf>
    <xf numFmtId="3" fontId="12" fillId="0" borderId="13" xfId="140" applyNumberFormat="1" applyFont="1" applyFill="1" applyBorder="1" applyAlignment="1">
      <alignment vertical="center"/>
    </xf>
    <xf numFmtId="3" fontId="11" fillId="46" borderId="13" xfId="140" applyNumberFormat="1" applyFont="1" applyFill="1" applyBorder="1" applyAlignment="1">
      <alignment horizontal="right" vertical="center"/>
    </xf>
    <xf numFmtId="3" fontId="11" fillId="46" borderId="13" xfId="140" applyNumberFormat="1" applyFont="1" applyFill="1" applyBorder="1" applyAlignment="1">
      <alignment vertical="center"/>
    </xf>
    <xf numFmtId="3" fontId="12" fillId="0" borderId="13" xfId="0" applyNumberFormat="1" applyFont="1" applyFill="1" applyBorder="1" applyAlignment="1">
      <alignment vertical="center"/>
    </xf>
    <xf numFmtId="3" fontId="12" fillId="0" borderId="14" xfId="0" applyNumberFormat="1" applyFont="1" applyFill="1" applyBorder="1" applyAlignment="1">
      <alignment vertical="center"/>
    </xf>
    <xf numFmtId="3" fontId="12" fillId="0" borderId="13" xfId="0" applyNumberFormat="1" applyFont="1" applyBorder="1" applyAlignment="1">
      <alignment vertical="center"/>
    </xf>
    <xf numFmtId="3" fontId="11" fillId="0" borderId="13" xfId="0" applyNumberFormat="1" applyFont="1" applyBorder="1" applyAlignment="1">
      <alignment vertical="center"/>
    </xf>
    <xf numFmtId="3" fontId="11" fillId="0" borderId="15" xfId="0" applyNumberFormat="1" applyFont="1" applyBorder="1" applyAlignment="1">
      <alignment vertical="center"/>
    </xf>
    <xf numFmtId="3" fontId="7" fillId="0" borderId="0" xfId="0" applyNumberFormat="1" applyFont="1" applyFill="1" applyAlignment="1">
      <alignment vertical="center"/>
    </xf>
    <xf numFmtId="0" fontId="7" fillId="0" borderId="0" xfId="0" applyFont="1" applyFill="1"/>
    <xf numFmtId="0" fontId="8" fillId="0" borderId="0" xfId="0" applyFont="1"/>
    <xf numFmtId="3" fontId="7" fillId="0" borderId="0" xfId="0" applyNumberFormat="1" applyFont="1" applyFill="1" applyBorder="1" applyAlignment="1">
      <alignment vertical="center"/>
    </xf>
    <xf numFmtId="0" fontId="7" fillId="0" borderId="0" xfId="0" applyFont="1"/>
    <xf numFmtId="3" fontId="7" fillId="0" borderId="0" xfId="0" applyNumberFormat="1" applyFont="1" applyBorder="1" applyAlignment="1">
      <alignment vertical="center"/>
    </xf>
    <xf numFmtId="3" fontId="7" fillId="0" borderId="0" xfId="0" applyNumberFormat="1" applyFont="1" applyAlignment="1">
      <alignment vertical="center" wrapText="1"/>
    </xf>
    <xf numFmtId="0" fontId="8" fillId="0" borderId="0" xfId="0" applyFont="1" applyFill="1"/>
    <xf numFmtId="3" fontId="7" fillId="0" borderId="0" xfId="0" applyNumberFormat="1" applyFont="1" applyAlignment="1">
      <alignment horizontal="center" vertical="center" wrapText="1"/>
    </xf>
    <xf numFmtId="0" fontId="6" fillId="0" borderId="0" xfId="127" applyAlignment="1">
      <alignment vertical="center"/>
    </xf>
    <xf numFmtId="0" fontId="6" fillId="0" borderId="0" xfId="127" applyAlignment="1">
      <alignment vertical="top"/>
    </xf>
    <xf numFmtId="0" fontId="15" fillId="0" borderId="0" xfId="127" applyFont="1" applyAlignment="1">
      <alignment vertical="center"/>
    </xf>
    <xf numFmtId="3" fontId="6" fillId="0" borderId="0" xfId="127" applyNumberFormat="1" applyAlignment="1">
      <alignment vertical="center"/>
    </xf>
    <xf numFmtId="3" fontId="16" fillId="0" borderId="0" xfId="140" applyNumberFormat="1" applyFont="1" applyFill="1" applyAlignment="1">
      <alignment vertical="center"/>
    </xf>
    <xf numFmtId="3" fontId="7" fillId="0" borderId="0" xfId="140" applyNumberFormat="1" applyFont="1" applyAlignment="1">
      <alignment vertical="center"/>
    </xf>
    <xf numFmtId="3" fontId="7" fillId="0" borderId="0" xfId="140" applyNumberFormat="1" applyFont="1" applyFill="1" applyBorder="1" applyAlignment="1">
      <alignment vertical="center"/>
    </xf>
    <xf numFmtId="0" fontId="7" fillId="0" borderId="0" xfId="0" applyFont="1" applyBorder="1"/>
    <xf numFmtId="3" fontId="11" fillId="46" borderId="16" xfId="0" applyNumberFormat="1" applyFont="1" applyFill="1" applyBorder="1" applyAlignment="1">
      <alignment horizontal="center" vertical="center" wrapText="1"/>
    </xf>
    <xf numFmtId="3" fontId="11" fillId="46" borderId="17" xfId="0" applyNumberFormat="1" applyFont="1" applyFill="1" applyBorder="1" applyAlignment="1">
      <alignment horizontal="center" vertical="center" wrapText="1"/>
    </xf>
    <xf numFmtId="3" fontId="11" fillId="46" borderId="18" xfId="0" applyNumberFormat="1" applyFont="1" applyFill="1" applyBorder="1" applyAlignment="1">
      <alignment horizontal="center" vertical="center" wrapText="1"/>
    </xf>
    <xf numFmtId="3" fontId="11" fillId="0" borderId="0" xfId="0" applyNumberFormat="1" applyFont="1" applyFill="1" applyBorder="1" applyAlignment="1">
      <alignment vertical="center" wrapText="1"/>
    </xf>
    <xf numFmtId="3" fontId="11" fillId="0" borderId="13" xfId="0" applyNumberFormat="1" applyFont="1" applyBorder="1" applyAlignment="1">
      <alignment vertical="center" wrapText="1"/>
    </xf>
    <xf numFmtId="3" fontId="11" fillId="0" borderId="15" xfId="0" applyNumberFormat="1" applyFont="1" applyBorder="1" applyAlignment="1">
      <alignment vertical="center" wrapText="1"/>
    </xf>
    <xf numFmtId="3" fontId="11" fillId="0" borderId="0" xfId="0" applyNumberFormat="1" applyFont="1" applyFill="1" applyBorder="1" applyAlignment="1">
      <alignment vertical="center"/>
    </xf>
    <xf numFmtId="3" fontId="12" fillId="0" borderId="13" xfId="0" applyNumberFormat="1" applyFont="1" applyBorder="1" applyAlignment="1">
      <alignment vertical="center" wrapText="1"/>
    </xf>
    <xf numFmtId="3" fontId="12" fillId="0" borderId="0" xfId="0" applyNumberFormat="1" applyFont="1" applyFill="1" applyBorder="1" applyAlignment="1">
      <alignment vertical="center"/>
    </xf>
    <xf numFmtId="3" fontId="12" fillId="0" borderId="13" xfId="0" applyNumberFormat="1" applyFont="1" applyFill="1" applyBorder="1" applyAlignment="1">
      <alignment vertical="center" wrapText="1"/>
    </xf>
    <xf numFmtId="3" fontId="11" fillId="46" borderId="13" xfId="0" applyNumberFormat="1" applyFont="1" applyFill="1" applyBorder="1" applyAlignment="1">
      <alignment vertical="center" wrapText="1"/>
    </xf>
    <xf numFmtId="3" fontId="10" fillId="0" borderId="13" xfId="0" applyNumberFormat="1" applyFont="1" applyFill="1" applyBorder="1" applyAlignment="1">
      <alignment horizontal="center" vertical="center" wrapText="1"/>
    </xf>
    <xf numFmtId="3" fontId="11" fillId="46" borderId="19" xfId="0" applyNumberFormat="1" applyFont="1" applyFill="1" applyBorder="1" applyAlignment="1">
      <alignment vertical="center"/>
    </xf>
    <xf numFmtId="3" fontId="11" fillId="46" borderId="20" xfId="0" applyNumberFormat="1" applyFont="1" applyFill="1" applyBorder="1" applyAlignment="1">
      <alignment horizontal="left" vertical="center" wrapText="1"/>
    </xf>
    <xf numFmtId="3" fontId="16" fillId="0" borderId="0" xfId="140" applyNumberFormat="1" applyFont="1" applyAlignment="1">
      <alignment vertical="center"/>
    </xf>
    <xf numFmtId="3" fontId="7" fillId="0" borderId="0" xfId="140" applyNumberFormat="1" applyFont="1" applyFill="1" applyAlignment="1">
      <alignment vertical="center"/>
    </xf>
    <xf numFmtId="3" fontId="10" fillId="46" borderId="13" xfId="0" applyNumberFormat="1" applyFont="1" applyFill="1" applyBorder="1" applyAlignment="1">
      <alignment vertical="center" wrapText="1"/>
    </xf>
    <xf numFmtId="3" fontId="10" fillId="46" borderId="16" xfId="0" applyNumberFormat="1" applyFont="1" applyFill="1" applyBorder="1" applyAlignment="1">
      <alignment horizontal="center" vertical="center" wrapText="1"/>
    </xf>
    <xf numFmtId="3" fontId="10" fillId="46" borderId="21" xfId="0" applyNumberFormat="1" applyFont="1" applyFill="1" applyBorder="1" applyAlignment="1">
      <alignment horizontal="center" vertical="center" wrapText="1"/>
    </xf>
    <xf numFmtId="3" fontId="10" fillId="0" borderId="13" xfId="0" applyNumberFormat="1" applyFont="1" applyFill="1" applyBorder="1" applyAlignment="1">
      <alignment vertical="center" wrapText="1"/>
    </xf>
    <xf numFmtId="3" fontId="9" fillId="0" borderId="13" xfId="0" applyNumberFormat="1" applyFont="1" applyFill="1" applyBorder="1" applyAlignment="1">
      <alignment horizontal="center" vertical="center" wrapText="1"/>
    </xf>
    <xf numFmtId="3" fontId="9" fillId="0" borderId="13" xfId="0" applyNumberFormat="1" applyFont="1" applyFill="1" applyBorder="1" applyAlignment="1">
      <alignment vertical="center" wrapText="1"/>
    </xf>
    <xf numFmtId="3" fontId="10" fillId="46" borderId="13" xfId="0" applyNumberFormat="1" applyFont="1" applyFill="1" applyBorder="1" applyAlignment="1">
      <alignment horizontal="center" vertical="center" wrapText="1"/>
    </xf>
    <xf numFmtId="0" fontId="12" fillId="0" borderId="13" xfId="127" applyFont="1" applyBorder="1" applyAlignment="1">
      <alignment vertical="center"/>
    </xf>
    <xf numFmtId="0" fontId="12" fillId="0" borderId="13" xfId="127" applyFont="1" applyBorder="1" applyAlignment="1">
      <alignment horizontal="center" vertical="center"/>
    </xf>
    <xf numFmtId="3" fontId="12" fillId="0" borderId="13" xfId="127" applyNumberFormat="1" applyFont="1" applyBorder="1" applyAlignment="1">
      <alignment vertical="center"/>
    </xf>
    <xf numFmtId="0" fontId="11" fillId="46" borderId="13" xfId="127" applyFont="1" applyFill="1" applyBorder="1" applyAlignment="1">
      <alignment horizontal="center" vertical="center"/>
    </xf>
    <xf numFmtId="0" fontId="11" fillId="46" borderId="13" xfId="127" applyFont="1" applyFill="1" applyBorder="1" applyAlignment="1">
      <alignment vertical="center"/>
    </xf>
    <xf numFmtId="0" fontId="9" fillId="0" borderId="13" xfId="127" applyFont="1" applyBorder="1" applyAlignment="1">
      <alignment horizontal="center" vertical="center"/>
    </xf>
    <xf numFmtId="3" fontId="12" fillId="0" borderId="13" xfId="140" applyNumberFormat="1" applyFont="1" applyBorder="1" applyAlignment="1">
      <alignment horizontal="left" vertical="center" wrapText="1"/>
    </xf>
    <xf numFmtId="3" fontId="12" fillId="0" borderId="13" xfId="140" applyNumberFormat="1" applyFont="1" applyBorder="1" applyAlignment="1">
      <alignment horizontal="left" vertical="center"/>
    </xf>
    <xf numFmtId="3" fontId="12" fillId="46" borderId="13" xfId="140" applyNumberFormat="1" applyFont="1" applyFill="1" applyBorder="1" applyAlignment="1">
      <alignment horizontal="center" vertical="center"/>
    </xf>
    <xf numFmtId="3" fontId="10" fillId="47" borderId="21" xfId="140" applyNumberFormat="1" applyFont="1" applyFill="1" applyBorder="1" applyAlignment="1">
      <alignment horizontal="center" vertical="center" wrapText="1"/>
    </xf>
    <xf numFmtId="3" fontId="10" fillId="0" borderId="13" xfId="140" applyNumberFormat="1" applyFont="1" applyFill="1" applyBorder="1" applyAlignment="1">
      <alignment horizontal="left" vertical="center" wrapText="1"/>
    </xf>
    <xf numFmtId="3" fontId="9" fillId="0" borderId="13" xfId="140" applyNumberFormat="1" applyFont="1" applyFill="1" applyBorder="1" applyAlignment="1">
      <alignment horizontal="center" vertical="center" wrapText="1"/>
    </xf>
    <xf numFmtId="3" fontId="9" fillId="0" borderId="13" xfId="140" applyNumberFormat="1" applyFont="1" applyFill="1" applyBorder="1" applyAlignment="1">
      <alignment horizontal="left" vertical="center" wrapText="1"/>
    </xf>
    <xf numFmtId="3" fontId="9" fillId="0" borderId="13" xfId="140" applyNumberFormat="1" applyFont="1" applyBorder="1" applyAlignment="1">
      <alignment horizontal="center" vertical="center"/>
    </xf>
    <xf numFmtId="3" fontId="9" fillId="0" borderId="13" xfId="140" applyNumberFormat="1" applyFont="1" applyBorder="1" applyAlignment="1">
      <alignment horizontal="left" vertical="center" wrapText="1"/>
    </xf>
    <xf numFmtId="3" fontId="9" fillId="0" borderId="13" xfId="140" applyNumberFormat="1" applyFont="1" applyBorder="1" applyAlignment="1">
      <alignment vertical="center"/>
    </xf>
    <xf numFmtId="3" fontId="9" fillId="0" borderId="13" xfId="140" applyNumberFormat="1" applyFont="1" applyBorder="1" applyAlignment="1">
      <alignment horizontal="left" vertical="center"/>
    </xf>
    <xf numFmtId="3" fontId="9" fillId="46" borderId="13" xfId="140" applyNumberFormat="1" applyFont="1" applyFill="1" applyBorder="1" applyAlignment="1">
      <alignment horizontal="center" vertical="center"/>
    </xf>
    <xf numFmtId="3" fontId="10" fillId="46" borderId="13" xfId="140" applyNumberFormat="1" applyFont="1" applyFill="1" applyBorder="1" applyAlignment="1">
      <alignment horizontal="left" vertical="center" wrapText="1"/>
    </xf>
    <xf numFmtId="3" fontId="10" fillId="46" borderId="13" xfId="140" applyNumberFormat="1" applyFont="1" applyFill="1" applyBorder="1" applyAlignment="1">
      <alignment vertical="center"/>
    </xf>
    <xf numFmtId="3" fontId="9" fillId="0" borderId="0" xfId="0" applyNumberFormat="1" applyFont="1" applyFill="1" applyAlignment="1">
      <alignment vertical="center"/>
    </xf>
    <xf numFmtId="3" fontId="9" fillId="0" borderId="0" xfId="0" applyNumberFormat="1" applyFont="1" applyAlignment="1">
      <alignment vertical="center"/>
    </xf>
    <xf numFmtId="0" fontId="9" fillId="0" borderId="0" xfId="0" applyFont="1"/>
    <xf numFmtId="3" fontId="11" fillId="46" borderId="13" xfId="127" applyNumberFormat="1" applyFont="1" applyFill="1" applyBorder="1" applyAlignment="1">
      <alignment vertical="center"/>
    </xf>
    <xf numFmtId="3" fontId="11" fillId="0" borderId="13" xfId="0" applyNumberFormat="1" applyFont="1" applyFill="1" applyBorder="1" applyAlignment="1">
      <alignment vertical="center" wrapText="1"/>
    </xf>
    <xf numFmtId="3" fontId="9" fillId="0" borderId="13" xfId="140" applyNumberFormat="1" applyFont="1" applyFill="1" applyBorder="1" applyAlignment="1">
      <alignment vertical="center" wrapText="1"/>
    </xf>
    <xf numFmtId="3" fontId="10" fillId="0" borderId="13" xfId="140" applyNumberFormat="1" applyFont="1" applyBorder="1" applyAlignment="1">
      <alignment vertical="center"/>
    </xf>
    <xf numFmtId="3" fontId="10" fillId="0" borderId="13" xfId="140" applyNumberFormat="1" applyFont="1" applyBorder="1" applyAlignment="1">
      <alignment horizontal="left" vertical="center" wrapText="1"/>
    </xf>
    <xf numFmtId="3" fontId="9" fillId="46" borderId="13" xfId="0" applyNumberFormat="1" applyFont="1" applyFill="1" applyBorder="1" applyAlignment="1">
      <alignment horizontal="center" vertical="center" wrapText="1"/>
    </xf>
    <xf numFmtId="3" fontId="9" fillId="0" borderId="22" xfId="0" applyNumberFormat="1" applyFont="1" applyFill="1" applyBorder="1" applyAlignment="1">
      <alignment vertical="center" wrapText="1"/>
    </xf>
    <xf numFmtId="3" fontId="12" fillId="0" borderId="13" xfId="140" applyNumberFormat="1" applyFont="1" applyFill="1" applyBorder="1" applyAlignment="1">
      <alignment horizontal="right" vertical="center"/>
    </xf>
    <xf numFmtId="3" fontId="12" fillId="0" borderId="13" xfId="0" applyNumberFormat="1" applyFont="1" applyFill="1" applyBorder="1" applyAlignment="1">
      <alignment horizontal="center" vertical="center"/>
    </xf>
    <xf numFmtId="3" fontId="11" fillId="46" borderId="13" xfId="0" applyNumberFormat="1" applyFont="1" applyFill="1" applyBorder="1" applyAlignment="1">
      <alignment vertical="center"/>
    </xf>
    <xf numFmtId="3" fontId="9" fillId="0" borderId="13" xfId="137" applyNumberFormat="1" applyFont="1" applyFill="1" applyBorder="1" applyAlignment="1">
      <alignment vertical="center"/>
    </xf>
    <xf numFmtId="3" fontId="12" fillId="0" borderId="13" xfId="0" applyNumberFormat="1" applyFont="1" applyFill="1" applyBorder="1" applyAlignment="1">
      <alignment horizontal="right" vertical="center"/>
    </xf>
    <xf numFmtId="0" fontId="11" fillId="46" borderId="13" xfId="127" applyFont="1" applyFill="1" applyBorder="1" applyAlignment="1">
      <alignment vertical="center" wrapText="1"/>
    </xf>
    <xf numFmtId="3" fontId="11" fillId="0" borderId="13" xfId="140" applyNumberFormat="1" applyFont="1" applyFill="1" applyBorder="1" applyAlignment="1">
      <alignment horizontal="center" vertical="center"/>
    </xf>
    <xf numFmtId="0" fontId="12" fillId="0" borderId="13" xfId="127" applyFont="1" applyFill="1" applyBorder="1" applyAlignment="1">
      <alignment vertical="center"/>
    </xf>
    <xf numFmtId="0" fontId="9" fillId="0" borderId="13" xfId="137" applyFont="1" applyFill="1" applyBorder="1" applyAlignment="1">
      <alignment vertical="center"/>
    </xf>
    <xf numFmtId="3" fontId="10" fillId="0" borderId="13" xfId="140" applyNumberFormat="1" applyFont="1" applyFill="1" applyBorder="1" applyAlignment="1">
      <alignment vertical="center"/>
    </xf>
    <xf numFmtId="0" fontId="11" fillId="46" borderId="13" xfId="127" applyFont="1" applyFill="1" applyBorder="1" applyAlignment="1">
      <alignment horizontal="center" vertical="center" wrapText="1"/>
    </xf>
    <xf numFmtId="3" fontId="11" fillId="46" borderId="13" xfId="140" applyNumberFormat="1" applyFont="1" applyFill="1" applyBorder="1" applyAlignment="1">
      <alignment horizontal="center" vertical="center" wrapText="1"/>
    </xf>
    <xf numFmtId="0" fontId="58" fillId="46" borderId="13" xfId="0" applyFont="1" applyFill="1" applyBorder="1" applyAlignment="1">
      <alignment horizontal="center" vertical="center" wrapText="1"/>
    </xf>
    <xf numFmtId="0" fontId="11" fillId="46" borderId="13" xfId="127" applyFont="1" applyFill="1" applyBorder="1" applyAlignment="1">
      <alignment horizontal="center" vertical="top" wrapText="1"/>
    </xf>
    <xf numFmtId="3" fontId="10" fillId="0" borderId="20" xfId="140" applyNumberFormat="1" applyFont="1" applyFill="1" applyBorder="1" applyAlignment="1">
      <alignment horizontal="center" vertical="center" wrapText="1"/>
    </xf>
    <xf numFmtId="3" fontId="10" fillId="0" borderId="20" xfId="140" applyNumberFormat="1" applyFont="1" applyFill="1" applyBorder="1" applyAlignment="1">
      <alignment horizontal="left" vertical="center" wrapText="1"/>
    </xf>
    <xf numFmtId="3" fontId="9" fillId="0" borderId="13" xfId="0" applyNumberFormat="1" applyFont="1" applyFill="1" applyBorder="1" applyAlignment="1">
      <alignment horizontal="left" vertical="center" wrapText="1"/>
    </xf>
    <xf numFmtId="3" fontId="9" fillId="0" borderId="13" xfId="0" applyNumberFormat="1" applyFont="1" applyFill="1" applyBorder="1" applyAlignment="1">
      <alignment horizontal="right" vertical="center" wrapText="1"/>
    </xf>
    <xf numFmtId="3" fontId="9" fillId="0" borderId="22" xfId="0" applyNumberFormat="1" applyFont="1" applyFill="1" applyBorder="1" applyAlignment="1">
      <alignment horizontal="right" vertical="center" wrapText="1"/>
    </xf>
    <xf numFmtId="3" fontId="9" fillId="46" borderId="22" xfId="0" applyNumberFormat="1" applyFont="1" applyFill="1" applyBorder="1" applyAlignment="1">
      <alignment horizontal="center" vertical="center" wrapText="1"/>
    </xf>
    <xf numFmtId="0" fontId="12" fillId="0" borderId="13" xfId="137" applyFont="1" applyFill="1" applyBorder="1" applyAlignment="1">
      <alignment vertical="center" wrapText="1"/>
    </xf>
    <xf numFmtId="0" fontId="12" fillId="0" borderId="13" xfId="127" applyFont="1" applyBorder="1" applyAlignment="1">
      <alignment vertical="center" wrapText="1"/>
    </xf>
    <xf numFmtId="0" fontId="58" fillId="46" borderId="14" xfId="0" applyFont="1" applyFill="1" applyBorder="1" applyAlignment="1">
      <alignment horizontal="center" vertical="center" wrapText="1"/>
    </xf>
    <xf numFmtId="0" fontId="12" fillId="0" borderId="19" xfId="127" applyFont="1" applyBorder="1" applyAlignment="1">
      <alignment vertical="center"/>
    </xf>
    <xf numFmtId="0" fontId="76" fillId="0" borderId="0" xfId="128" applyAlignment="1">
      <alignment vertical="center"/>
    </xf>
    <xf numFmtId="0" fontId="76" fillId="0" borderId="0" xfId="128" applyAlignment="1">
      <alignment vertical="top"/>
    </xf>
    <xf numFmtId="3" fontId="76" fillId="0" borderId="0" xfId="128" applyNumberFormat="1" applyAlignment="1">
      <alignment vertical="center"/>
    </xf>
    <xf numFmtId="3" fontId="12" fillId="0" borderId="13" xfId="140" applyNumberFormat="1" applyFont="1" applyFill="1" applyBorder="1" applyAlignment="1">
      <alignment horizontal="left" vertical="center"/>
    </xf>
    <xf numFmtId="0" fontId="12" fillId="0" borderId="14" xfId="0" applyFont="1" applyFill="1" applyBorder="1"/>
    <xf numFmtId="0" fontId="12" fillId="0" borderId="13" xfId="0" applyFont="1" applyFill="1" applyBorder="1"/>
    <xf numFmtId="3" fontId="7" fillId="0" borderId="0" xfId="0" applyNumberFormat="1" applyFont="1" applyBorder="1"/>
    <xf numFmtId="0" fontId="11" fillId="46" borderId="13" xfId="128" applyFont="1" applyFill="1" applyBorder="1" applyAlignment="1">
      <alignment horizontal="center" vertical="center" wrapText="1"/>
    </xf>
    <xf numFmtId="0" fontId="18" fillId="0" borderId="13" xfId="132" applyFont="1" applyFill="1" applyBorder="1" applyAlignment="1">
      <alignment horizontal="center" vertical="center" wrapText="1"/>
    </xf>
    <xf numFmtId="0" fontId="18" fillId="0" borderId="13" xfId="132" applyFont="1" applyFill="1" applyBorder="1" applyAlignment="1">
      <alignment horizontal="left" vertical="center" wrapText="1"/>
    </xf>
    <xf numFmtId="3" fontId="12" fillId="0" borderId="13" xfId="128" applyNumberFormat="1" applyFont="1" applyBorder="1" applyAlignment="1">
      <alignment vertical="center"/>
    </xf>
    <xf numFmtId="0" fontId="12" fillId="0" borderId="13" xfId="133" applyFont="1" applyFill="1" applyBorder="1" applyAlignment="1">
      <alignment vertical="center" wrapText="1"/>
    </xf>
    <xf numFmtId="0" fontId="12" fillId="0" borderId="13" xfId="133" applyFont="1" applyFill="1" applyBorder="1" applyAlignment="1">
      <alignment vertical="center"/>
    </xf>
    <xf numFmtId="0" fontId="12" fillId="0" borderId="13" xfId="133" applyFont="1" applyBorder="1" applyAlignment="1">
      <alignment vertical="center"/>
    </xf>
    <xf numFmtId="0" fontId="12" fillId="0" borderId="13" xfId="139" applyFont="1" applyFill="1" applyBorder="1" applyAlignment="1">
      <alignment vertical="center"/>
    </xf>
    <xf numFmtId="0" fontId="10" fillId="46" borderId="13" xfId="128" applyFont="1" applyFill="1" applyBorder="1" applyAlignment="1">
      <alignment horizontal="center" vertical="center"/>
    </xf>
    <xf numFmtId="0" fontId="10" fillId="46" borderId="13" xfId="128" applyFont="1" applyFill="1" applyBorder="1" applyAlignment="1">
      <alignment vertical="center" wrapText="1"/>
    </xf>
    <xf numFmtId="3" fontId="10" fillId="46" borderId="13" xfId="128" applyNumberFormat="1" applyFont="1" applyFill="1" applyBorder="1" applyAlignment="1">
      <alignment vertical="center"/>
    </xf>
    <xf numFmtId="3" fontId="77" fillId="0" borderId="0" xfId="128" applyNumberFormat="1" applyFont="1" applyAlignment="1">
      <alignment vertical="center"/>
    </xf>
    <xf numFmtId="0" fontId="12" fillId="0" borderId="13" xfId="132" applyFont="1" applyFill="1" applyBorder="1" applyAlignment="1">
      <alignment horizontal="center" vertical="center" wrapText="1"/>
    </xf>
    <xf numFmtId="0" fontId="12" fillId="0" borderId="13" xfId="132" applyFont="1" applyFill="1" applyBorder="1" applyAlignment="1">
      <alignment horizontal="left" vertical="center" wrapText="1"/>
    </xf>
    <xf numFmtId="3" fontId="12" fillId="0" borderId="13" xfId="140" applyNumberFormat="1" applyFont="1" applyFill="1" applyBorder="1" applyAlignment="1">
      <alignment horizontal="right" vertical="center" wrapText="1"/>
    </xf>
    <xf numFmtId="0" fontId="11" fillId="46" borderId="13" xfId="128" applyFont="1" applyFill="1" applyBorder="1" applyAlignment="1">
      <alignment horizontal="center" vertical="center"/>
    </xf>
    <xf numFmtId="0" fontId="11" fillId="46" borderId="13" xfId="128" applyFont="1" applyFill="1" applyBorder="1" applyAlignment="1">
      <alignment vertical="center" wrapText="1"/>
    </xf>
    <xf numFmtId="3" fontId="12" fillId="0" borderId="13" xfId="127" applyNumberFormat="1" applyFont="1" applyFill="1" applyBorder="1" applyAlignment="1">
      <alignment vertical="center"/>
    </xf>
    <xf numFmtId="3" fontId="9" fillId="0" borderId="13" xfId="0" applyNumberFormat="1" applyFont="1" applyBorder="1" applyAlignment="1">
      <alignment horizontal="right" vertical="center"/>
    </xf>
    <xf numFmtId="3" fontId="12" fillId="0" borderId="19" xfId="0" applyNumberFormat="1" applyFont="1" applyFill="1" applyBorder="1" applyAlignment="1">
      <alignment vertical="center" wrapText="1"/>
    </xf>
    <xf numFmtId="0" fontId="10" fillId="46" borderId="28" xfId="138" applyFont="1" applyFill="1" applyBorder="1" applyAlignment="1">
      <alignment horizontal="center" vertical="center" wrapText="1"/>
    </xf>
    <xf numFmtId="0" fontId="10" fillId="46" borderId="29" xfId="138" applyFont="1" applyFill="1" applyBorder="1" applyAlignment="1">
      <alignment horizontal="center" vertical="center" wrapText="1"/>
    </xf>
    <xf numFmtId="2" fontId="10" fillId="46" borderId="29" xfId="138" applyNumberFormat="1" applyFont="1" applyFill="1" applyBorder="1" applyAlignment="1">
      <alignment horizontal="center" vertical="center" wrapText="1"/>
    </xf>
    <xf numFmtId="3" fontId="10" fillId="46" borderId="29" xfId="138" applyNumberFormat="1" applyFont="1" applyFill="1" applyBorder="1" applyAlignment="1">
      <alignment horizontal="center" vertical="center" wrapText="1"/>
    </xf>
    <xf numFmtId="3" fontId="9" fillId="0" borderId="22" xfId="0" applyNumberFormat="1" applyFont="1" applyFill="1" applyBorder="1" applyAlignment="1">
      <alignment horizontal="left" vertical="center" wrapText="1"/>
    </xf>
    <xf numFmtId="3" fontId="12" fillId="0" borderId="22" xfId="0" applyNumberFormat="1" applyFont="1" applyFill="1" applyBorder="1" applyAlignment="1">
      <alignment vertical="center" wrapText="1"/>
    </xf>
    <xf numFmtId="0" fontId="17" fillId="0" borderId="0" xfId="135"/>
    <xf numFmtId="0" fontId="79" fillId="49" borderId="0" xfId="135" applyFont="1" applyFill="1"/>
    <xf numFmtId="0" fontId="80" fillId="49" borderId="0" xfId="135" applyFont="1" applyFill="1"/>
    <xf numFmtId="0" fontId="81" fillId="0" borderId="0" xfId="135" applyFont="1"/>
    <xf numFmtId="0" fontId="82" fillId="0" borderId="0" xfId="135" applyFont="1"/>
    <xf numFmtId="0" fontId="83" fillId="0" borderId="0" xfId="135" applyFont="1"/>
    <xf numFmtId="0" fontId="84" fillId="0" borderId="0" xfId="135" applyFont="1"/>
    <xf numFmtId="0" fontId="12" fillId="9" borderId="32" xfId="155" applyFont="1" applyFill="1" applyBorder="1" applyAlignment="1">
      <alignment vertical="center"/>
    </xf>
    <xf numFmtId="0" fontId="7" fillId="0" borderId="0" xfId="155" applyFont="1" applyAlignment="1">
      <alignment vertical="center"/>
    </xf>
    <xf numFmtId="0" fontId="11" fillId="51" borderId="35" xfId="155" applyFont="1" applyFill="1" applyBorder="1" applyAlignment="1">
      <alignment horizontal="center" vertical="top"/>
    </xf>
    <xf numFmtId="3" fontId="11" fillId="51" borderId="38" xfId="155" applyNumberFormat="1" applyFont="1" applyFill="1" applyBorder="1" applyAlignment="1">
      <alignment horizontal="center" vertical="center" wrapText="1"/>
    </xf>
    <xf numFmtId="0" fontId="12" fillId="0" borderId="39" xfId="155" applyFont="1" applyBorder="1" applyAlignment="1">
      <alignment vertical="center"/>
    </xf>
    <xf numFmtId="0" fontId="6" fillId="0" borderId="0" xfId="158"/>
    <xf numFmtId="0" fontId="10" fillId="46" borderId="33" xfId="127" applyFont="1" applyFill="1" applyBorder="1" applyAlignment="1">
      <alignment horizontal="center" vertical="top" wrapText="1"/>
    </xf>
    <xf numFmtId="0" fontId="3" fillId="46" borderId="33" xfId="0" applyFont="1" applyFill="1" applyBorder="1" applyAlignment="1">
      <alignment horizontal="center" vertical="center" wrapText="1"/>
    </xf>
    <xf numFmtId="0" fontId="10" fillId="46" borderId="33" xfId="127" applyFont="1" applyFill="1" applyBorder="1" applyAlignment="1">
      <alignment horizontal="center" vertical="center" wrapText="1"/>
    </xf>
    <xf numFmtId="0" fontId="6" fillId="0" borderId="0" xfId="158" applyAlignment="1">
      <alignment vertical="center"/>
    </xf>
    <xf numFmtId="0" fontId="9" fillId="0" borderId="19" xfId="137" applyFont="1" applyBorder="1" applyAlignment="1">
      <alignment horizontal="center" vertical="center"/>
    </xf>
    <xf numFmtId="0" fontId="9" fillId="0" borderId="33" xfId="137" applyFont="1" applyBorder="1" applyAlignment="1">
      <alignment horizontal="center" vertical="center"/>
    </xf>
    <xf numFmtId="0" fontId="10" fillId="0" borderId="33" xfId="137" applyFont="1" applyBorder="1" applyAlignment="1">
      <alignment horizontal="center" vertical="center"/>
    </xf>
    <xf numFmtId="3" fontId="9" fillId="0" borderId="33" xfId="0" applyNumberFormat="1" applyFont="1" applyBorder="1" applyAlignment="1">
      <alignment horizontal="center" vertical="center"/>
    </xf>
    <xf numFmtId="0" fontId="88" fillId="0" borderId="0" xfId="158" applyFont="1" applyAlignment="1">
      <alignment vertical="center"/>
    </xf>
    <xf numFmtId="0" fontId="10" fillId="46" borderId="33" xfId="137" applyFont="1" applyFill="1" applyBorder="1" applyAlignment="1">
      <alignment horizontal="center" vertical="center"/>
    </xf>
    <xf numFmtId="0" fontId="9" fillId="0" borderId="33" xfId="0" applyFont="1" applyBorder="1" applyAlignment="1">
      <alignment vertical="center"/>
    </xf>
    <xf numFmtId="3" fontId="11" fillId="0" borderId="33" xfId="0" applyNumberFormat="1" applyFont="1" applyBorder="1" applyAlignment="1">
      <alignment horizontal="center" vertical="center"/>
    </xf>
    <xf numFmtId="3" fontId="12" fillId="0" borderId="34" xfId="0" applyNumberFormat="1" applyFont="1" applyBorder="1" applyAlignment="1">
      <alignment vertical="center" wrapText="1"/>
    </xf>
    <xf numFmtId="0" fontId="9" fillId="0" borderId="41" xfId="137" applyFont="1" applyBorder="1" applyAlignment="1">
      <alignment horizontal="center" vertical="center"/>
    </xf>
    <xf numFmtId="0" fontId="9" fillId="0" borderId="42" xfId="129" applyFont="1" applyBorder="1" applyAlignment="1">
      <alignment vertical="center" wrapText="1"/>
    </xf>
    <xf numFmtId="3" fontId="12" fillId="0" borderId="41" xfId="0" applyNumberFormat="1" applyFont="1" applyBorder="1" applyAlignment="1">
      <alignment vertical="center"/>
    </xf>
    <xf numFmtId="3" fontId="9" fillId="0" borderId="42" xfId="0" applyNumberFormat="1" applyFont="1" applyBorder="1" applyAlignment="1">
      <alignment horizontal="left" vertical="center" wrapText="1"/>
    </xf>
    <xf numFmtId="3" fontId="9" fillId="0" borderId="42" xfId="0" applyNumberFormat="1" applyFont="1" applyBorder="1" applyAlignment="1">
      <alignment vertical="center" wrapText="1"/>
    </xf>
    <xf numFmtId="0" fontId="9" fillId="0" borderId="42" xfId="165" applyFont="1" applyBorder="1" applyAlignment="1">
      <alignment vertical="top" wrapText="1"/>
    </xf>
    <xf numFmtId="0" fontId="10" fillId="46" borderId="41" xfId="137" applyFont="1" applyFill="1" applyBorder="1" applyAlignment="1">
      <alignment horizontal="center" vertical="center"/>
    </xf>
    <xf numFmtId="0" fontId="10" fillId="0" borderId="41" xfId="137" applyFont="1" applyBorder="1" applyAlignment="1">
      <alignment horizontal="center" vertical="center"/>
    </xf>
    <xf numFmtId="0" fontId="9" fillId="0" borderId="41" xfId="0" applyFont="1" applyBorder="1" applyAlignment="1">
      <alignment vertical="center"/>
    </xf>
    <xf numFmtId="0" fontId="9" fillId="0" borderId="42" xfId="137" applyFont="1" applyBorder="1" applyAlignment="1">
      <alignment vertical="center"/>
    </xf>
    <xf numFmtId="0" fontId="9" fillId="0" borderId="44" xfId="137" applyFont="1" applyBorder="1" applyAlignment="1">
      <alignment horizontal="center" vertical="center"/>
    </xf>
    <xf numFmtId="0" fontId="9" fillId="0" borderId="41" xfId="0" applyFont="1" applyBorder="1" applyAlignment="1">
      <alignment vertical="center" wrapText="1"/>
    </xf>
    <xf numFmtId="3" fontId="9" fillId="0" borderId="41" xfId="0" applyNumberFormat="1" applyFont="1" applyBorder="1" applyAlignment="1">
      <alignment vertical="center"/>
    </xf>
    <xf numFmtId="0" fontId="9" fillId="46" borderId="41" xfId="137" applyFont="1" applyFill="1" applyBorder="1" applyAlignment="1">
      <alignment horizontal="center" vertical="center"/>
    </xf>
    <xf numFmtId="3" fontId="10" fillId="46" borderId="42" xfId="0" applyNumberFormat="1" applyFont="1" applyFill="1" applyBorder="1" applyAlignment="1">
      <alignment vertical="center"/>
    </xf>
    <xf numFmtId="0" fontId="10" fillId="46" borderId="42" xfId="127" applyFont="1" applyFill="1" applyBorder="1" applyAlignment="1">
      <alignment vertical="center" wrapText="1"/>
    </xf>
    <xf numFmtId="3" fontId="6" fillId="0" borderId="0" xfId="158" applyNumberFormat="1"/>
    <xf numFmtId="0" fontId="6" fillId="0" borderId="0" xfId="158" applyAlignment="1">
      <alignment horizontal="center"/>
    </xf>
    <xf numFmtId="3" fontId="11" fillId="46" borderId="48" xfId="140" applyNumberFormat="1" applyFont="1" applyFill="1" applyBorder="1" applyAlignment="1">
      <alignment horizontal="center" vertical="center" wrapText="1"/>
    </xf>
    <xf numFmtId="3" fontId="11" fillId="46" borderId="19" xfId="140" applyNumberFormat="1" applyFont="1" applyFill="1" applyBorder="1" applyAlignment="1">
      <alignment horizontal="center" vertical="center" wrapText="1"/>
    </xf>
    <xf numFmtId="3" fontId="11" fillId="46" borderId="25" xfId="140" applyNumberFormat="1" applyFont="1" applyFill="1" applyBorder="1" applyAlignment="1">
      <alignment horizontal="center" vertical="center" wrapText="1"/>
    </xf>
    <xf numFmtId="3" fontId="12" fillId="0" borderId="19" xfId="140" applyNumberFormat="1" applyFont="1" applyBorder="1" applyAlignment="1">
      <alignment horizontal="center" vertical="center" wrapText="1"/>
    </xf>
    <xf numFmtId="3" fontId="12" fillId="0" borderId="41" xfId="140" applyNumberFormat="1" applyFont="1" applyBorder="1" applyAlignment="1">
      <alignment horizontal="center" vertical="center" wrapText="1"/>
    </xf>
    <xf numFmtId="3" fontId="12" fillId="0" borderId="49" xfId="140" applyNumberFormat="1" applyFont="1" applyBorder="1" applyAlignment="1">
      <alignment horizontal="center" vertical="center" wrapText="1"/>
    </xf>
    <xf numFmtId="3" fontId="11" fillId="0" borderId="46" xfId="140" applyNumberFormat="1" applyFont="1" applyBorder="1" applyAlignment="1">
      <alignment vertical="center"/>
    </xf>
    <xf numFmtId="3" fontId="12" fillId="0" borderId="19" xfId="0" applyNumberFormat="1" applyFont="1" applyBorder="1" applyAlignment="1">
      <alignment vertical="center"/>
    </xf>
    <xf numFmtId="3" fontId="12" fillId="0" borderId="19" xfId="0" applyNumberFormat="1" applyFont="1" applyBorder="1" applyAlignment="1">
      <alignment horizontal="center" vertical="center"/>
    </xf>
    <xf numFmtId="3" fontId="11" fillId="0" borderId="41" xfId="140" applyNumberFormat="1" applyFont="1" applyBorder="1" applyAlignment="1">
      <alignment horizontal="center" vertical="center" wrapText="1"/>
    </xf>
    <xf numFmtId="3" fontId="11" fillId="0" borderId="19" xfId="140" applyNumberFormat="1" applyFont="1" applyBorder="1" applyAlignment="1">
      <alignment horizontal="center" vertical="center" wrapText="1"/>
    </xf>
    <xf numFmtId="3" fontId="12" fillId="0" borderId="41" xfId="0" applyNumberFormat="1" applyFont="1" applyBorder="1" applyAlignment="1">
      <alignment horizontal="center" vertical="center"/>
    </xf>
    <xf numFmtId="3" fontId="12" fillId="0" borderId="41" xfId="140" applyNumberFormat="1" applyFont="1" applyBorder="1" applyAlignment="1">
      <alignment horizontal="center" vertical="center"/>
    </xf>
    <xf numFmtId="0" fontId="12" fillId="0" borderId="42" xfId="127" applyFont="1" applyBorder="1" applyAlignment="1">
      <alignment vertical="center"/>
    </xf>
    <xf numFmtId="3" fontId="11" fillId="0" borderId="41" xfId="140" applyNumberFormat="1" applyFont="1" applyBorder="1" applyAlignment="1">
      <alignment horizontal="left" vertical="center"/>
    </xf>
    <xf numFmtId="3" fontId="11" fillId="0" borderId="41" xfId="140" applyNumberFormat="1" applyFont="1" applyBorder="1" applyAlignment="1">
      <alignment horizontal="center" vertical="center"/>
    </xf>
    <xf numFmtId="3" fontId="12" fillId="0" borderId="41" xfId="140" applyNumberFormat="1" applyFont="1" applyBorder="1" applyAlignment="1">
      <alignment horizontal="right" vertical="center"/>
    </xf>
    <xf numFmtId="3" fontId="12" fillId="0" borderId="42" xfId="140" applyNumberFormat="1" applyFont="1" applyBorder="1" applyAlignment="1">
      <alignment horizontal="center" vertical="center"/>
    </xf>
    <xf numFmtId="3" fontId="12" fillId="0" borderId="42" xfId="140" applyNumberFormat="1" applyFont="1" applyBorder="1" applyAlignment="1">
      <alignment horizontal="left" vertical="center"/>
    </xf>
    <xf numFmtId="0" fontId="12" fillId="0" borderId="41" xfId="0" applyFont="1" applyBorder="1" applyAlignment="1">
      <alignment horizontal="right" vertical="center"/>
    </xf>
    <xf numFmtId="0" fontId="12" fillId="0" borderId="41" xfId="0" applyFont="1" applyBorder="1" applyAlignment="1">
      <alignment horizontal="center" vertical="center"/>
    </xf>
    <xf numFmtId="3" fontId="12" fillId="0" borderId="42" xfId="140" applyNumberFormat="1" applyFont="1" applyBorder="1" applyAlignment="1">
      <alignment vertical="center"/>
    </xf>
    <xf numFmtId="0" fontId="12" fillId="0" borderId="41" xfId="0" applyFont="1" applyBorder="1" applyAlignment="1">
      <alignment vertical="center"/>
    </xf>
    <xf numFmtId="3" fontId="12" fillId="0" borderId="41" xfId="140" applyNumberFormat="1" applyFont="1" applyBorder="1" applyAlignment="1">
      <alignment vertical="center"/>
    </xf>
    <xf numFmtId="3" fontId="12" fillId="0" borderId="40" xfId="140" applyNumberFormat="1" applyFont="1" applyBorder="1" applyAlignment="1">
      <alignment vertical="center"/>
    </xf>
    <xf numFmtId="0" fontId="92" fillId="0" borderId="43" xfId="0" applyFont="1" applyBorder="1" applyAlignment="1">
      <alignment vertical="center"/>
    </xf>
    <xf numFmtId="3" fontId="12" fillId="0" borderId="42" xfId="0" applyNumberFormat="1" applyFont="1" applyBorder="1" applyAlignment="1">
      <alignment horizontal="left" vertical="center"/>
    </xf>
    <xf numFmtId="3" fontId="12" fillId="0" borderId="42" xfId="0" applyNumberFormat="1" applyFont="1" applyBorder="1" applyAlignment="1">
      <alignment vertical="center"/>
    </xf>
    <xf numFmtId="3" fontId="20" fillId="0" borderId="41" xfId="140" applyNumberFormat="1" applyFont="1" applyBorder="1" applyAlignment="1">
      <alignment vertical="center"/>
    </xf>
    <xf numFmtId="3" fontId="13" fillId="0" borderId="41" xfId="0" applyNumberFormat="1" applyFont="1" applyBorder="1" applyAlignment="1">
      <alignment horizontal="center" vertical="center"/>
    </xf>
    <xf numFmtId="3" fontId="13" fillId="0" borderId="46" xfId="0" applyNumberFormat="1" applyFont="1" applyBorder="1" applyAlignment="1">
      <alignment horizontal="center" vertical="center"/>
    </xf>
    <xf numFmtId="3" fontId="12" fillId="0" borderId="42" xfId="0" applyNumberFormat="1" applyFont="1" applyBorder="1" applyAlignment="1">
      <alignment horizontal="center" vertical="center"/>
    </xf>
    <xf numFmtId="0" fontId="12" fillId="0" borderId="42" xfId="137" applyFont="1" applyBorder="1" applyAlignment="1">
      <alignment vertical="center"/>
    </xf>
    <xf numFmtId="3" fontId="12" fillId="52" borderId="42" xfId="0" applyNumberFormat="1" applyFont="1" applyFill="1" applyBorder="1" applyAlignment="1">
      <alignment vertical="center"/>
    </xf>
    <xf numFmtId="3" fontId="12" fillId="52" borderId="42" xfId="0" applyNumberFormat="1" applyFont="1" applyFill="1" applyBorder="1" applyAlignment="1">
      <alignment horizontal="left" vertical="center"/>
    </xf>
    <xf numFmtId="3" fontId="12" fillId="0" borderId="41" xfId="0" applyNumberFormat="1" applyFont="1" applyBorder="1" applyAlignment="1">
      <alignment horizontal="right" vertical="center"/>
    </xf>
    <xf numFmtId="3" fontId="12" fillId="0" borderId="42" xfId="0" applyNumberFormat="1" applyFont="1" applyBorder="1" applyAlignment="1">
      <alignment vertical="center" wrapText="1"/>
    </xf>
    <xf numFmtId="3" fontId="11" fillId="46" borderId="41" xfId="0" applyNumberFormat="1" applyFont="1" applyFill="1" applyBorder="1" applyAlignment="1">
      <alignment horizontal="center" vertical="center"/>
    </xf>
    <xf numFmtId="3" fontId="11" fillId="46" borderId="42" xfId="0" applyNumberFormat="1" applyFont="1" applyFill="1" applyBorder="1" applyAlignment="1">
      <alignment horizontal="center" vertical="center"/>
    </xf>
    <xf numFmtId="3" fontId="11" fillId="46" borderId="42" xfId="0" applyNumberFormat="1" applyFont="1" applyFill="1" applyBorder="1" applyAlignment="1">
      <alignment vertical="center"/>
    </xf>
    <xf numFmtId="3" fontId="11" fillId="46" borderId="47" xfId="0" applyNumberFormat="1" applyFont="1" applyFill="1" applyBorder="1" applyAlignment="1">
      <alignment vertical="center"/>
    </xf>
    <xf numFmtId="3" fontId="11" fillId="46" borderId="41" xfId="0" applyNumberFormat="1" applyFont="1" applyFill="1" applyBorder="1" applyAlignment="1">
      <alignment vertical="center"/>
    </xf>
    <xf numFmtId="3" fontId="10" fillId="46" borderId="41" xfId="0" applyNumberFormat="1" applyFont="1" applyFill="1" applyBorder="1" applyAlignment="1">
      <alignment vertical="center"/>
    </xf>
    <xf numFmtId="3" fontId="11" fillId="0" borderId="41" xfId="0" applyNumberFormat="1" applyFont="1" applyBorder="1" applyAlignment="1">
      <alignment horizontal="center" vertical="center"/>
    </xf>
    <xf numFmtId="3" fontId="12" fillId="0" borderId="47" xfId="0" applyNumberFormat="1" applyFont="1" applyBorder="1" applyAlignment="1">
      <alignment vertical="center"/>
    </xf>
    <xf numFmtId="3" fontId="10" fillId="0" borderId="41" xfId="0" applyNumberFormat="1" applyFont="1" applyBorder="1" applyAlignment="1">
      <alignment vertical="center"/>
    </xf>
    <xf numFmtId="3" fontId="11" fillId="0" borderId="47" xfId="0" applyNumberFormat="1" applyFont="1" applyBorder="1" applyAlignment="1">
      <alignment vertical="center"/>
    </xf>
    <xf numFmtId="3" fontId="11" fillId="0" borderId="41" xfId="0" applyNumberFormat="1" applyFont="1" applyBorder="1" applyAlignment="1">
      <alignment vertical="center"/>
    </xf>
    <xf numFmtId="0" fontId="13" fillId="0" borderId="42" xfId="127" applyFont="1" applyBorder="1" applyAlignment="1">
      <alignment vertical="center"/>
    </xf>
    <xf numFmtId="0" fontId="12" fillId="0" borderId="47" xfId="0" applyFont="1" applyBorder="1" applyAlignment="1">
      <alignment vertical="center"/>
    </xf>
    <xf numFmtId="3" fontId="12" fillId="0" borderId="42" xfId="0" applyNumberFormat="1" applyFont="1" applyBorder="1" applyAlignment="1">
      <alignment horizontal="left" vertical="center" wrapText="1"/>
    </xf>
    <xf numFmtId="49" fontId="12" fillId="0" borderId="42" xfId="0" applyNumberFormat="1" applyFont="1" applyBorder="1" applyAlignment="1">
      <alignment vertical="center" wrapText="1"/>
    </xf>
    <xf numFmtId="3" fontId="13" fillId="0" borderId="42" xfId="0" applyNumberFormat="1" applyFont="1" applyBorder="1" applyAlignment="1">
      <alignment vertical="center" wrapText="1"/>
    </xf>
    <xf numFmtId="0" fontId="19" fillId="0" borderId="41" xfId="0" applyFont="1" applyBorder="1" applyAlignment="1">
      <alignment vertical="center" wrapText="1"/>
    </xf>
    <xf numFmtId="0" fontId="13" fillId="0" borderId="41" xfId="0" applyFont="1" applyBorder="1" applyAlignment="1">
      <alignment vertical="center" wrapText="1"/>
    </xf>
    <xf numFmtId="0" fontId="12" fillId="0" borderId="41" xfId="0" applyFont="1" applyBorder="1" applyAlignment="1">
      <alignment vertical="center" wrapText="1"/>
    </xf>
    <xf numFmtId="3" fontId="12" fillId="0" borderId="40" xfId="0" applyNumberFormat="1" applyFont="1" applyBorder="1" applyAlignment="1">
      <alignment horizontal="left" vertical="center" wrapText="1"/>
    </xf>
    <xf numFmtId="49" fontId="12" fillId="0" borderId="40" xfId="0" applyNumberFormat="1" applyFont="1" applyBorder="1" applyAlignment="1">
      <alignment horizontal="left" vertical="center" wrapText="1"/>
    </xf>
    <xf numFmtId="3" fontId="12" fillId="0" borderId="52" xfId="0" applyNumberFormat="1" applyFont="1" applyBorder="1" applyAlignment="1">
      <alignment horizontal="left" vertical="center" wrapText="1"/>
    </xf>
    <xf numFmtId="0" fontId="9" fillId="0" borderId="42" xfId="0" applyFont="1" applyBorder="1" applyAlignment="1">
      <alignment horizontal="left" vertical="center" wrapText="1"/>
    </xf>
    <xf numFmtId="3" fontId="12" fillId="0" borderId="45" xfId="0" applyNumberFormat="1" applyFont="1" applyBorder="1" applyAlignment="1">
      <alignment horizontal="center" vertical="center"/>
    </xf>
    <xf numFmtId="3" fontId="12" fillId="0" borderId="45" xfId="0" applyNumberFormat="1" applyFont="1" applyBorder="1" applyAlignment="1">
      <alignment vertical="center"/>
    </xf>
    <xf numFmtId="3" fontId="12" fillId="0" borderId="52" xfId="0" applyNumberFormat="1" applyFont="1" applyBorder="1" applyAlignment="1">
      <alignment vertical="center"/>
    </xf>
    <xf numFmtId="3" fontId="12" fillId="0" borderId="41" xfId="0" applyNumberFormat="1" applyFont="1" applyBorder="1" applyAlignment="1">
      <alignment horizontal="right" vertical="center" wrapText="1"/>
    </xf>
    <xf numFmtId="3" fontId="12" fillId="0" borderId="41" xfId="0" applyNumberFormat="1" applyFont="1" applyBorder="1" applyAlignment="1">
      <alignment vertical="center" wrapText="1"/>
    </xf>
    <xf numFmtId="0" fontId="19" fillId="0" borderId="15" xfId="0" applyFont="1" applyBorder="1" applyAlignment="1">
      <alignment vertical="center"/>
    </xf>
    <xf numFmtId="0" fontId="13" fillId="0" borderId="33" xfId="0" applyFont="1" applyBorder="1" applyAlignment="1">
      <alignment vertical="center"/>
    </xf>
    <xf numFmtId="3" fontId="12" fillId="0" borderId="33" xfId="0" applyNumberFormat="1" applyFont="1" applyBorder="1" applyAlignment="1">
      <alignment vertical="center"/>
    </xf>
    <xf numFmtId="3" fontId="12" fillId="0" borderId="33" xfId="140" applyNumberFormat="1" applyFont="1" applyBorder="1" applyAlignment="1">
      <alignment horizontal="right" vertical="center"/>
    </xf>
    <xf numFmtId="3" fontId="12" fillId="0" borderId="33" xfId="0" applyNumberFormat="1" applyFont="1" applyBorder="1" applyAlignment="1">
      <alignment horizontal="center" vertical="center"/>
    </xf>
    <xf numFmtId="3" fontId="12" fillId="0" borderId="34" xfId="0" applyNumberFormat="1" applyFont="1" applyBorder="1" applyAlignment="1">
      <alignment horizontal="center" vertical="center"/>
    </xf>
    <xf numFmtId="3" fontId="12" fillId="0" borderId="34" xfId="140" applyNumberFormat="1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2" fillId="0" borderId="33" xfId="0" applyFont="1" applyBorder="1" applyAlignment="1">
      <alignment vertical="center"/>
    </xf>
    <xf numFmtId="3" fontId="12" fillId="0" borderId="34" xfId="0" applyNumberFormat="1" applyFont="1" applyBorder="1" applyAlignment="1">
      <alignment horizontal="left" vertical="center"/>
    </xf>
    <xf numFmtId="3" fontId="12" fillId="0" borderId="34" xfId="129" applyNumberFormat="1" applyFont="1" applyBorder="1" applyAlignment="1">
      <alignment vertical="center" wrapText="1"/>
    </xf>
    <xf numFmtId="3" fontId="12" fillId="0" borderId="33" xfId="140" applyNumberFormat="1" applyFont="1" applyBorder="1" applyAlignment="1">
      <alignment vertical="center"/>
    </xf>
    <xf numFmtId="3" fontId="12" fillId="0" borderId="34" xfId="0" applyNumberFormat="1" applyFont="1" applyBorder="1" applyAlignment="1">
      <alignment vertical="center"/>
    </xf>
    <xf numFmtId="0" fontId="9" fillId="0" borderId="33" xfId="0" applyFont="1" applyBorder="1" applyAlignment="1">
      <alignment vertical="center" wrapText="1"/>
    </xf>
    <xf numFmtId="0" fontId="12" fillId="0" borderId="33" xfId="0" applyFont="1" applyBorder="1" applyAlignment="1">
      <alignment vertical="center" wrapText="1"/>
    </xf>
    <xf numFmtId="0" fontId="9" fillId="0" borderId="15" xfId="0" applyFont="1" applyBorder="1" applyAlignment="1">
      <alignment vertical="center"/>
    </xf>
    <xf numFmtId="3" fontId="13" fillId="0" borderId="34" xfId="0" applyNumberFormat="1" applyFont="1" applyBorder="1" applyAlignment="1">
      <alignment vertical="center"/>
    </xf>
    <xf numFmtId="3" fontId="12" fillId="0" borderId="33" xfId="0" applyNumberFormat="1" applyFont="1" applyBorder="1" applyAlignment="1">
      <alignment horizontal="right" vertical="center"/>
    </xf>
    <xf numFmtId="3" fontId="12" fillId="0" borderId="34" xfId="0" applyNumberFormat="1" applyFont="1" applyBorder="1" applyAlignment="1">
      <alignment horizontal="left" vertical="center" wrapText="1"/>
    </xf>
    <xf numFmtId="0" fontId="12" fillId="0" borderId="34" xfId="0" applyFont="1" applyBorder="1" applyAlignment="1">
      <alignment horizontal="left" wrapText="1"/>
    </xf>
    <xf numFmtId="0" fontId="12" fillId="0" borderId="33" xfId="0" applyFont="1" applyBorder="1" applyAlignment="1">
      <alignment wrapText="1"/>
    </xf>
    <xf numFmtId="0" fontId="12" fillId="0" borderId="33" xfId="0" applyFont="1" applyBorder="1" applyAlignment="1">
      <alignment horizontal="right" wrapText="1"/>
    </xf>
    <xf numFmtId="3" fontId="12" fillId="0" borderId="33" xfId="0" applyNumberFormat="1" applyFont="1" applyBorder="1" applyAlignment="1">
      <alignment wrapText="1"/>
    </xf>
    <xf numFmtId="3" fontId="12" fillId="0" borderId="33" xfId="0" applyNumberFormat="1" applyFont="1" applyBorder="1" applyAlignment="1">
      <alignment horizontal="right" wrapText="1"/>
    </xf>
    <xf numFmtId="3" fontId="12" fillId="0" borderId="40" xfId="0" applyNumberFormat="1" applyFont="1" applyBorder="1" applyAlignment="1">
      <alignment vertical="center"/>
    </xf>
    <xf numFmtId="0" fontId="12" fillId="0" borderId="41" xfId="0" applyFont="1" applyBorder="1" applyAlignment="1">
      <alignment horizontal="right" wrapText="1"/>
    </xf>
    <xf numFmtId="3" fontId="12" fillId="0" borderId="41" xfId="0" applyNumberFormat="1" applyFont="1" applyBorder="1" applyAlignment="1">
      <alignment wrapText="1"/>
    </xf>
    <xf numFmtId="3" fontId="12" fillId="0" borderId="41" xfId="0" applyNumberFormat="1" applyFont="1" applyBorder="1" applyAlignment="1">
      <alignment horizontal="right" wrapText="1"/>
    </xf>
    <xf numFmtId="49" fontId="12" fillId="0" borderId="41" xfId="0" applyNumberFormat="1" applyFont="1" applyBorder="1" applyAlignment="1">
      <alignment horizontal="left" vertical="center" wrapText="1"/>
    </xf>
    <xf numFmtId="0" fontId="12" fillId="0" borderId="41" xfId="0" applyFont="1" applyBorder="1" applyAlignment="1">
      <alignment horizontal="right" vertical="center" wrapText="1"/>
    </xf>
    <xf numFmtId="49" fontId="12" fillId="0" borderId="40" xfId="0" applyNumberFormat="1" applyFont="1" applyBorder="1" applyAlignment="1">
      <alignment vertical="center"/>
    </xf>
    <xf numFmtId="3" fontId="12" fillId="0" borderId="41" xfId="0" applyNumberFormat="1" applyFont="1" applyBorder="1" applyAlignment="1">
      <alignment horizontal="left" wrapText="1"/>
    </xf>
    <xf numFmtId="3" fontId="11" fillId="46" borderId="47" xfId="0" applyNumberFormat="1" applyFont="1" applyFill="1" applyBorder="1" applyAlignment="1">
      <alignment horizontal="right" vertical="center"/>
    </xf>
    <xf numFmtId="3" fontId="11" fillId="0" borderId="42" xfId="0" applyNumberFormat="1" applyFont="1" applyBorder="1" applyAlignment="1">
      <alignment horizontal="center" vertical="center"/>
    </xf>
    <xf numFmtId="3" fontId="13" fillId="0" borderId="42" xfId="0" applyNumberFormat="1" applyFont="1" applyBorder="1" applyAlignment="1">
      <alignment vertical="center"/>
    </xf>
    <xf numFmtId="3" fontId="11" fillId="0" borderId="47" xfId="0" applyNumberFormat="1" applyFont="1" applyBorder="1" applyAlignment="1">
      <alignment horizontal="right" vertical="center"/>
    </xf>
    <xf numFmtId="3" fontId="11" fillId="0" borderId="41" xfId="0" applyNumberFormat="1" applyFont="1" applyBorder="1" applyAlignment="1">
      <alignment horizontal="right" vertical="center"/>
    </xf>
    <xf numFmtId="3" fontId="10" fillId="0" borderId="42" xfId="0" applyNumberFormat="1" applyFont="1" applyBorder="1" applyAlignment="1">
      <alignment horizontal="center" vertical="center"/>
    </xf>
    <xf numFmtId="3" fontId="11" fillId="0" borderId="42" xfId="0" applyNumberFormat="1" applyFont="1" applyBorder="1" applyAlignment="1">
      <alignment vertical="center"/>
    </xf>
    <xf numFmtId="3" fontId="10" fillId="0" borderId="45" xfId="0" applyNumberFormat="1" applyFont="1" applyBorder="1" applyAlignment="1">
      <alignment horizontal="center" vertical="center"/>
    </xf>
    <xf numFmtId="49" fontId="10" fillId="0" borderId="52" xfId="168" applyNumberFormat="1" applyFont="1" applyBorder="1" applyAlignment="1">
      <alignment horizontal="left" vertical="center" wrapText="1"/>
    </xf>
    <xf numFmtId="3" fontId="11" fillId="0" borderId="53" xfId="0" applyNumberFormat="1" applyFont="1" applyBorder="1" applyAlignment="1">
      <alignment vertical="center"/>
    </xf>
    <xf numFmtId="3" fontId="12" fillId="0" borderId="47" xfId="0" applyNumberFormat="1" applyFont="1" applyBorder="1" applyAlignment="1">
      <alignment horizontal="right" vertical="center"/>
    </xf>
    <xf numFmtId="3" fontId="9" fillId="0" borderId="42" xfId="0" applyNumberFormat="1" applyFont="1" applyBorder="1" applyAlignment="1">
      <alignment horizontal="center" vertical="center"/>
    </xf>
    <xf numFmtId="3" fontId="89" fillId="0" borderId="47" xfId="0" applyNumberFormat="1" applyFont="1" applyBorder="1" applyAlignment="1">
      <alignment vertical="center"/>
    </xf>
    <xf numFmtId="0" fontId="9" fillId="0" borderId="45" xfId="0" applyFont="1" applyBorder="1"/>
    <xf numFmtId="0" fontId="9" fillId="0" borderId="42" xfId="0" applyFont="1" applyBorder="1" applyAlignment="1">
      <alignment wrapText="1"/>
    </xf>
    <xf numFmtId="3" fontId="10" fillId="0" borderId="42" xfId="161" applyNumberFormat="1" applyFont="1" applyBorder="1" applyAlignment="1">
      <alignment vertical="top" wrapText="1"/>
    </xf>
    <xf numFmtId="3" fontId="12" fillId="0" borderId="30" xfId="0" applyNumberFormat="1" applyFont="1" applyBorder="1" applyAlignment="1">
      <alignment horizontal="center" vertical="center"/>
    </xf>
    <xf numFmtId="3" fontId="9" fillId="0" borderId="42" xfId="161" applyNumberFormat="1" applyFont="1" applyBorder="1" applyAlignment="1">
      <alignment vertical="center" wrapText="1"/>
    </xf>
    <xf numFmtId="3" fontId="11" fillId="0" borderId="40" xfId="0" applyNumberFormat="1" applyFont="1" applyBorder="1" applyAlignment="1">
      <alignment horizontal="center" vertical="center"/>
    </xf>
    <xf numFmtId="3" fontId="19" fillId="0" borderId="42" xfId="161" applyNumberFormat="1" applyFont="1" applyBorder="1" applyAlignment="1">
      <alignment vertical="center" wrapText="1"/>
    </xf>
    <xf numFmtId="3" fontId="12" fillId="0" borderId="40" xfId="0" applyNumberFormat="1" applyFont="1" applyBorder="1" applyAlignment="1">
      <alignment horizontal="center" vertical="center"/>
    </xf>
    <xf numFmtId="3" fontId="78" fillId="0" borderId="42" xfId="0" applyNumberFormat="1" applyFont="1" applyBorder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3" fontId="78" fillId="0" borderId="40" xfId="0" applyNumberFormat="1" applyFont="1" applyBorder="1" applyAlignment="1">
      <alignment horizontal="center" vertical="center"/>
    </xf>
    <xf numFmtId="3" fontId="10" fillId="0" borderId="42" xfId="0" applyNumberFormat="1" applyFont="1" applyBorder="1" applyAlignment="1">
      <alignment vertical="center"/>
    </xf>
    <xf numFmtId="3" fontId="9" fillId="0" borderId="42" xfId="161" applyNumberFormat="1" applyFont="1" applyBorder="1" applyAlignment="1">
      <alignment vertical="top" wrapText="1"/>
    </xf>
    <xf numFmtId="0" fontId="9" fillId="0" borderId="41" xfId="0" applyFont="1" applyBorder="1" applyAlignment="1">
      <alignment horizontal="left" vertical="center" wrapText="1"/>
    </xf>
    <xf numFmtId="3" fontId="12" fillId="0" borderId="46" xfId="0" applyNumberFormat="1" applyFont="1" applyBorder="1" applyAlignment="1">
      <alignment vertical="center"/>
    </xf>
    <xf numFmtId="3" fontId="11" fillId="0" borderId="46" xfId="0" applyNumberFormat="1" applyFont="1" applyBorder="1" applyAlignment="1">
      <alignment vertical="center"/>
    </xf>
    <xf numFmtId="49" fontId="9" fillId="0" borderId="42" xfId="0" applyNumberFormat="1" applyFont="1" applyBorder="1" applyAlignment="1">
      <alignment horizontal="left" vertical="center" wrapText="1"/>
    </xf>
    <xf numFmtId="3" fontId="89" fillId="0" borderId="46" xfId="0" applyNumberFormat="1" applyFont="1" applyBorder="1" applyAlignment="1">
      <alignment vertical="center"/>
    </xf>
    <xf numFmtId="3" fontId="9" fillId="0" borderId="42" xfId="0" applyNumberFormat="1" applyFont="1" applyBorder="1" applyAlignment="1">
      <alignment vertical="center"/>
    </xf>
    <xf numFmtId="3" fontId="12" fillId="46" borderId="47" xfId="0" applyNumberFormat="1" applyFont="1" applyFill="1" applyBorder="1" applyAlignment="1">
      <alignment vertical="center"/>
    </xf>
    <xf numFmtId="3" fontId="12" fillId="46" borderId="41" xfId="0" applyNumberFormat="1" applyFont="1" applyFill="1" applyBorder="1" applyAlignment="1">
      <alignment vertical="center"/>
    </xf>
    <xf numFmtId="3" fontId="12" fillId="46" borderId="41" xfId="140" applyNumberFormat="1" applyFont="1" applyFill="1" applyBorder="1" applyAlignment="1">
      <alignment horizontal="right" vertical="center"/>
    </xf>
    <xf numFmtId="3" fontId="19" fillId="0" borderId="42" xfId="0" applyNumberFormat="1" applyFont="1" applyBorder="1" applyAlignment="1">
      <alignment vertical="center"/>
    </xf>
    <xf numFmtId="3" fontId="93" fillId="0" borderId="40" xfId="0" applyNumberFormat="1" applyFont="1" applyBorder="1" applyAlignment="1">
      <alignment horizontal="center" vertical="center"/>
    </xf>
    <xf numFmtId="3" fontId="92" fillId="0" borderId="54" xfId="0" applyNumberFormat="1" applyFont="1" applyBorder="1" applyAlignment="1">
      <alignment vertical="center"/>
    </xf>
    <xf numFmtId="3" fontId="92" fillId="0" borderId="40" xfId="0" applyNumberFormat="1" applyFont="1" applyBorder="1" applyAlignment="1">
      <alignment horizontal="center" vertical="center"/>
    </xf>
    <xf numFmtId="3" fontId="9" fillId="0" borderId="40" xfId="0" applyNumberFormat="1" applyFont="1" applyBorder="1" applyAlignment="1">
      <alignment vertical="center"/>
    </xf>
    <xf numFmtId="0" fontId="9" fillId="0" borderId="40" xfId="162" applyFont="1" applyBorder="1" applyAlignment="1">
      <alignment vertical="center" wrapText="1"/>
    </xf>
    <xf numFmtId="49" fontId="9" fillId="0" borderId="42" xfId="0" applyNumberFormat="1" applyFont="1" applyBorder="1" applyAlignment="1">
      <alignment vertical="center"/>
    </xf>
    <xf numFmtId="3" fontId="9" fillId="0" borderId="42" xfId="0" applyNumberFormat="1" applyFont="1" applyBorder="1" applyAlignment="1">
      <alignment horizontal="left" vertical="center"/>
    </xf>
    <xf numFmtId="3" fontId="20" fillId="0" borderId="41" xfId="0" applyNumberFormat="1" applyFont="1" applyBorder="1" applyAlignment="1">
      <alignment vertical="center"/>
    </xf>
    <xf numFmtId="3" fontId="9" fillId="0" borderId="30" xfId="0" applyNumberFormat="1" applyFont="1" applyBorder="1" applyAlignment="1">
      <alignment horizontal="left" vertical="center"/>
    </xf>
    <xf numFmtId="3" fontId="9" fillId="0" borderId="40" xfId="0" applyNumberFormat="1" applyFont="1" applyBorder="1" applyAlignment="1">
      <alignment horizontal="left" vertical="center"/>
    </xf>
    <xf numFmtId="0" fontId="9" fillId="0" borderId="25" xfId="0" applyFont="1" applyBorder="1" applyAlignment="1">
      <alignment vertical="center" wrapText="1"/>
    </xf>
    <xf numFmtId="49" fontId="9" fillId="0" borderId="40" xfId="0" applyNumberFormat="1" applyFont="1" applyBorder="1" applyAlignment="1">
      <alignment vertical="center" wrapText="1"/>
    </xf>
    <xf numFmtId="0" fontId="92" fillId="0" borderId="43" xfId="0" applyFont="1" applyBorder="1" applyAlignment="1">
      <alignment vertical="center" wrapText="1"/>
    </xf>
    <xf numFmtId="0" fontId="92" fillId="0" borderId="0" xfId="0" applyFont="1" applyAlignment="1">
      <alignment vertical="center" wrapText="1"/>
    </xf>
    <xf numFmtId="3" fontId="9" fillId="0" borderId="41" xfId="0" applyNumberFormat="1" applyFont="1" applyBorder="1" applyAlignment="1">
      <alignment vertical="center" wrapText="1"/>
    </xf>
    <xf numFmtId="0" fontId="9" fillId="0" borderId="46" xfId="0" applyFont="1" applyBorder="1" applyAlignment="1">
      <alignment vertical="center" wrapText="1"/>
    </xf>
    <xf numFmtId="3" fontId="9" fillId="0" borderId="52" xfId="0" applyNumberFormat="1" applyFont="1" applyBorder="1" applyAlignment="1">
      <alignment horizontal="left" vertical="center"/>
    </xf>
    <xf numFmtId="3" fontId="9" fillId="0" borderId="41" xfId="0" applyNumberFormat="1" applyFont="1" applyBorder="1" applyAlignment="1">
      <alignment horizontal="left" vertical="center" wrapText="1"/>
    </xf>
    <xf numFmtId="3" fontId="9" fillId="0" borderId="41" xfId="0" applyNumberFormat="1" applyFont="1" applyBorder="1" applyAlignment="1">
      <alignment horizontal="left" vertical="center"/>
    </xf>
    <xf numFmtId="49" fontId="9" fillId="0" borderId="40" xfId="0" applyNumberFormat="1" applyFont="1" applyBorder="1" applyAlignment="1">
      <alignment horizontal="left" vertical="center"/>
    </xf>
    <xf numFmtId="3" fontId="10" fillId="46" borderId="42" xfId="0" applyNumberFormat="1" applyFont="1" applyFill="1" applyBorder="1" applyAlignment="1">
      <alignment horizontal="left" vertical="center"/>
    </xf>
    <xf numFmtId="3" fontId="11" fillId="0" borderId="44" xfId="0" applyNumberFormat="1" applyFont="1" applyBorder="1" applyAlignment="1">
      <alignment horizontal="center" vertical="center"/>
    </xf>
    <xf numFmtId="0" fontId="10" fillId="0" borderId="52" xfId="170" applyFont="1" applyBorder="1" applyAlignment="1">
      <alignment horizontal="center" vertical="center"/>
    </xf>
    <xf numFmtId="3" fontId="7" fillId="0" borderId="41" xfId="0" applyNumberFormat="1" applyFont="1" applyBorder="1" applyAlignment="1">
      <alignment vertical="center"/>
    </xf>
    <xf numFmtId="49" fontId="97" fillId="0" borderId="25" xfId="171" applyNumberFormat="1" applyFont="1" applyBorder="1" applyAlignment="1">
      <alignment horizontal="left" vertical="center" wrapText="1"/>
    </xf>
    <xf numFmtId="3" fontId="92" fillId="48" borderId="55" xfId="0" applyNumberFormat="1" applyFont="1" applyFill="1" applyBorder="1" applyAlignment="1">
      <alignment horizontal="center" vertical="center"/>
    </xf>
    <xf numFmtId="3" fontId="9" fillId="0" borderId="25" xfId="0" applyNumberFormat="1" applyFont="1" applyBorder="1" applyAlignment="1">
      <alignment vertical="center"/>
    </xf>
    <xf numFmtId="3" fontId="92" fillId="48" borderId="56" xfId="0" applyNumberFormat="1" applyFont="1" applyFill="1" applyBorder="1" applyAlignment="1">
      <alignment horizontal="center" vertical="center"/>
    </xf>
    <xf numFmtId="0" fontId="9" fillId="0" borderId="25" xfId="0" applyFont="1" applyBorder="1" applyAlignment="1">
      <alignment horizontal="left" vertical="center" wrapText="1"/>
    </xf>
    <xf numFmtId="3" fontId="92" fillId="0" borderId="57" xfId="0" applyNumberFormat="1" applyFont="1" applyBorder="1" applyAlignment="1">
      <alignment vertical="center"/>
    </xf>
    <xf numFmtId="3" fontId="11" fillId="48" borderId="56" xfId="0" applyNumberFormat="1" applyFont="1" applyFill="1" applyBorder="1" applyAlignment="1">
      <alignment horizontal="center" vertical="center"/>
    </xf>
    <xf numFmtId="0" fontId="10" fillId="0" borderId="42" xfId="165" applyFont="1" applyBorder="1" applyAlignment="1">
      <alignment horizontal="center" vertical="center"/>
    </xf>
    <xf numFmtId="3" fontId="93" fillId="48" borderId="56" xfId="0" applyNumberFormat="1" applyFont="1" applyFill="1" applyBorder="1" applyAlignment="1">
      <alignment horizontal="center" vertical="center"/>
    </xf>
    <xf numFmtId="3" fontId="12" fillId="48" borderId="41" xfId="0" applyNumberFormat="1" applyFont="1" applyFill="1" applyBorder="1" applyAlignment="1">
      <alignment horizontal="center" vertical="center"/>
    </xf>
    <xf numFmtId="0" fontId="9" fillId="0" borderId="42" xfId="0" applyFont="1" applyBorder="1" applyAlignment="1">
      <alignment vertical="center" wrapText="1"/>
    </xf>
    <xf numFmtId="3" fontId="93" fillId="48" borderId="41" xfId="0" applyNumberFormat="1" applyFont="1" applyFill="1" applyBorder="1" applyAlignment="1">
      <alignment horizontal="center" vertical="center"/>
    </xf>
    <xf numFmtId="3" fontId="12" fillId="48" borderId="19" xfId="0" applyNumberFormat="1" applyFont="1" applyFill="1" applyBorder="1" applyAlignment="1">
      <alignment horizontal="center" vertical="center"/>
    </xf>
    <xf numFmtId="0" fontId="9" fillId="0" borderId="42" xfId="131" applyFont="1" applyBorder="1" applyAlignment="1">
      <alignment horizontal="left" vertical="top" wrapText="1"/>
    </xf>
    <xf numFmtId="0" fontId="10" fillId="0" borderId="42" xfId="165" applyFont="1" applyBorder="1" applyAlignment="1">
      <alignment horizontal="center" vertical="top"/>
    </xf>
    <xf numFmtId="3" fontId="92" fillId="0" borderId="47" xfId="0" applyNumberFormat="1" applyFont="1" applyBorder="1" applyAlignment="1">
      <alignment vertical="center"/>
    </xf>
    <xf numFmtId="49" fontId="97" fillId="0" borderId="42" xfId="171" applyNumberFormat="1" applyFont="1" applyBorder="1" applyAlignment="1">
      <alignment horizontal="left" vertical="center" wrapText="1"/>
    </xf>
    <xf numFmtId="3" fontId="93" fillId="48" borderId="19" xfId="0" applyNumberFormat="1" applyFont="1" applyFill="1" applyBorder="1" applyAlignment="1">
      <alignment horizontal="center" vertical="center"/>
    </xf>
    <xf numFmtId="3" fontId="93" fillId="48" borderId="55" xfId="0" applyNumberFormat="1" applyFont="1" applyFill="1" applyBorder="1" applyAlignment="1">
      <alignment horizontal="center" vertical="center"/>
    </xf>
    <xf numFmtId="3" fontId="10" fillId="0" borderId="30" xfId="0" applyNumberFormat="1" applyFont="1" applyBorder="1" applyAlignment="1">
      <alignment horizontal="center" vertical="center"/>
    </xf>
    <xf numFmtId="3" fontId="12" fillId="0" borderId="25" xfId="0" applyNumberFormat="1" applyFont="1" applyBorder="1" applyAlignment="1">
      <alignment horizontal="center" vertical="center"/>
    </xf>
    <xf numFmtId="0" fontId="93" fillId="48" borderId="41" xfId="165" applyFont="1" applyFill="1" applyBorder="1" applyAlignment="1">
      <alignment horizontal="center" vertical="top" wrapText="1"/>
    </xf>
    <xf numFmtId="0" fontId="9" fillId="0" borderId="58" xfId="0" applyFont="1" applyBorder="1" applyAlignment="1">
      <alignment horizontal="left" vertical="center" wrapText="1"/>
    </xf>
    <xf numFmtId="3" fontId="93" fillId="48" borderId="40" xfId="0" applyNumberFormat="1" applyFont="1" applyFill="1" applyBorder="1" applyAlignment="1">
      <alignment horizontal="center" vertical="center"/>
    </xf>
    <xf numFmtId="3" fontId="12" fillId="48" borderId="59" xfId="0" applyNumberFormat="1" applyFont="1" applyFill="1" applyBorder="1" applyAlignment="1">
      <alignment horizontal="center" vertical="center"/>
    </xf>
    <xf numFmtId="3" fontId="9" fillId="0" borderId="58" xfId="0" applyNumberFormat="1" applyFont="1" applyBorder="1" applyAlignment="1">
      <alignment horizontal="left" vertical="center" wrapText="1"/>
    </xf>
    <xf numFmtId="3" fontId="11" fillId="46" borderId="26" xfId="0" applyNumberFormat="1" applyFont="1" applyFill="1" applyBorder="1" applyAlignment="1">
      <alignment vertical="center"/>
    </xf>
    <xf numFmtId="3" fontId="12" fillId="0" borderId="27" xfId="0" applyNumberFormat="1" applyFont="1" applyBorder="1" applyAlignment="1">
      <alignment vertical="center"/>
    </xf>
    <xf numFmtId="3" fontId="9" fillId="0" borderId="60" xfId="0" applyNumberFormat="1" applyFont="1" applyBorder="1" applyAlignment="1">
      <alignment horizontal="left" vertical="center" wrapText="1"/>
    </xf>
    <xf numFmtId="3" fontId="92" fillId="0" borderId="27" xfId="0" applyNumberFormat="1" applyFont="1" applyBorder="1" applyAlignment="1">
      <alignment vertical="center"/>
    </xf>
    <xf numFmtId="3" fontId="12" fillId="46" borderId="41" xfId="0" applyNumberFormat="1" applyFont="1" applyFill="1" applyBorder="1" applyAlignment="1">
      <alignment horizontal="center" vertical="center"/>
    </xf>
    <xf numFmtId="3" fontId="12" fillId="46" borderId="42" xfId="0" applyNumberFormat="1" applyFont="1" applyFill="1" applyBorder="1" applyAlignment="1">
      <alignment horizontal="center" vertical="center"/>
    </xf>
    <xf numFmtId="0" fontId="10" fillId="0" borderId="41" xfId="165" applyFont="1" applyBorder="1" applyAlignment="1">
      <alignment horizontal="center" vertical="center"/>
    </xf>
    <xf numFmtId="0" fontId="10" fillId="0" borderId="42" xfId="170" applyFont="1" applyBorder="1" applyAlignment="1">
      <alignment horizontal="center" vertical="center"/>
    </xf>
    <xf numFmtId="0" fontId="9" fillId="0" borderId="42" xfId="170" applyFont="1" applyBorder="1" applyAlignment="1">
      <alignment vertical="center"/>
    </xf>
    <xf numFmtId="0" fontId="9" fillId="0" borderId="42" xfId="162" applyFont="1" applyBorder="1" applyAlignment="1">
      <alignment vertical="center"/>
    </xf>
    <xf numFmtId="49" fontId="9" fillId="0" borderId="42" xfId="161" applyNumberFormat="1" applyFont="1" applyBorder="1" applyAlignment="1">
      <alignment horizontal="left" vertical="center" wrapText="1"/>
    </xf>
    <xf numFmtId="0" fontId="9" fillId="0" borderId="42" xfId="174" applyFont="1" applyBorder="1" applyAlignment="1">
      <alignment vertical="center" wrapText="1"/>
    </xf>
    <xf numFmtId="3" fontId="12" fillId="0" borderId="44" xfId="0" applyNumberFormat="1" applyFont="1" applyBorder="1" applyAlignment="1">
      <alignment horizontal="center" vertical="center"/>
    </xf>
    <xf numFmtId="0" fontId="99" fillId="0" borderId="42" xfId="0" applyFont="1" applyBorder="1" applyAlignment="1">
      <alignment vertical="center" wrapText="1"/>
    </xf>
    <xf numFmtId="0" fontId="9" fillId="0" borderId="42" xfId="165" applyFont="1" applyBorder="1" applyAlignment="1">
      <alignment vertical="center"/>
    </xf>
    <xf numFmtId="0" fontId="101" fillId="0" borderId="42" xfId="165" applyFont="1" applyBorder="1" applyAlignment="1">
      <alignment vertical="top"/>
    </xf>
    <xf numFmtId="3" fontId="102" fillId="0" borderId="41" xfId="0" applyNumberFormat="1" applyFont="1" applyBorder="1" applyAlignment="1">
      <alignment vertical="center"/>
    </xf>
    <xf numFmtId="3" fontId="102" fillId="0" borderId="47" xfId="0" applyNumberFormat="1" applyFont="1" applyBorder="1" applyAlignment="1">
      <alignment vertical="center"/>
    </xf>
    <xf numFmtId="0" fontId="10" fillId="0" borderId="42" xfId="165" applyFont="1" applyBorder="1" applyAlignment="1">
      <alignment vertical="top"/>
    </xf>
    <xf numFmtId="0" fontId="9" fillId="0" borderId="42" xfId="175" applyFont="1" applyBorder="1" applyAlignment="1">
      <alignment vertical="top" wrapText="1"/>
    </xf>
    <xf numFmtId="0" fontId="10" fillId="0" borderId="42" xfId="165" applyFont="1" applyBorder="1" applyAlignment="1">
      <alignment vertical="center"/>
    </xf>
    <xf numFmtId="3" fontId="101" fillId="0" borderId="42" xfId="0" applyNumberFormat="1" applyFont="1" applyBorder="1" applyAlignment="1">
      <alignment vertical="center"/>
    </xf>
    <xf numFmtId="0" fontId="101" fillId="0" borderId="42" xfId="0" applyFont="1" applyBorder="1" applyAlignment="1">
      <alignment horizontal="left" vertical="center" wrapText="1"/>
    </xf>
    <xf numFmtId="3" fontId="12" fillId="0" borderId="47" xfId="140" applyNumberFormat="1" applyFont="1" applyBorder="1" applyAlignment="1">
      <alignment horizontal="right" vertical="center"/>
    </xf>
    <xf numFmtId="0" fontId="19" fillId="0" borderId="42" xfId="165" applyFont="1" applyBorder="1" applyAlignment="1">
      <alignment vertical="center"/>
    </xf>
    <xf numFmtId="0" fontId="9" fillId="0" borderId="42" xfId="165" applyFont="1" applyBorder="1" applyAlignment="1">
      <alignment vertical="top"/>
    </xf>
    <xf numFmtId="0" fontId="103" fillId="0" borderId="42" xfId="177" applyFont="1" applyBorder="1" applyAlignment="1">
      <alignment wrapText="1"/>
    </xf>
    <xf numFmtId="0" fontId="103" fillId="0" borderId="42" xfId="177" applyFont="1" applyBorder="1" applyAlignment="1">
      <alignment horizontal="justify" wrapText="1"/>
    </xf>
    <xf numFmtId="0" fontId="103" fillId="0" borderId="42" xfId="177" applyFont="1" applyBorder="1" applyAlignment="1">
      <alignment horizontal="left" wrapText="1"/>
    </xf>
    <xf numFmtId="3" fontId="9" fillId="0" borderId="40" xfId="0" applyNumberFormat="1" applyFont="1" applyBorder="1" applyAlignment="1">
      <alignment vertical="center" wrapText="1"/>
    </xf>
    <xf numFmtId="3" fontId="10" fillId="46" borderId="25" xfId="0" applyNumberFormat="1" applyFont="1" applyFill="1" applyBorder="1" applyAlignment="1">
      <alignment vertical="center"/>
    </xf>
    <xf numFmtId="3" fontId="12" fillId="46" borderId="26" xfId="0" applyNumberFormat="1" applyFont="1" applyFill="1" applyBorder="1" applyAlignment="1">
      <alignment vertical="center"/>
    </xf>
    <xf numFmtId="0" fontId="9" fillId="0" borderId="58" xfId="176" applyFont="1" applyBorder="1" applyAlignment="1">
      <alignment vertical="center" wrapText="1"/>
    </xf>
    <xf numFmtId="0" fontId="12" fillId="0" borderId="47" xfId="176" applyFont="1" applyBorder="1" applyAlignment="1">
      <alignment vertical="center" wrapText="1"/>
    </xf>
    <xf numFmtId="3" fontId="12" fillId="0" borderId="41" xfId="176" applyNumberFormat="1" applyFont="1" applyBorder="1" applyAlignment="1">
      <alignment vertical="center" wrapText="1"/>
    </xf>
    <xf numFmtId="3" fontId="11" fillId="0" borderId="47" xfId="0" applyNumberFormat="1" applyFont="1" applyBorder="1" applyAlignment="1">
      <alignment horizontal="left" vertical="center"/>
    </xf>
    <xf numFmtId="0" fontId="92" fillId="0" borderId="54" xfId="176" applyFont="1" applyBorder="1" applyAlignment="1">
      <alignment vertical="center" wrapText="1"/>
    </xf>
    <xf numFmtId="3" fontId="93" fillId="0" borderId="54" xfId="0" applyNumberFormat="1" applyFont="1" applyBorder="1" applyAlignment="1">
      <alignment vertical="center"/>
    </xf>
    <xf numFmtId="49" fontId="9" fillId="0" borderId="40" xfId="173" applyNumberFormat="1" applyFont="1" applyBorder="1" applyAlignment="1">
      <alignment horizontal="left" vertical="top" wrapText="1"/>
    </xf>
    <xf numFmtId="3" fontId="93" fillId="0" borderId="62" xfId="0" applyNumberFormat="1" applyFont="1" applyBorder="1" applyAlignment="1">
      <alignment vertical="center"/>
    </xf>
    <xf numFmtId="49" fontId="9" fillId="0" borderId="0" xfId="173" applyNumberFormat="1" applyFont="1" applyAlignment="1">
      <alignment horizontal="left" vertical="top" wrapText="1"/>
    </xf>
    <xf numFmtId="3" fontId="93" fillId="0" borderId="61" xfId="0" applyNumberFormat="1" applyFont="1" applyBorder="1" applyAlignment="1">
      <alignment vertical="center"/>
    </xf>
    <xf numFmtId="3" fontId="12" fillId="52" borderId="41" xfId="0" applyNumberFormat="1" applyFont="1" applyFill="1" applyBorder="1" applyAlignment="1">
      <alignment vertical="center"/>
    </xf>
    <xf numFmtId="3" fontId="104" fillId="0" borderId="41" xfId="140" applyNumberFormat="1" applyFont="1" applyBorder="1" applyAlignment="1">
      <alignment horizontal="center" vertical="top" wrapText="1"/>
    </xf>
    <xf numFmtId="3" fontId="39" fillId="0" borderId="41" xfId="140" applyNumberFormat="1" applyFont="1" applyBorder="1" applyAlignment="1">
      <alignment horizontal="right" vertical="top" wrapText="1"/>
    </xf>
    <xf numFmtId="3" fontId="11" fillId="0" borderId="26" xfId="0" applyNumberFormat="1" applyFont="1" applyBorder="1" applyAlignment="1">
      <alignment vertical="center"/>
    </xf>
    <xf numFmtId="3" fontId="12" fillId="0" borderId="19" xfId="140" applyNumberFormat="1" applyFont="1" applyBorder="1" applyAlignment="1">
      <alignment horizontal="right" vertical="center"/>
    </xf>
    <xf numFmtId="3" fontId="12" fillId="0" borderId="25" xfId="0" applyNumberFormat="1" applyFont="1" applyBorder="1" applyAlignment="1">
      <alignment vertical="center"/>
    </xf>
    <xf numFmtId="3" fontId="12" fillId="0" borderId="26" xfId="0" applyNumberFormat="1" applyFont="1" applyBorder="1" applyAlignment="1">
      <alignment vertical="center"/>
    </xf>
    <xf numFmtId="3" fontId="12" fillId="0" borderId="54" xfId="0" applyNumberFormat="1" applyFont="1" applyBorder="1" applyAlignment="1">
      <alignment vertical="center"/>
    </xf>
    <xf numFmtId="3" fontId="9" fillId="52" borderId="42" xfId="0" applyNumberFormat="1" applyFont="1" applyFill="1" applyBorder="1" applyAlignment="1">
      <alignment vertical="center"/>
    </xf>
    <xf numFmtId="1" fontId="13" fillId="0" borderId="41" xfId="0" applyNumberFormat="1" applyFont="1" applyBorder="1" applyAlignment="1">
      <alignment vertical="center"/>
    </xf>
    <xf numFmtId="49" fontId="12" fillId="0" borderId="41" xfId="0" applyNumberFormat="1" applyFont="1" applyBorder="1" applyAlignment="1">
      <alignment horizontal="right" vertical="center"/>
    </xf>
    <xf numFmtId="3" fontId="101" fillId="0" borderId="40" xfId="0" applyNumberFormat="1" applyFont="1" applyBorder="1" applyAlignment="1">
      <alignment vertical="center" wrapText="1"/>
    </xf>
    <xf numFmtId="3" fontId="102" fillId="0" borderId="41" xfId="0" applyNumberFormat="1" applyFont="1" applyBorder="1" applyAlignment="1">
      <alignment horizontal="center" vertical="center"/>
    </xf>
    <xf numFmtId="3" fontId="9" fillId="0" borderId="42" xfId="140" applyNumberFormat="1" applyFont="1" applyBorder="1" applyAlignment="1">
      <alignment horizontal="left" vertical="center" wrapText="1"/>
    </xf>
    <xf numFmtId="3" fontId="11" fillId="52" borderId="41" xfId="0" applyNumberFormat="1" applyFont="1" applyFill="1" applyBorder="1" applyAlignment="1">
      <alignment horizontal="center" vertical="center"/>
    </xf>
    <xf numFmtId="3" fontId="11" fillId="52" borderId="42" xfId="0" applyNumberFormat="1" applyFont="1" applyFill="1" applyBorder="1" applyAlignment="1">
      <alignment horizontal="center" vertical="center"/>
    </xf>
    <xf numFmtId="3" fontId="10" fillId="52" borderId="42" xfId="0" applyNumberFormat="1" applyFont="1" applyFill="1" applyBorder="1" applyAlignment="1">
      <alignment vertical="center"/>
    </xf>
    <xf numFmtId="3" fontId="11" fillId="52" borderId="47" xfId="0" applyNumberFormat="1" applyFont="1" applyFill="1" applyBorder="1" applyAlignment="1">
      <alignment vertical="center"/>
    </xf>
    <xf numFmtId="3" fontId="11" fillId="52" borderId="41" xfId="0" applyNumberFormat="1" applyFont="1" applyFill="1" applyBorder="1" applyAlignment="1">
      <alignment vertical="center"/>
    </xf>
    <xf numFmtId="3" fontId="12" fillId="52" borderId="41" xfId="0" applyNumberFormat="1" applyFont="1" applyFill="1" applyBorder="1" applyAlignment="1">
      <alignment horizontal="right" vertical="center"/>
    </xf>
    <xf numFmtId="3" fontId="9" fillId="0" borderId="25" xfId="0" applyNumberFormat="1" applyFont="1" applyBorder="1" applyAlignment="1">
      <alignment horizontal="left" vertical="center"/>
    </xf>
    <xf numFmtId="3" fontId="11" fillId="52" borderId="41" xfId="0" applyNumberFormat="1" applyFont="1" applyFill="1" applyBorder="1" applyAlignment="1">
      <alignment horizontal="left" vertical="center"/>
    </xf>
    <xf numFmtId="3" fontId="11" fillId="52" borderId="47" xfId="0" applyNumberFormat="1" applyFont="1" applyFill="1" applyBorder="1" applyAlignment="1">
      <alignment horizontal="center" vertical="center"/>
    </xf>
    <xf numFmtId="0" fontId="9" fillId="0" borderId="42" xfId="0" applyFont="1" applyBorder="1" applyAlignment="1">
      <alignment horizontal="left" vertical="center"/>
    </xf>
    <xf numFmtId="3" fontId="11" fillId="52" borderId="46" xfId="0" applyNumberFormat="1" applyFont="1" applyFill="1" applyBorder="1" applyAlignment="1">
      <alignment horizontal="center" vertical="center"/>
    </xf>
    <xf numFmtId="3" fontId="11" fillId="46" borderId="47" xfId="0" applyNumberFormat="1" applyFont="1" applyFill="1" applyBorder="1" applyAlignment="1">
      <alignment horizontal="left" vertical="center"/>
    </xf>
    <xf numFmtId="3" fontId="11" fillId="46" borderId="41" xfId="0" applyNumberFormat="1" applyFont="1" applyFill="1" applyBorder="1" applyAlignment="1">
      <alignment horizontal="right" vertical="center"/>
    </xf>
    <xf numFmtId="3" fontId="19" fillId="0" borderId="42" xfId="0" applyNumberFormat="1" applyFont="1" applyBorder="1" applyAlignment="1">
      <alignment horizontal="left" vertical="center"/>
    </xf>
    <xf numFmtId="0" fontId="9" fillId="0" borderId="30" xfId="178" applyFont="1" applyBorder="1" applyAlignment="1">
      <alignment vertical="top"/>
    </xf>
    <xf numFmtId="3" fontId="12" fillId="0" borderId="43" xfId="0" applyNumberFormat="1" applyFont="1" applyBorder="1" applyAlignment="1">
      <alignment vertical="center"/>
    </xf>
    <xf numFmtId="3" fontId="14" fillId="52" borderId="41" xfId="140" applyNumberFormat="1" applyFont="1" applyFill="1" applyBorder="1" applyAlignment="1">
      <alignment horizontal="center" vertical="top" wrapText="1"/>
    </xf>
    <xf numFmtId="3" fontId="9" fillId="52" borderId="42" xfId="140" applyNumberFormat="1" applyFont="1" applyFill="1" applyBorder="1" applyAlignment="1">
      <alignment horizontal="left" vertical="top"/>
    </xf>
    <xf numFmtId="3" fontId="12" fillId="52" borderId="41" xfId="140" applyNumberFormat="1" applyFont="1" applyFill="1" applyBorder="1" applyAlignment="1">
      <alignment horizontal="right" vertical="top" wrapText="1"/>
    </xf>
    <xf numFmtId="3" fontId="12" fillId="52" borderId="41" xfId="140" applyNumberFormat="1" applyFont="1" applyFill="1" applyBorder="1" applyAlignment="1">
      <alignment vertical="top" wrapText="1"/>
    </xf>
    <xf numFmtId="3" fontId="39" fillId="52" borderId="41" xfId="140" applyNumberFormat="1" applyFont="1" applyFill="1" applyBorder="1" applyAlignment="1">
      <alignment horizontal="right" vertical="center" wrapText="1"/>
    </xf>
    <xf numFmtId="3" fontId="9" fillId="0" borderId="63" xfId="0" applyNumberFormat="1" applyFont="1" applyBorder="1" applyAlignment="1">
      <alignment vertical="center" wrapText="1"/>
    </xf>
    <xf numFmtId="0" fontId="9" fillId="0" borderId="40" xfId="179" applyFont="1" applyBorder="1" applyAlignment="1">
      <alignment vertical="center"/>
    </xf>
    <xf numFmtId="0" fontId="9" fillId="0" borderId="60" xfId="179" applyFont="1" applyBorder="1" applyAlignment="1">
      <alignment vertical="center" wrapText="1"/>
    </xf>
    <xf numFmtId="3" fontId="11" fillId="46" borderId="47" xfId="0" applyNumberFormat="1" applyFont="1" applyFill="1" applyBorder="1" applyAlignment="1">
      <alignment horizontal="center" vertical="center"/>
    </xf>
    <xf numFmtId="3" fontId="11" fillId="46" borderId="41" xfId="140" applyNumberFormat="1" applyFont="1" applyFill="1" applyBorder="1" applyAlignment="1">
      <alignment horizontal="right" vertical="center"/>
    </xf>
    <xf numFmtId="0" fontId="9" fillId="46" borderId="53" xfId="0" applyFont="1" applyFill="1" applyBorder="1" applyAlignment="1">
      <alignment vertical="center"/>
    </xf>
    <xf numFmtId="0" fontId="9" fillId="46" borderId="53" xfId="0" applyFont="1" applyFill="1" applyBorder="1" applyAlignment="1">
      <alignment horizontal="center" vertical="center"/>
    </xf>
    <xf numFmtId="3" fontId="11" fillId="46" borderId="44" xfId="0" applyNumberFormat="1" applyFont="1" applyFill="1" applyBorder="1" applyAlignment="1">
      <alignment vertical="center"/>
    </xf>
    <xf numFmtId="0" fontId="9" fillId="0" borderId="42" xfId="127" applyFont="1" applyBorder="1" applyAlignment="1">
      <alignment vertical="center"/>
    </xf>
    <xf numFmtId="3" fontId="12" fillId="0" borderId="47" xfId="0" applyNumberFormat="1" applyFont="1" applyBorder="1" applyAlignment="1">
      <alignment horizontal="center" vertical="center"/>
    </xf>
    <xf numFmtId="3" fontId="12" fillId="0" borderId="41" xfId="133" applyNumberFormat="1" applyFont="1" applyBorder="1" applyAlignment="1">
      <alignment horizontal="right" vertical="center"/>
    </xf>
    <xf numFmtId="3" fontId="11" fillId="46" borderId="26" xfId="0" applyNumberFormat="1" applyFont="1" applyFill="1" applyBorder="1" applyAlignment="1">
      <alignment horizontal="center" vertical="center"/>
    </xf>
    <xf numFmtId="3" fontId="105" fillId="0" borderId="0" xfId="0" applyNumberFormat="1" applyFont="1" applyAlignment="1">
      <alignment vertical="center"/>
    </xf>
    <xf numFmtId="3" fontId="106" fillId="0" borderId="0" xfId="0" applyNumberFormat="1" applyFont="1" applyAlignment="1">
      <alignment vertical="center"/>
    </xf>
    <xf numFmtId="3" fontId="12" fillId="0" borderId="41" xfId="0" applyNumberFormat="1" applyFont="1" applyFill="1" applyBorder="1" applyAlignment="1">
      <alignment horizontal="right" vertical="center"/>
    </xf>
    <xf numFmtId="3" fontId="9" fillId="0" borderId="42" xfId="0" applyNumberFormat="1" applyFont="1" applyFill="1" applyBorder="1" applyAlignment="1">
      <alignment vertical="center"/>
    </xf>
    <xf numFmtId="3" fontId="12" fillId="0" borderId="41" xfId="0" applyNumberFormat="1" applyFont="1" applyFill="1" applyBorder="1" applyAlignment="1">
      <alignment vertical="center"/>
    </xf>
    <xf numFmtId="3" fontId="12" fillId="0" borderId="41" xfId="140" applyNumberFormat="1" applyFont="1" applyFill="1" applyBorder="1" applyAlignment="1">
      <alignment horizontal="right" vertical="center"/>
    </xf>
    <xf numFmtId="0" fontId="9" fillId="0" borderId="42" xfId="162" applyFont="1" applyBorder="1" applyAlignment="1">
      <alignment vertical="center" wrapText="1"/>
    </xf>
    <xf numFmtId="0" fontId="108" fillId="0" borderId="25" xfId="137" applyFont="1" applyBorder="1" applyAlignment="1">
      <alignment vertical="center"/>
    </xf>
    <xf numFmtId="0" fontId="108" fillId="0" borderId="19" xfId="137" applyFont="1" applyBorder="1" applyAlignment="1">
      <alignment horizontal="center" vertical="center"/>
    </xf>
    <xf numFmtId="0" fontId="101" fillId="0" borderId="19" xfId="137" applyFont="1" applyBorder="1" applyAlignment="1">
      <alignment vertical="center"/>
    </xf>
    <xf numFmtId="0" fontId="108" fillId="0" borderId="34" xfId="137" applyFont="1" applyBorder="1" applyAlignment="1">
      <alignment vertical="center"/>
    </xf>
    <xf numFmtId="0" fontId="108" fillId="0" borderId="33" xfId="137" applyFont="1" applyBorder="1" applyAlignment="1">
      <alignment horizontal="center" vertical="center"/>
    </xf>
    <xf numFmtId="0" fontId="101" fillId="0" borderId="33" xfId="137" applyFont="1" applyBorder="1" applyAlignment="1">
      <alignment vertical="center"/>
    </xf>
    <xf numFmtId="0" fontId="101" fillId="0" borderId="34" xfId="127" applyFont="1" applyBorder="1" applyAlignment="1">
      <alignment vertical="center"/>
    </xf>
    <xf numFmtId="0" fontId="101" fillId="0" borderId="33" xfId="127" applyFont="1" applyBorder="1" applyAlignment="1">
      <alignment horizontal="center" vertical="center"/>
    </xf>
    <xf numFmtId="3" fontId="108" fillId="0" borderId="33" xfId="0" applyNumberFormat="1" applyFont="1" applyBorder="1" applyAlignment="1">
      <alignment vertical="center"/>
    </xf>
    <xf numFmtId="3" fontId="101" fillId="0" borderId="33" xfId="137" applyNumberFormat="1" applyFont="1" applyBorder="1" applyAlignment="1">
      <alignment vertical="center"/>
    </xf>
    <xf numFmtId="0" fontId="101" fillId="0" borderId="34" xfId="137" applyFont="1" applyBorder="1" applyAlignment="1">
      <alignment vertical="center" wrapText="1"/>
    </xf>
    <xf numFmtId="0" fontId="102" fillId="0" borderId="33" xfId="137" applyFont="1" applyBorder="1" applyAlignment="1">
      <alignment horizontal="center" vertical="center" wrapText="1"/>
    </xf>
    <xf numFmtId="0" fontId="101" fillId="0" borderId="34" xfId="137" applyFont="1" applyBorder="1" applyAlignment="1">
      <alignment vertical="center"/>
    </xf>
    <xf numFmtId="167" fontId="101" fillId="0" borderId="33" xfId="84" applyNumberFormat="1" applyFont="1" applyBorder="1" applyAlignment="1">
      <alignment horizontal="center" vertical="center"/>
    </xf>
    <xf numFmtId="3" fontId="108" fillId="46" borderId="34" xfId="0" applyNumberFormat="1" applyFont="1" applyFill="1" applyBorder="1" applyAlignment="1">
      <alignment vertical="center"/>
    </xf>
    <xf numFmtId="3" fontId="108" fillId="46" borderId="33" xfId="137" applyNumberFormat="1" applyFont="1" applyFill="1" applyBorder="1" applyAlignment="1">
      <alignment vertical="center"/>
    </xf>
    <xf numFmtId="0" fontId="101" fillId="0" borderId="33" xfId="0" applyFont="1" applyBorder="1" applyAlignment="1">
      <alignment vertical="center"/>
    </xf>
    <xf numFmtId="3" fontId="108" fillId="0" borderId="33" xfId="137" applyNumberFormat="1" applyFont="1" applyBorder="1" applyAlignment="1">
      <alignment vertical="center"/>
    </xf>
    <xf numFmtId="0" fontId="101" fillId="0" borderId="34" xfId="159" applyFont="1" applyBorder="1" applyAlignment="1">
      <alignment vertical="center" wrapText="1"/>
    </xf>
    <xf numFmtId="0" fontId="109" fillId="0" borderId="33" xfId="137" applyFont="1" applyBorder="1" applyAlignment="1">
      <alignment vertical="center" wrapText="1"/>
    </xf>
    <xf numFmtId="3" fontId="108" fillId="46" borderId="33" xfId="0" applyNumberFormat="1" applyFont="1" applyFill="1" applyBorder="1" applyAlignment="1">
      <alignment horizontal="center" vertical="center"/>
    </xf>
    <xf numFmtId="3" fontId="108" fillId="0" borderId="34" xfId="0" applyNumberFormat="1" applyFont="1" applyBorder="1" applyAlignment="1">
      <alignment vertical="center"/>
    </xf>
    <xf numFmtId="3" fontId="110" fillId="0" borderId="33" xfId="0" applyNumberFormat="1" applyFont="1" applyBorder="1" applyAlignment="1">
      <alignment horizontal="center" vertical="center"/>
    </xf>
    <xf numFmtId="0" fontId="101" fillId="0" borderId="34" xfId="160" applyFont="1" applyBorder="1" applyAlignment="1">
      <alignment vertical="center" wrapText="1"/>
    </xf>
    <xf numFmtId="3" fontId="108" fillId="0" borderId="33" xfId="0" applyNumberFormat="1" applyFont="1" applyBorder="1" applyAlignment="1">
      <alignment horizontal="center" vertical="center"/>
    </xf>
    <xf numFmtId="3" fontId="101" fillId="0" borderId="34" xfId="0" applyNumberFormat="1" applyFont="1" applyBorder="1" applyAlignment="1">
      <alignment vertical="center" wrapText="1"/>
    </xf>
    <xf numFmtId="3" fontId="101" fillId="0" borderId="33" xfId="0" applyNumberFormat="1" applyFont="1" applyBorder="1" applyAlignment="1">
      <alignment horizontal="center" vertical="center"/>
    </xf>
    <xf numFmtId="0" fontId="110" fillId="0" borderId="33" xfId="137" applyFont="1" applyBorder="1" applyAlignment="1">
      <alignment horizontal="center" vertical="center"/>
    </xf>
    <xf numFmtId="3" fontId="101" fillId="0" borderId="34" xfId="0" applyNumberFormat="1" applyFont="1" applyBorder="1" applyAlignment="1">
      <alignment horizontal="left" vertical="center" wrapText="1"/>
    </xf>
    <xf numFmtId="3" fontId="102" fillId="0" borderId="33" xfId="0" applyNumberFormat="1" applyFont="1" applyBorder="1" applyAlignment="1">
      <alignment horizontal="center" vertical="center" wrapText="1"/>
    </xf>
    <xf numFmtId="49" fontId="102" fillId="0" borderId="33" xfId="137" applyNumberFormat="1" applyFont="1" applyBorder="1" applyAlignment="1">
      <alignment horizontal="center" vertical="center"/>
    </xf>
    <xf numFmtId="0" fontId="101" fillId="0" borderId="34" xfId="129" applyFont="1" applyBorder="1" applyAlignment="1">
      <alignment vertical="center" wrapText="1"/>
    </xf>
    <xf numFmtId="49" fontId="102" fillId="0" borderId="33" xfId="129" applyNumberFormat="1" applyFont="1" applyBorder="1" applyAlignment="1">
      <alignment horizontal="center" vertical="center" wrapText="1"/>
    </xf>
    <xf numFmtId="0" fontId="101" fillId="0" borderId="33" xfId="137" applyFont="1" applyBorder="1" applyAlignment="1">
      <alignment horizontal="left" vertical="center"/>
    </xf>
    <xf numFmtId="49" fontId="102" fillId="0" borderId="33" xfId="137" applyNumberFormat="1" applyFont="1" applyBorder="1" applyAlignment="1">
      <alignment horizontal="center" vertical="center" wrapText="1"/>
    </xf>
    <xf numFmtId="3" fontId="102" fillId="0" borderId="34" xfId="0" applyNumberFormat="1" applyFont="1" applyBorder="1" applyAlignment="1">
      <alignment vertical="center" wrapText="1"/>
    </xf>
    <xf numFmtId="49" fontId="102" fillId="0" borderId="33" xfId="0" applyNumberFormat="1" applyFont="1" applyBorder="1" applyAlignment="1">
      <alignment horizontal="center" vertical="center" wrapText="1"/>
    </xf>
    <xf numFmtId="3" fontId="101" fillId="0" borderId="33" xfId="137" applyNumberFormat="1" applyFont="1" applyBorder="1" applyAlignment="1">
      <alignment vertical="center" wrapText="1"/>
    </xf>
    <xf numFmtId="0" fontId="108" fillId="46" borderId="34" xfId="137" applyFont="1" applyFill="1" applyBorder="1" applyAlignment="1">
      <alignment vertical="center"/>
    </xf>
    <xf numFmtId="0" fontId="110" fillId="46" borderId="33" xfId="137" applyFont="1" applyFill="1" applyBorder="1" applyAlignment="1">
      <alignment horizontal="center" vertical="center"/>
    </xf>
    <xf numFmtId="3" fontId="101" fillId="0" borderId="33" xfId="0" applyNumberFormat="1" applyFont="1" applyBorder="1" applyAlignment="1">
      <alignment horizontal="center" vertical="center" wrapText="1"/>
    </xf>
    <xf numFmtId="3" fontId="101" fillId="0" borderId="33" xfId="0" applyNumberFormat="1" applyFont="1" applyBorder="1" applyAlignment="1">
      <alignment vertical="center"/>
    </xf>
    <xf numFmtId="3" fontId="101" fillId="0" borderId="33" xfId="137" applyNumberFormat="1" applyFont="1" applyBorder="1" applyAlignment="1">
      <alignment horizontal="center" vertical="center" wrapText="1"/>
    </xf>
    <xf numFmtId="0" fontId="101" fillId="0" borderId="34" xfId="0" applyFont="1" applyBorder="1" applyAlignment="1">
      <alignment horizontal="left" vertical="center" wrapText="1"/>
    </xf>
    <xf numFmtId="0" fontId="101" fillId="0" borderId="33" xfId="129" applyFont="1" applyBorder="1" applyAlignment="1">
      <alignment horizontal="center" vertical="center" wrapText="1"/>
    </xf>
    <xf numFmtId="0" fontId="101" fillId="0" borderId="33" xfId="129" applyFont="1" applyBorder="1" applyAlignment="1">
      <alignment horizontal="center" vertical="top" wrapText="1"/>
    </xf>
    <xf numFmtId="0" fontId="101" fillId="0" borderId="40" xfId="129" applyFont="1" applyBorder="1" applyAlignment="1">
      <alignment vertical="center" wrapText="1"/>
    </xf>
    <xf numFmtId="0" fontId="101" fillId="0" borderId="41" xfId="129" applyFont="1" applyBorder="1" applyAlignment="1">
      <alignment horizontal="center" vertical="center" wrapText="1"/>
    </xf>
    <xf numFmtId="3" fontId="101" fillId="0" borderId="41" xfId="137" applyNumberFormat="1" applyFont="1" applyBorder="1" applyAlignment="1">
      <alignment vertical="center" wrapText="1"/>
    </xf>
    <xf numFmtId="3" fontId="101" fillId="0" borderId="41" xfId="137" applyNumberFormat="1" applyFont="1" applyBorder="1" applyAlignment="1">
      <alignment vertical="center"/>
    </xf>
    <xf numFmtId="0" fontId="101" fillId="0" borderId="42" xfId="129" applyFont="1" applyBorder="1" applyAlignment="1">
      <alignment vertical="center" wrapText="1"/>
    </xf>
    <xf numFmtId="0" fontId="101" fillId="0" borderId="0" xfId="129" applyFont="1" applyAlignment="1">
      <alignment vertical="center" wrapText="1"/>
    </xf>
    <xf numFmtId="3" fontId="101" fillId="0" borderId="40" xfId="161" applyNumberFormat="1" applyFont="1" applyBorder="1" applyAlignment="1">
      <alignment horizontal="left" vertical="center" wrapText="1"/>
    </xf>
    <xf numFmtId="3" fontId="101" fillId="0" borderId="40" xfId="162" applyNumberFormat="1" applyFont="1" applyBorder="1" applyAlignment="1">
      <alignment vertical="center" wrapText="1"/>
    </xf>
    <xf numFmtId="3" fontId="101" fillId="48" borderId="40" xfId="131" applyNumberFormat="1" applyFont="1" applyFill="1" applyBorder="1" applyAlignment="1">
      <alignment vertical="top" wrapText="1"/>
    </xf>
    <xf numFmtId="3" fontId="101" fillId="0" borderId="40" xfId="163" applyNumberFormat="1" applyFont="1" applyBorder="1" applyAlignment="1">
      <alignment vertical="top" wrapText="1"/>
    </xf>
    <xf numFmtId="3" fontId="101" fillId="0" borderId="41" xfId="0" applyNumberFormat="1" applyFont="1" applyBorder="1" applyAlignment="1">
      <alignment vertical="center" wrapText="1"/>
    </xf>
    <xf numFmtId="3" fontId="101" fillId="0" borderId="41" xfId="130" applyNumberFormat="1" applyFont="1" applyBorder="1" applyAlignment="1">
      <alignment vertical="top" wrapText="1"/>
    </xf>
    <xf numFmtId="0" fontId="101" fillId="0" borderId="43" xfId="129" applyFont="1" applyBorder="1" applyAlignment="1">
      <alignment vertical="center" wrapText="1"/>
    </xf>
    <xf numFmtId="3" fontId="101" fillId="0" borderId="42" xfId="0" applyNumberFormat="1" applyFont="1" applyBorder="1" applyAlignment="1">
      <alignment horizontal="left" vertical="center" wrapText="1"/>
    </xf>
    <xf numFmtId="3" fontId="102" fillId="0" borderId="41" xfId="0" applyNumberFormat="1" applyFont="1" applyBorder="1" applyAlignment="1">
      <alignment horizontal="left" vertical="center" wrapText="1"/>
    </xf>
    <xf numFmtId="3" fontId="101" fillId="0" borderId="40" xfId="164" applyNumberFormat="1" applyFont="1" applyBorder="1" applyAlignment="1">
      <alignment horizontal="left" vertical="center" wrapText="1"/>
    </xf>
    <xf numFmtId="3" fontId="101" fillId="0" borderId="41" xfId="163" applyNumberFormat="1" applyFont="1" applyBorder="1" applyAlignment="1">
      <alignment vertical="top" wrapText="1"/>
    </xf>
    <xf numFmtId="3" fontId="101" fillId="0" borderId="42" xfId="0" applyNumberFormat="1" applyFont="1" applyBorder="1" applyAlignment="1">
      <alignment vertical="center" wrapText="1"/>
    </xf>
    <xf numFmtId="0" fontId="101" fillId="0" borderId="42" xfId="165" applyFont="1" applyBorder="1" applyAlignment="1">
      <alignment vertical="top" wrapText="1"/>
    </xf>
    <xf numFmtId="0" fontId="108" fillId="46" borderId="42" xfId="137" applyFont="1" applyFill="1" applyBorder="1" applyAlignment="1">
      <alignment vertical="center"/>
    </xf>
    <xf numFmtId="0" fontId="108" fillId="46" borderId="41" xfId="137" applyFont="1" applyFill="1" applyBorder="1" applyAlignment="1">
      <alignment horizontal="center" vertical="center"/>
    </xf>
    <xf numFmtId="3" fontId="108" fillId="46" borderId="41" xfId="137" applyNumberFormat="1" applyFont="1" applyFill="1" applyBorder="1" applyAlignment="1">
      <alignment vertical="center"/>
    </xf>
    <xf numFmtId="0" fontId="108" fillId="0" borderId="42" xfId="137" applyFont="1" applyBorder="1" applyAlignment="1">
      <alignment vertical="center"/>
    </xf>
    <xf numFmtId="0" fontId="108" fillId="0" borderId="41" xfId="137" applyFont="1" applyBorder="1" applyAlignment="1">
      <alignment horizontal="center" vertical="center"/>
    </xf>
    <xf numFmtId="3" fontId="101" fillId="0" borderId="41" xfId="0" applyNumberFormat="1" applyFont="1" applyBorder="1" applyAlignment="1">
      <alignment horizontal="center" vertical="center" wrapText="1"/>
    </xf>
    <xf numFmtId="0" fontId="101" fillId="0" borderId="41" xfId="0" applyFont="1" applyBorder="1" applyAlignment="1">
      <alignment vertical="center"/>
    </xf>
    <xf numFmtId="0" fontId="101" fillId="0" borderId="42" xfId="137" applyFont="1" applyBorder="1" applyAlignment="1">
      <alignment vertical="center"/>
    </xf>
    <xf numFmtId="3" fontId="101" fillId="0" borderId="41" xfId="137" applyNumberFormat="1" applyFont="1" applyBorder="1" applyAlignment="1">
      <alignment horizontal="center" vertical="center"/>
    </xf>
    <xf numFmtId="0" fontId="101" fillId="0" borderId="42" xfId="137" applyFont="1" applyBorder="1" applyAlignment="1">
      <alignment vertical="center" wrapText="1"/>
    </xf>
    <xf numFmtId="0" fontId="101" fillId="0" borderId="41" xfId="137" applyFont="1" applyBorder="1" applyAlignment="1">
      <alignment horizontal="center" vertical="center" wrapText="1"/>
    </xf>
    <xf numFmtId="0" fontId="101" fillId="0" borderId="42" xfId="158" applyFont="1" applyBorder="1" applyAlignment="1">
      <alignment vertical="center"/>
    </xf>
    <xf numFmtId="3" fontId="101" fillId="0" borderId="41" xfId="158" applyNumberFormat="1" applyFont="1" applyBorder="1" applyAlignment="1">
      <alignment horizontal="center" vertical="center"/>
    </xf>
    <xf numFmtId="0" fontId="101" fillId="0" borderId="41" xfId="137" applyFont="1" applyBorder="1" applyAlignment="1">
      <alignment vertical="center" wrapText="1"/>
    </xf>
    <xf numFmtId="0" fontId="101" fillId="0" borderId="25" xfId="137" applyFont="1" applyBorder="1" applyAlignment="1">
      <alignment vertical="center"/>
    </xf>
    <xf numFmtId="0" fontId="101" fillId="0" borderId="25" xfId="137" applyFont="1" applyBorder="1" applyAlignment="1">
      <alignment vertical="center" wrapText="1"/>
    </xf>
    <xf numFmtId="0" fontId="101" fillId="0" borderId="42" xfId="158" applyFont="1" applyBorder="1" applyAlignment="1">
      <alignment vertical="center" wrapText="1"/>
    </xf>
    <xf numFmtId="0" fontId="101" fillId="0" borderId="41" xfId="158" applyFont="1" applyBorder="1" applyAlignment="1">
      <alignment horizontal="center" vertical="center" wrapText="1"/>
    </xf>
    <xf numFmtId="3" fontId="101" fillId="0" borderId="41" xfId="137" applyNumberFormat="1" applyFont="1" applyBorder="1" applyAlignment="1">
      <alignment horizontal="center" vertical="center" wrapText="1"/>
    </xf>
    <xf numFmtId="0" fontId="101" fillId="0" borderId="45" xfId="158" applyFont="1" applyBorder="1" applyAlignment="1">
      <alignment vertical="center"/>
    </xf>
    <xf numFmtId="0" fontId="101" fillId="0" borderId="41" xfId="0" applyFont="1" applyBorder="1" applyAlignment="1">
      <alignment vertical="center" wrapText="1"/>
    </xf>
    <xf numFmtId="0" fontId="102" fillId="0" borderId="41" xfId="137" applyFont="1" applyBorder="1" applyAlignment="1">
      <alignment horizontal="center" vertical="center" wrapText="1"/>
    </xf>
    <xf numFmtId="3" fontId="108" fillId="0" borderId="41" xfId="137" applyNumberFormat="1" applyFont="1" applyBorder="1" applyAlignment="1">
      <alignment vertical="center"/>
    </xf>
    <xf numFmtId="3" fontId="101" fillId="0" borderId="41" xfId="0" applyNumberFormat="1" applyFont="1" applyBorder="1" applyAlignment="1">
      <alignment vertical="center"/>
    </xf>
    <xf numFmtId="3" fontId="108" fillId="46" borderId="41" xfId="137" applyNumberFormat="1" applyFont="1" applyFill="1" applyBorder="1" applyAlignment="1">
      <alignment vertical="center" wrapText="1"/>
    </xf>
    <xf numFmtId="0" fontId="101" fillId="0" borderId="45" xfId="158" applyFont="1" applyBorder="1" applyAlignment="1">
      <alignment vertical="center" wrapText="1"/>
    </xf>
    <xf numFmtId="3" fontId="101" fillId="0" borderId="41" xfId="137" applyNumberFormat="1" applyFont="1" applyFill="1" applyBorder="1" applyAlignment="1">
      <alignment vertical="center"/>
    </xf>
    <xf numFmtId="0" fontId="101" fillId="0" borderId="41" xfId="158" applyFont="1" applyBorder="1" applyAlignment="1">
      <alignment vertical="center"/>
    </xf>
    <xf numFmtId="3" fontId="101" fillId="0" borderId="41" xfId="158" applyNumberFormat="1" applyFont="1" applyBorder="1" applyAlignment="1">
      <alignment vertical="center"/>
    </xf>
    <xf numFmtId="3" fontId="102" fillId="0" borderId="41" xfId="0" applyNumberFormat="1" applyFont="1" applyBorder="1" applyAlignment="1">
      <alignment horizontal="center" vertical="center" wrapText="1"/>
    </xf>
    <xf numFmtId="3" fontId="102" fillId="0" borderId="41" xfId="0" applyNumberFormat="1" applyFont="1" applyBorder="1" applyAlignment="1">
      <alignment horizontal="right" vertical="center" wrapText="1"/>
    </xf>
    <xf numFmtId="3" fontId="108" fillId="46" borderId="42" xfId="0" applyNumberFormat="1" applyFont="1" applyFill="1" applyBorder="1" applyAlignment="1">
      <alignment vertical="center"/>
    </xf>
    <xf numFmtId="3" fontId="101" fillId="46" borderId="41" xfId="0" applyNumberFormat="1" applyFont="1" applyFill="1" applyBorder="1" applyAlignment="1">
      <alignment horizontal="center" vertical="center"/>
    </xf>
    <xf numFmtId="0" fontId="101" fillId="46" borderId="41" xfId="0" applyFont="1" applyFill="1" applyBorder="1" applyAlignment="1">
      <alignment vertical="center" wrapText="1"/>
    </xf>
    <xf numFmtId="0" fontId="108" fillId="46" borderId="42" xfId="127" applyFont="1" applyFill="1" applyBorder="1" applyAlignment="1">
      <alignment vertical="center" wrapText="1"/>
    </xf>
    <xf numFmtId="0" fontId="108" fillId="46" borderId="41" xfId="127" applyFont="1" applyFill="1" applyBorder="1" applyAlignment="1">
      <alignment horizontal="center" vertical="center" wrapText="1"/>
    </xf>
    <xf numFmtId="0" fontId="101" fillId="0" borderId="45" xfId="127" applyFont="1" applyBorder="1" applyAlignment="1">
      <alignment vertical="center"/>
    </xf>
    <xf numFmtId="0" fontId="101" fillId="0" borderId="41" xfId="127" applyFont="1" applyBorder="1" applyAlignment="1">
      <alignment horizontal="center" vertical="center"/>
    </xf>
    <xf numFmtId="0" fontId="108" fillId="46" borderId="41" xfId="137" applyFont="1" applyFill="1" applyBorder="1" applyAlignment="1">
      <alignment vertical="center"/>
    </xf>
    <xf numFmtId="0" fontId="101" fillId="0" borderId="42" xfId="137" applyFont="1" applyFill="1" applyBorder="1" applyAlignment="1">
      <alignment vertical="center" wrapText="1"/>
    </xf>
    <xf numFmtId="0" fontId="102" fillId="0" borderId="42" xfId="137" applyFont="1" applyFill="1" applyBorder="1" applyAlignment="1">
      <alignment vertical="center" wrapText="1"/>
    </xf>
    <xf numFmtId="0" fontId="101" fillId="0" borderId="25" xfId="137" applyFont="1" applyFill="1" applyBorder="1" applyAlignment="1">
      <alignment vertical="center" wrapText="1"/>
    </xf>
    <xf numFmtId="3" fontId="9" fillId="0" borderId="41" xfId="0" applyNumberFormat="1" applyFont="1" applyFill="1" applyBorder="1" applyAlignment="1">
      <alignment vertical="center"/>
    </xf>
    <xf numFmtId="0" fontId="9" fillId="0" borderId="40" xfId="176" applyFont="1" applyFill="1" applyBorder="1" applyAlignment="1">
      <alignment vertical="center" wrapText="1"/>
    </xf>
    <xf numFmtId="0" fontId="9" fillId="0" borderId="40" xfId="165" applyFont="1" applyFill="1" applyBorder="1" applyAlignment="1">
      <alignment vertical="top" wrapText="1"/>
    </xf>
    <xf numFmtId="0" fontId="9" fillId="0" borderId="42" xfId="165" applyFont="1" applyFill="1" applyBorder="1" applyAlignment="1">
      <alignment vertical="center"/>
    </xf>
    <xf numFmtId="0" fontId="9" fillId="0" borderId="42" xfId="0" applyFont="1" applyFill="1" applyBorder="1" applyAlignment="1">
      <alignment horizontal="left" vertical="center" wrapText="1"/>
    </xf>
    <xf numFmtId="0" fontId="9" fillId="0" borderId="42" xfId="162" applyFont="1" applyFill="1" applyBorder="1" applyAlignment="1">
      <alignment vertical="center" wrapText="1"/>
    </xf>
    <xf numFmtId="0" fontId="9" fillId="0" borderId="42" xfId="131" applyFont="1" applyFill="1" applyBorder="1" applyAlignment="1">
      <alignment vertical="top" wrapText="1"/>
    </xf>
    <xf numFmtId="0" fontId="9" fillId="0" borderId="42" xfId="170" applyFont="1" applyFill="1" applyBorder="1" applyAlignment="1">
      <alignment vertical="center"/>
    </xf>
    <xf numFmtId="3" fontId="12" fillId="0" borderId="42" xfId="140" applyNumberFormat="1" applyFont="1" applyFill="1" applyBorder="1" applyAlignment="1">
      <alignment vertical="center" wrapText="1"/>
    </xf>
    <xf numFmtId="3" fontId="12" fillId="0" borderId="42" xfId="140" applyNumberFormat="1" applyFont="1" applyFill="1" applyBorder="1" applyAlignment="1">
      <alignment vertical="center"/>
    </xf>
    <xf numFmtId="3" fontId="12" fillId="0" borderId="50" xfId="140" applyNumberFormat="1" applyFont="1" applyFill="1" applyBorder="1" applyAlignment="1">
      <alignment vertical="center"/>
    </xf>
    <xf numFmtId="0" fontId="91" fillId="0" borderId="43" xfId="166" applyFont="1" applyFill="1" applyBorder="1" applyAlignment="1">
      <alignment horizontal="left" vertical="center" wrapText="1"/>
    </xf>
    <xf numFmtId="3" fontId="12" fillId="0" borderId="51" xfId="167" applyNumberFormat="1" applyFont="1" applyFill="1" applyBorder="1" applyAlignment="1">
      <alignment vertical="center" wrapText="1"/>
    </xf>
    <xf numFmtId="3" fontId="12" fillId="0" borderId="42" xfId="0" applyNumberFormat="1" applyFont="1" applyFill="1" applyBorder="1" applyAlignment="1">
      <alignment vertical="center"/>
    </xf>
    <xf numFmtId="3" fontId="12" fillId="0" borderId="42" xfId="167" applyNumberFormat="1" applyFont="1" applyFill="1" applyBorder="1" applyAlignment="1">
      <alignment vertical="center" wrapText="1"/>
    </xf>
    <xf numFmtId="3" fontId="12" fillId="0" borderId="30" xfId="167" applyNumberFormat="1" applyFont="1" applyFill="1" applyBorder="1" applyAlignment="1">
      <alignment vertical="center" wrapText="1"/>
    </xf>
    <xf numFmtId="3" fontId="12" fillId="0" borderId="19" xfId="0" applyNumberFormat="1" applyFont="1" applyFill="1" applyBorder="1" applyAlignment="1">
      <alignment horizontal="right" vertical="center"/>
    </xf>
    <xf numFmtId="3" fontId="11" fillId="50" borderId="19" xfId="0" applyNumberFormat="1" applyFont="1" applyFill="1" applyBorder="1" applyAlignment="1">
      <alignment vertical="center"/>
    </xf>
    <xf numFmtId="49" fontId="18" fillId="0" borderId="42" xfId="171" applyNumberFormat="1" applyFont="1" applyBorder="1" applyAlignment="1">
      <alignment vertical="center"/>
    </xf>
    <xf numFmtId="0" fontId="9" fillId="0" borderId="42" xfId="0" applyFont="1" applyFill="1" applyBorder="1" applyAlignment="1">
      <alignment vertical="center" wrapText="1"/>
    </xf>
    <xf numFmtId="0" fontId="9" fillId="0" borderId="42" xfId="0" applyFont="1" applyBorder="1" applyAlignment="1">
      <alignment vertical="center"/>
    </xf>
    <xf numFmtId="0" fontId="96" fillId="0" borderId="42" xfId="0" applyFont="1" applyBorder="1" applyAlignment="1">
      <alignment vertical="center" wrapText="1"/>
    </xf>
    <xf numFmtId="49" fontId="18" fillId="53" borderId="42" xfId="171" applyNumberFormat="1" applyFont="1" applyFill="1" applyBorder="1" applyAlignment="1">
      <alignment horizontal="left" vertical="center" wrapText="1"/>
    </xf>
    <xf numFmtId="49" fontId="18" fillId="0" borderId="42" xfId="171" applyNumberFormat="1" applyFont="1" applyBorder="1" applyAlignment="1">
      <alignment horizontal="left" vertical="center" wrapText="1"/>
    </xf>
    <xf numFmtId="3" fontId="9" fillId="0" borderId="41" xfId="137" applyNumberFormat="1" applyFont="1" applyBorder="1" applyAlignment="1">
      <alignment vertical="center"/>
    </xf>
    <xf numFmtId="3" fontId="11" fillId="0" borderId="64" xfId="0" applyNumberFormat="1" applyFont="1" applyBorder="1" applyAlignment="1">
      <alignment horizontal="center" vertical="center"/>
    </xf>
    <xf numFmtId="49" fontId="9" fillId="0" borderId="65" xfId="161" applyNumberFormat="1" applyFont="1" applyBorder="1" applyAlignment="1">
      <alignment horizontal="left" vertical="center" wrapText="1"/>
    </xf>
    <xf numFmtId="3" fontId="12" fillId="0" borderId="66" xfId="0" applyNumberFormat="1" applyFont="1" applyBorder="1" applyAlignment="1">
      <alignment vertical="center"/>
    </xf>
    <xf numFmtId="3" fontId="12" fillId="0" borderId="64" xfId="0" applyNumberFormat="1" applyFont="1" applyBorder="1" applyAlignment="1">
      <alignment vertical="center"/>
    </xf>
    <xf numFmtId="3" fontId="12" fillId="0" borderId="64" xfId="0" applyNumberFormat="1" applyFont="1" applyBorder="1" applyAlignment="1">
      <alignment horizontal="right" vertical="center"/>
    </xf>
    <xf numFmtId="3" fontId="12" fillId="0" borderId="66" xfId="0" applyNumberFormat="1" applyFont="1" applyBorder="1" applyAlignment="1">
      <alignment horizontal="right" vertical="center"/>
    </xf>
    <xf numFmtId="49" fontId="10" fillId="0" borderId="65" xfId="161" applyNumberFormat="1" applyFont="1" applyBorder="1" applyAlignment="1">
      <alignment horizontal="center" vertical="center" wrapText="1"/>
    </xf>
    <xf numFmtId="3" fontId="12" fillId="0" borderId="67" xfId="0" applyNumberFormat="1" applyFont="1" applyBorder="1" applyAlignment="1">
      <alignment horizontal="center" vertical="center"/>
    </xf>
    <xf numFmtId="3" fontId="12" fillId="0" borderId="41" xfId="0" applyNumberFormat="1" applyFont="1" applyFill="1" applyBorder="1" applyAlignment="1">
      <alignment vertical="center" wrapText="1"/>
    </xf>
    <xf numFmtId="3" fontId="12" fillId="0" borderId="64" xfId="0" applyNumberFormat="1" applyFont="1" applyFill="1" applyBorder="1" applyAlignment="1">
      <alignment vertical="center"/>
    </xf>
    <xf numFmtId="3" fontId="12" fillId="0" borderId="47" xfId="0" applyNumberFormat="1" applyFont="1" applyFill="1" applyBorder="1" applyAlignment="1">
      <alignment vertical="center"/>
    </xf>
    <xf numFmtId="165" fontId="82" fillId="0" borderId="0" xfId="135" applyNumberFormat="1" applyFont="1"/>
    <xf numFmtId="0" fontId="0" fillId="0" borderId="42" xfId="0" applyBorder="1" applyAlignment="1">
      <alignment vertical="center"/>
    </xf>
    <xf numFmtId="3" fontId="7" fillId="0" borderId="47" xfId="0" applyNumberFormat="1" applyFont="1" applyBorder="1" applyAlignment="1">
      <alignment vertical="center"/>
    </xf>
    <xf numFmtId="0" fontId="12" fillId="0" borderId="41" xfId="0" applyFont="1" applyBorder="1" applyAlignment="1">
      <alignment horizontal="left" vertical="center" wrapText="1"/>
    </xf>
    <xf numFmtId="3" fontId="13" fillId="0" borderId="41" xfId="0" applyNumberFormat="1" applyFont="1" applyBorder="1" applyAlignment="1">
      <alignment vertical="center"/>
    </xf>
    <xf numFmtId="0" fontId="9" fillId="0" borderId="69" xfId="169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9" fillId="0" borderId="70" xfId="0" applyFont="1" applyBorder="1" applyAlignment="1">
      <alignment horizontal="left" vertical="center" wrapText="1"/>
    </xf>
    <xf numFmtId="0" fontId="9" fillId="0" borderId="41" xfId="0" applyFont="1" applyBorder="1" applyAlignment="1">
      <alignment wrapText="1"/>
    </xf>
    <xf numFmtId="3" fontId="9" fillId="0" borderId="71" xfId="0" applyNumberFormat="1" applyFont="1" applyBorder="1" applyAlignment="1">
      <alignment vertical="center" wrapText="1"/>
    </xf>
    <xf numFmtId="3" fontId="98" fillId="0" borderId="47" xfId="0" applyNumberFormat="1" applyFont="1" applyBorder="1" applyAlignment="1">
      <alignment vertical="center"/>
    </xf>
    <xf numFmtId="0" fontId="9" fillId="0" borderId="69" xfId="0" applyFont="1" applyBorder="1" applyAlignment="1">
      <alignment vertical="top" wrapText="1"/>
    </xf>
    <xf numFmtId="0" fontId="9" fillId="0" borderId="69" xfId="170" applyFont="1" applyBorder="1" applyAlignment="1">
      <alignment vertical="center"/>
    </xf>
    <xf numFmtId="0" fontId="10" fillId="0" borderId="72" xfId="131" applyFont="1" applyBorder="1" applyAlignment="1">
      <alignment horizontal="center" vertical="top" wrapText="1"/>
    </xf>
    <xf numFmtId="3" fontId="100" fillId="0" borderId="47" xfId="0" applyNumberFormat="1" applyFont="1" applyBorder="1" applyAlignment="1">
      <alignment vertical="center"/>
    </xf>
    <xf numFmtId="0" fontId="9" fillId="0" borderId="70" xfId="0" applyFont="1" applyBorder="1" applyAlignment="1">
      <alignment vertical="center" wrapText="1"/>
    </xf>
    <xf numFmtId="0" fontId="9" fillId="0" borderId="69" xfId="172" applyFont="1" applyBorder="1" applyAlignment="1">
      <alignment vertical="center" wrapText="1"/>
    </xf>
    <xf numFmtId="49" fontId="9" fillId="0" borderId="69" xfId="0" applyNumberFormat="1" applyFont="1" applyBorder="1" applyAlignment="1">
      <alignment horizontal="left" vertical="center" wrapText="1"/>
    </xf>
    <xf numFmtId="3" fontId="10" fillId="0" borderId="0" xfId="0" applyNumberFormat="1" applyFont="1" applyBorder="1" applyAlignment="1">
      <alignment horizontal="center" vertical="center"/>
    </xf>
    <xf numFmtId="3" fontId="10" fillId="0" borderId="69" xfId="0" applyNumberFormat="1" applyFont="1" applyBorder="1" applyAlignment="1">
      <alignment horizontal="center" vertical="center"/>
    </xf>
    <xf numFmtId="0" fontId="93" fillId="0" borderId="42" xfId="165" applyFont="1" applyBorder="1" applyAlignment="1">
      <alignment horizontal="center" vertical="center"/>
    </xf>
    <xf numFmtId="0" fontId="93" fillId="48" borderId="42" xfId="165" applyFont="1" applyFill="1" applyBorder="1" applyAlignment="1">
      <alignment horizontal="center" vertical="top" wrapText="1"/>
    </xf>
    <xf numFmtId="0" fontId="12" fillId="0" borderId="42" xfId="165" applyFont="1" applyBorder="1" applyAlignment="1">
      <alignment horizontal="center" vertical="center" wrapText="1"/>
    </xf>
    <xf numFmtId="0" fontId="12" fillId="48" borderId="42" xfId="165" applyFont="1" applyFill="1" applyBorder="1" applyAlignment="1">
      <alignment horizontal="center" vertical="center" wrapText="1"/>
    </xf>
    <xf numFmtId="0" fontId="93" fillId="48" borderId="42" xfId="165" applyFont="1" applyFill="1" applyBorder="1" applyAlignment="1">
      <alignment horizontal="center" vertical="center" wrapText="1"/>
    </xf>
    <xf numFmtId="0" fontId="12" fillId="48" borderId="42" xfId="165" applyFont="1" applyFill="1" applyBorder="1" applyAlignment="1">
      <alignment horizontal="center" vertical="top" wrapText="1"/>
    </xf>
    <xf numFmtId="0" fontId="92" fillId="48" borderId="42" xfId="165" applyFont="1" applyFill="1" applyBorder="1" applyAlignment="1">
      <alignment horizontal="center" vertical="top" wrapText="1"/>
    </xf>
    <xf numFmtId="3" fontId="92" fillId="0" borderId="69" xfId="0" applyNumberFormat="1" applyFont="1" applyBorder="1" applyAlignment="1">
      <alignment horizontal="center" vertical="center"/>
    </xf>
    <xf numFmtId="3" fontId="13" fillId="0" borderId="69" xfId="0" applyNumberFormat="1" applyFont="1" applyBorder="1" applyAlignment="1">
      <alignment horizontal="center" vertical="center"/>
    </xf>
    <xf numFmtId="3" fontId="12" fillId="0" borderId="69" xfId="0" applyNumberFormat="1" applyFont="1" applyBorder="1" applyAlignment="1">
      <alignment horizontal="center" vertical="center"/>
    </xf>
    <xf numFmtId="3" fontId="13" fillId="0" borderId="42" xfId="0" applyNumberFormat="1" applyFont="1" applyBorder="1" applyAlignment="1">
      <alignment horizontal="center" vertical="center"/>
    </xf>
    <xf numFmtId="0" fontId="99" fillId="0" borderId="42" xfId="0" applyFont="1" applyFill="1" applyBorder="1" applyAlignment="1">
      <alignment vertical="center" wrapText="1"/>
    </xf>
    <xf numFmtId="0" fontId="0" fillId="0" borderId="42" xfId="0" applyFill="1" applyBorder="1" applyAlignment="1">
      <alignment vertical="center"/>
    </xf>
    <xf numFmtId="0" fontId="9" fillId="0" borderId="42" xfId="176" applyFont="1" applyFill="1" applyBorder="1" applyAlignment="1">
      <alignment vertical="center"/>
    </xf>
    <xf numFmtId="3" fontId="9" fillId="0" borderId="42" xfId="161" applyNumberFormat="1" applyFont="1" applyBorder="1" applyAlignment="1">
      <alignment horizontal="left" vertical="center" wrapText="1"/>
    </xf>
    <xf numFmtId="3" fontId="9" fillId="0" borderId="42" xfId="162" applyNumberFormat="1" applyFont="1" applyBorder="1" applyAlignment="1">
      <alignment vertical="center" wrapText="1"/>
    </xf>
    <xf numFmtId="3" fontId="9" fillId="48" borderId="42" xfId="131" applyNumberFormat="1" applyFont="1" applyFill="1" applyBorder="1" applyAlignment="1">
      <alignment vertical="top" wrapText="1"/>
    </xf>
    <xf numFmtId="3" fontId="9" fillId="0" borderId="42" xfId="163" applyNumberFormat="1" applyFont="1" applyBorder="1" applyAlignment="1">
      <alignment vertical="top" wrapText="1"/>
    </xf>
    <xf numFmtId="3" fontId="9" fillId="0" borderId="42" xfId="130" applyNumberFormat="1" applyFont="1" applyBorder="1" applyAlignment="1">
      <alignment vertical="top" wrapText="1"/>
    </xf>
    <xf numFmtId="3" fontId="19" fillId="0" borderId="42" xfId="0" applyNumberFormat="1" applyFont="1" applyBorder="1" applyAlignment="1">
      <alignment horizontal="left" vertical="center" wrapText="1"/>
    </xf>
    <xf numFmtId="0" fontId="19" fillId="0" borderId="42" xfId="129" applyFont="1" applyBorder="1" applyAlignment="1">
      <alignment vertical="center" wrapText="1"/>
    </xf>
    <xf numFmtId="3" fontId="12" fillId="0" borderId="0" xfId="0" applyNumberFormat="1" applyFont="1" applyAlignment="1">
      <alignment vertical="center"/>
    </xf>
    <xf numFmtId="3" fontId="101" fillId="0" borderId="41" xfId="137" applyNumberFormat="1" applyFont="1" applyFill="1" applyBorder="1" applyAlignment="1">
      <alignment horizontal="center" vertical="center"/>
    </xf>
    <xf numFmtId="0" fontId="58" fillId="46" borderId="13" xfId="0" applyFont="1" applyFill="1" applyBorder="1" applyAlignment="1">
      <alignment horizontal="center" vertical="center" wrapText="1"/>
    </xf>
    <xf numFmtId="0" fontId="6" fillId="0" borderId="0" xfId="158" applyAlignment="1">
      <alignment horizontal="center"/>
    </xf>
    <xf numFmtId="0" fontId="3" fillId="46" borderId="33" xfId="0" applyFont="1" applyFill="1" applyBorder="1" applyAlignment="1">
      <alignment horizontal="center" vertical="center" wrapText="1"/>
    </xf>
    <xf numFmtId="3" fontId="11" fillId="46" borderId="13" xfId="140" applyNumberFormat="1" applyFont="1" applyFill="1" applyBorder="1" applyAlignment="1">
      <alignment horizontal="center" vertical="center" wrapText="1"/>
    </xf>
    <xf numFmtId="0" fontId="11" fillId="46" borderId="13" xfId="128" applyFont="1" applyFill="1" applyBorder="1" applyAlignment="1">
      <alignment horizontal="center" vertical="center"/>
    </xf>
    <xf numFmtId="3" fontId="11" fillId="46" borderId="74" xfId="140" applyNumberFormat="1" applyFont="1" applyFill="1" applyBorder="1" applyAlignment="1">
      <alignment horizontal="center" vertical="center" wrapText="1"/>
    </xf>
    <xf numFmtId="0" fontId="101" fillId="0" borderId="33" xfId="84" applyNumberFormat="1" applyFont="1" applyBorder="1" applyAlignment="1">
      <alignment horizontal="center" vertical="center"/>
    </xf>
    <xf numFmtId="3" fontId="18" fillId="0" borderId="41" xfId="132" applyNumberFormat="1" applyFont="1" applyFill="1" applyBorder="1" applyAlignment="1">
      <alignment horizontal="right" vertical="center" wrapText="1"/>
    </xf>
    <xf numFmtId="3" fontId="12" fillId="0" borderId="41" xfId="133" applyNumberFormat="1" applyFont="1" applyFill="1" applyBorder="1" applyAlignment="1">
      <alignment horizontal="right" vertical="center" wrapText="1"/>
    </xf>
    <xf numFmtId="3" fontId="12" fillId="0" borderId="41" xfId="133" applyNumberFormat="1" applyFont="1" applyFill="1" applyBorder="1" applyAlignment="1">
      <alignment horizontal="right" vertical="center"/>
    </xf>
    <xf numFmtId="3" fontId="12" fillId="0" borderId="41" xfId="139" applyNumberFormat="1" applyFont="1" applyFill="1" applyBorder="1" applyAlignment="1">
      <alignment horizontal="right" vertical="center"/>
    </xf>
    <xf numFmtId="3" fontId="10" fillId="46" borderId="41" xfId="128" applyNumberFormat="1" applyFont="1" applyFill="1" applyBorder="1" applyAlignment="1">
      <alignment vertical="center" wrapText="1"/>
    </xf>
    <xf numFmtId="3" fontId="11" fillId="46" borderId="41" xfId="128" applyNumberFormat="1" applyFont="1" applyFill="1" applyBorder="1" applyAlignment="1">
      <alignment vertical="center" wrapText="1"/>
    </xf>
    <xf numFmtId="3" fontId="12" fillId="0" borderId="41" xfId="132" applyNumberFormat="1" applyFont="1" applyFill="1" applyBorder="1" applyAlignment="1">
      <alignment horizontal="right" vertical="center" wrapText="1"/>
    </xf>
    <xf numFmtId="3" fontId="11" fillId="46" borderId="41" xfId="128" applyNumberFormat="1" applyFont="1" applyFill="1" applyBorder="1" applyAlignment="1">
      <alignment horizontal="right" vertical="center" wrapText="1"/>
    </xf>
    <xf numFmtId="3" fontId="9" fillId="0" borderId="33" xfId="137" applyNumberFormat="1" applyFont="1" applyBorder="1" applyAlignment="1">
      <alignment vertical="center"/>
    </xf>
    <xf numFmtId="0" fontId="9" fillId="0" borderId="33" xfId="137" applyFont="1" applyFill="1" applyBorder="1" applyAlignment="1">
      <alignment horizontal="center" vertical="center"/>
    </xf>
    <xf numFmtId="3" fontId="101" fillId="0" borderId="34" xfId="0" applyNumberFormat="1" applyFont="1" applyFill="1" applyBorder="1" applyAlignment="1">
      <alignment vertical="center" wrapText="1"/>
    </xf>
    <xf numFmtId="3" fontId="102" fillId="0" borderId="33" xfId="0" applyNumberFormat="1" applyFont="1" applyFill="1" applyBorder="1" applyAlignment="1">
      <alignment horizontal="center" vertical="center" wrapText="1"/>
    </xf>
    <xf numFmtId="3" fontId="101" fillId="0" borderId="33" xfId="137" applyNumberFormat="1" applyFont="1" applyFill="1" applyBorder="1" applyAlignment="1">
      <alignment vertical="center"/>
    </xf>
    <xf numFmtId="0" fontId="6" fillId="0" borderId="0" xfId="158" applyFill="1" applyAlignment="1">
      <alignment vertical="center"/>
    </xf>
    <xf numFmtId="3" fontId="101" fillId="0" borderId="33" xfId="129" applyNumberFormat="1" applyFont="1" applyBorder="1" applyAlignment="1">
      <alignment horizontal="center" vertical="center" wrapText="1"/>
    </xf>
    <xf numFmtId="3" fontId="101" fillId="0" borderId="33" xfId="129" applyNumberFormat="1" applyFont="1" applyBorder="1" applyAlignment="1">
      <alignment horizontal="center" vertical="top" wrapText="1"/>
    </xf>
    <xf numFmtId="3" fontId="101" fillId="0" borderId="41" xfId="129" applyNumberFormat="1" applyFont="1" applyBorder="1" applyAlignment="1">
      <alignment horizontal="center" vertical="center" wrapText="1"/>
    </xf>
    <xf numFmtId="3" fontId="12" fillId="0" borderId="33" xfId="0" applyNumberFormat="1" applyFont="1" applyFill="1" applyBorder="1" applyAlignment="1">
      <alignment horizontal="center" vertical="center"/>
    </xf>
    <xf numFmtId="3" fontId="12" fillId="0" borderId="34" xfId="0" applyNumberFormat="1" applyFont="1" applyFill="1" applyBorder="1" applyAlignment="1">
      <alignment horizontal="center" vertical="center"/>
    </xf>
    <xf numFmtId="3" fontId="12" fillId="0" borderId="34" xfId="0" applyNumberFormat="1" applyFont="1" applyFill="1" applyBorder="1" applyAlignment="1">
      <alignment vertical="center"/>
    </xf>
    <xf numFmtId="0" fontId="99" fillId="0" borderId="42" xfId="0" applyFont="1" applyBorder="1" applyAlignment="1">
      <alignment wrapText="1"/>
    </xf>
    <xf numFmtId="0" fontId="99" fillId="0" borderId="25" xfId="0" applyFont="1" applyBorder="1" applyAlignment="1">
      <alignment wrapText="1"/>
    </xf>
    <xf numFmtId="49" fontId="40" fillId="0" borderId="42" xfId="171" applyNumberFormat="1" applyFont="1" applyBorder="1" applyAlignment="1">
      <alignment horizontal="left" vertical="center" wrapText="1"/>
    </xf>
    <xf numFmtId="49" fontId="9" fillId="0" borderId="69" xfId="0" applyNumberFormat="1" applyFont="1" applyBorder="1" applyAlignment="1">
      <alignment horizontal="left" wrapText="1"/>
    </xf>
    <xf numFmtId="49" fontId="9" fillId="0" borderId="75" xfId="173" applyNumberFormat="1" applyFont="1" applyBorder="1" applyAlignment="1">
      <alignment horizontal="left" vertical="center" wrapText="1"/>
    </xf>
    <xf numFmtId="3" fontId="12" fillId="0" borderId="41" xfId="0" applyNumberFormat="1" applyFont="1" applyFill="1" applyBorder="1" applyAlignment="1">
      <alignment horizontal="center" vertical="center"/>
    </xf>
    <xf numFmtId="3" fontId="12" fillId="0" borderId="42" xfId="0" applyNumberFormat="1" applyFont="1" applyFill="1" applyBorder="1" applyAlignment="1">
      <alignment horizontal="center" vertical="center"/>
    </xf>
    <xf numFmtId="3" fontId="92" fillId="0" borderId="69" xfId="0" applyNumberFormat="1" applyFont="1" applyFill="1" applyBorder="1" applyAlignment="1">
      <alignment horizontal="center" vertical="center"/>
    </xf>
    <xf numFmtId="3" fontId="10" fillId="0" borderId="76" xfId="0" applyNumberFormat="1" applyFont="1" applyFill="1" applyBorder="1" applyAlignment="1">
      <alignment vertical="center" wrapText="1"/>
    </xf>
    <xf numFmtId="3" fontId="9" fillId="0" borderId="76" xfId="0" applyNumberFormat="1" applyFont="1" applyFill="1" applyBorder="1" applyAlignment="1">
      <alignment vertical="center" wrapText="1"/>
    </xf>
    <xf numFmtId="3" fontId="10" fillId="46" borderId="76" xfId="0" applyNumberFormat="1" applyFont="1" applyFill="1" applyBorder="1" applyAlignment="1">
      <alignment vertical="center" wrapText="1"/>
    </xf>
    <xf numFmtId="0" fontId="12" fillId="0" borderId="76" xfId="0" applyFont="1" applyFill="1" applyBorder="1"/>
    <xf numFmtId="3" fontId="9" fillId="0" borderId="38" xfId="0" applyNumberFormat="1" applyFont="1" applyFill="1" applyBorder="1" applyAlignment="1">
      <alignment vertical="center" wrapText="1"/>
    </xf>
    <xf numFmtId="3" fontId="10" fillId="50" borderId="13" xfId="0" applyNumberFormat="1" applyFont="1" applyFill="1" applyBorder="1" applyAlignment="1">
      <alignment vertical="center" wrapText="1"/>
    </xf>
    <xf numFmtId="3" fontId="11" fillId="50" borderId="13" xfId="0" applyNumberFormat="1" applyFont="1" applyFill="1" applyBorder="1" applyAlignment="1">
      <alignment vertical="center"/>
    </xf>
    <xf numFmtId="3" fontId="11" fillId="0" borderId="13" xfId="0" applyNumberFormat="1" applyFont="1" applyFill="1" applyBorder="1" applyAlignment="1">
      <alignment vertical="center"/>
    </xf>
    <xf numFmtId="3" fontId="9" fillId="0" borderId="76" xfId="140" applyNumberFormat="1" applyFont="1" applyFill="1" applyBorder="1" applyAlignment="1">
      <alignment horizontal="right" vertical="center" wrapText="1"/>
    </xf>
    <xf numFmtId="3" fontId="9" fillId="0" borderId="76" xfId="140" applyNumberFormat="1" applyFont="1" applyBorder="1" applyAlignment="1">
      <alignment horizontal="right" vertical="center" wrapText="1"/>
    </xf>
    <xf numFmtId="3" fontId="9" fillId="0" borderId="76" xfId="140" applyNumberFormat="1" applyFont="1" applyBorder="1" applyAlignment="1">
      <alignment horizontal="right" vertical="center"/>
    </xf>
    <xf numFmtId="3" fontId="10" fillId="0" borderId="76" xfId="140" applyNumberFormat="1" applyFont="1" applyFill="1" applyBorder="1" applyAlignment="1">
      <alignment horizontal="right" vertical="center" wrapText="1"/>
    </xf>
    <xf numFmtId="3" fontId="10" fillId="0" borderId="76" xfId="140" applyNumberFormat="1" applyFont="1" applyBorder="1" applyAlignment="1">
      <alignment horizontal="right" vertical="center" wrapText="1"/>
    </xf>
    <xf numFmtId="3" fontId="10" fillId="46" borderId="76" xfId="140" applyNumberFormat="1" applyFont="1" applyFill="1" applyBorder="1" applyAlignment="1">
      <alignment horizontal="right" vertical="center" wrapText="1"/>
    </xf>
    <xf numFmtId="3" fontId="101" fillId="0" borderId="76" xfId="137" applyNumberFormat="1" applyFont="1" applyBorder="1" applyAlignment="1">
      <alignment vertical="center"/>
    </xf>
    <xf numFmtId="0" fontId="9" fillId="0" borderId="76" xfId="137" applyFont="1" applyBorder="1" applyAlignment="1">
      <alignment horizontal="center" vertical="center"/>
    </xf>
    <xf numFmtId="3" fontId="9" fillId="0" borderId="77" xfId="0" applyNumberFormat="1" applyFont="1" applyBorder="1" applyAlignment="1">
      <alignment vertical="center" wrapText="1"/>
    </xf>
    <xf numFmtId="3" fontId="9" fillId="0" borderId="76" xfId="0" applyNumberFormat="1" applyFont="1" applyBorder="1" applyAlignment="1">
      <alignment horizontal="center" vertical="center" wrapText="1"/>
    </xf>
    <xf numFmtId="0" fontId="10" fillId="0" borderId="76" xfId="137" applyFont="1" applyBorder="1" applyAlignment="1">
      <alignment horizontal="center" vertical="center"/>
    </xf>
    <xf numFmtId="3" fontId="9" fillId="0" borderId="76" xfId="137" applyNumberFormat="1" applyFont="1" applyBorder="1" applyAlignment="1">
      <alignment vertical="center"/>
    </xf>
    <xf numFmtId="3" fontId="101" fillId="0" borderId="77" xfId="0" applyNumberFormat="1" applyFont="1" applyBorder="1" applyAlignment="1">
      <alignment horizontal="left" vertical="center" wrapText="1"/>
    </xf>
    <xf numFmtId="0" fontId="108" fillId="0" borderId="76" xfId="137" applyFont="1" applyBorder="1" applyAlignment="1">
      <alignment horizontal="center" vertical="center"/>
    </xf>
    <xf numFmtId="3" fontId="12" fillId="0" borderId="76" xfId="0" applyNumberFormat="1" applyFont="1" applyBorder="1" applyAlignment="1">
      <alignment horizontal="center" vertical="center"/>
    </xf>
    <xf numFmtId="3" fontId="12" fillId="0" borderId="77" xfId="0" applyNumberFormat="1" applyFont="1" applyBorder="1" applyAlignment="1">
      <alignment horizontal="center" vertical="center"/>
    </xf>
    <xf numFmtId="3" fontId="12" fillId="0" borderId="77" xfId="0" applyNumberFormat="1" applyFont="1" applyBorder="1" applyAlignment="1">
      <alignment vertical="center" wrapText="1"/>
    </xf>
    <xf numFmtId="0" fontId="9" fillId="0" borderId="78" xfId="0" applyFont="1" applyBorder="1" applyAlignment="1">
      <alignment vertical="center"/>
    </xf>
    <xf numFmtId="3" fontId="12" fillId="0" borderId="76" xfId="0" applyNumberFormat="1" applyFont="1" applyBorder="1" applyAlignment="1">
      <alignment vertical="center"/>
    </xf>
    <xf numFmtId="3" fontId="12" fillId="0" borderId="76" xfId="140" applyNumberFormat="1" applyFont="1" applyBorder="1" applyAlignment="1">
      <alignment horizontal="right" vertical="center"/>
    </xf>
    <xf numFmtId="0" fontId="9" fillId="0" borderId="76" xfId="0" applyFont="1" applyBorder="1" applyAlignment="1">
      <alignment vertical="center"/>
    </xf>
    <xf numFmtId="3" fontId="11" fillId="0" borderId="76" xfId="0" applyNumberFormat="1" applyFont="1" applyBorder="1" applyAlignment="1">
      <alignment horizontal="center" vertical="center"/>
    </xf>
    <xf numFmtId="3" fontId="9" fillId="0" borderId="77" xfId="0" applyNumberFormat="1" applyFont="1" applyBorder="1" applyAlignment="1">
      <alignment horizontal="center" vertical="center"/>
    </xf>
    <xf numFmtId="0" fontId="9" fillId="0" borderId="77" xfId="0" applyFont="1" applyBorder="1" applyAlignment="1">
      <alignment horizontal="left" vertical="center" wrapText="1"/>
    </xf>
    <xf numFmtId="3" fontId="12" fillId="0" borderId="78" xfId="0" applyNumberFormat="1" applyFont="1" applyBorder="1" applyAlignment="1">
      <alignment vertical="center"/>
    </xf>
    <xf numFmtId="3" fontId="12" fillId="0" borderId="76" xfId="0" applyNumberFormat="1" applyFont="1" applyBorder="1" applyAlignment="1">
      <alignment horizontal="right" vertical="center"/>
    </xf>
    <xf numFmtId="3" fontId="12" fillId="0" borderId="78" xfId="0" applyNumberFormat="1" applyFont="1" applyBorder="1" applyAlignment="1">
      <alignment horizontal="right" vertical="center"/>
    </xf>
    <xf numFmtId="49" fontId="97" fillId="0" borderId="77" xfId="171" applyNumberFormat="1" applyFont="1" applyBorder="1" applyAlignment="1">
      <alignment horizontal="left" vertical="center" wrapText="1"/>
    </xf>
    <xf numFmtId="3" fontId="7" fillId="0" borderId="78" xfId="0" applyNumberFormat="1" applyFont="1" applyBorder="1" applyAlignment="1">
      <alignment vertical="center"/>
    </xf>
    <xf numFmtId="49" fontId="9" fillId="0" borderId="77" xfId="161" applyNumberFormat="1" applyFont="1" applyBorder="1" applyAlignment="1">
      <alignment horizontal="left" vertical="center" wrapText="1"/>
    </xf>
    <xf numFmtId="3" fontId="12" fillId="0" borderId="79" xfId="0" applyNumberFormat="1" applyFont="1" applyBorder="1" applyAlignment="1">
      <alignment vertical="center"/>
    </xf>
    <xf numFmtId="0" fontId="9" fillId="0" borderId="76" xfId="0" applyFont="1" applyFill="1" applyBorder="1" applyAlignment="1">
      <alignment vertical="center" wrapText="1"/>
    </xf>
    <xf numFmtId="49" fontId="9" fillId="0" borderId="75" xfId="173" applyNumberFormat="1" applyFont="1" applyBorder="1" applyAlignment="1">
      <alignment horizontal="left" vertical="top" wrapText="1"/>
    </xf>
    <xf numFmtId="3" fontId="11" fillId="52" borderId="64" xfId="0" applyNumberFormat="1" applyFont="1" applyFill="1" applyBorder="1" applyAlignment="1">
      <alignment horizontal="center" vertical="center"/>
    </xf>
    <xf numFmtId="3" fontId="11" fillId="52" borderId="65" xfId="0" applyNumberFormat="1" applyFont="1" applyFill="1" applyBorder="1" applyAlignment="1">
      <alignment horizontal="center" vertical="center"/>
    </xf>
    <xf numFmtId="3" fontId="12" fillId="52" borderId="64" xfId="0" applyNumberFormat="1" applyFont="1" applyFill="1" applyBorder="1" applyAlignment="1">
      <alignment horizontal="right" vertical="center"/>
    </xf>
    <xf numFmtId="3" fontId="12" fillId="0" borderId="64" xfId="140" applyNumberFormat="1" applyFont="1" applyBorder="1" applyAlignment="1">
      <alignment horizontal="right" vertical="center"/>
    </xf>
    <xf numFmtId="3" fontId="12" fillId="52" borderId="64" xfId="0" applyNumberFormat="1" applyFont="1" applyFill="1" applyBorder="1" applyAlignment="1">
      <alignment vertical="center"/>
    </xf>
    <xf numFmtId="3" fontId="9" fillId="0" borderId="65" xfId="0" applyNumberFormat="1" applyFont="1" applyFill="1" applyBorder="1" applyAlignment="1">
      <alignment vertical="center" wrapText="1"/>
    </xf>
    <xf numFmtId="3" fontId="12" fillId="0" borderId="64" xfId="0" applyNumberFormat="1" applyFont="1" applyFill="1" applyBorder="1" applyAlignment="1">
      <alignment horizontal="right" vertical="center"/>
    </xf>
    <xf numFmtId="0" fontId="9" fillId="0" borderId="64" xfId="138" applyFont="1" applyBorder="1" applyAlignment="1">
      <alignment horizontal="center" vertical="center" wrapText="1"/>
    </xf>
    <xf numFmtId="0" fontId="9" fillId="0" borderId="64" xfId="133" applyFont="1" applyBorder="1" applyAlignment="1">
      <alignment vertical="center"/>
    </xf>
    <xf numFmtId="165" fontId="9" fillId="0" borderId="64" xfId="134" applyNumberFormat="1" applyFont="1" applyBorder="1"/>
    <xf numFmtId="165" fontId="9" fillId="0" borderId="64" xfId="138" applyNumberFormat="1" applyFont="1" applyBorder="1"/>
    <xf numFmtId="0" fontId="111" fillId="0" borderId="0" xfId="135" applyFont="1"/>
    <xf numFmtId="0" fontId="111" fillId="49" borderId="0" xfId="135" applyFont="1" applyFill="1"/>
    <xf numFmtId="0" fontId="9" fillId="0" borderId="64" xfId="136" applyFont="1" applyBorder="1" applyAlignment="1">
      <alignment horizontal="left" vertical="center" wrapText="1"/>
    </xf>
    <xf numFmtId="165" fontId="9" fillId="0" borderId="64" xfId="138" applyNumberFormat="1" applyFont="1" applyBorder="1" applyAlignment="1">
      <alignment vertical="center"/>
    </xf>
    <xf numFmtId="0" fontId="79" fillId="0" borderId="0" xfId="135" applyFont="1"/>
    <xf numFmtId="0" fontId="9" fillId="0" borderId="64" xfId="138" applyFont="1" applyBorder="1" applyAlignment="1">
      <alignment vertical="center"/>
    </xf>
    <xf numFmtId="166" fontId="9" fillId="0" borderId="64" xfId="138" applyNumberFormat="1" applyFont="1" applyBorder="1" applyAlignment="1">
      <alignment vertical="center"/>
    </xf>
    <xf numFmtId="0" fontId="80" fillId="0" borderId="0" xfId="135" applyFont="1"/>
    <xf numFmtId="0" fontId="9" fillId="0" borderId="64" xfId="133" applyFont="1" applyBorder="1" applyAlignment="1">
      <alignment vertical="center" wrapText="1"/>
    </xf>
    <xf numFmtId="0" fontId="9" fillId="0" borderId="64" xfId="138" applyFont="1" applyBorder="1"/>
    <xf numFmtId="0" fontId="9" fillId="0" borderId="64" xfId="138" applyFont="1" applyBorder="1" applyAlignment="1">
      <alignment vertical="center" wrapText="1"/>
    </xf>
    <xf numFmtId="166" fontId="9" fillId="0" borderId="64" xfId="138" applyNumberFormat="1" applyFont="1" applyBorder="1"/>
    <xf numFmtId="2" fontId="9" fillId="0" borderId="64" xfId="138" applyNumberFormat="1" applyFont="1" applyBorder="1"/>
    <xf numFmtId="0" fontId="19" fillId="46" borderId="64" xfId="133" applyFont="1" applyFill="1" applyBorder="1" applyAlignment="1">
      <alignment horizontal="center" vertical="center"/>
    </xf>
    <xf numFmtId="0" fontId="10" fillId="46" borderId="64" xfId="133" applyFont="1" applyFill="1" applyBorder="1" applyAlignment="1">
      <alignment vertical="center"/>
    </xf>
    <xf numFmtId="165" fontId="10" fillId="46" borderId="64" xfId="138" applyNumberFormat="1" applyFont="1" applyFill="1" applyBorder="1"/>
    <xf numFmtId="0" fontId="19" fillId="46" borderId="64" xfId="134" applyFont="1" applyFill="1" applyBorder="1"/>
    <xf numFmtId="165" fontId="10" fillId="46" borderId="64" xfId="134" applyNumberFormat="1" applyFont="1" applyFill="1" applyBorder="1"/>
    <xf numFmtId="3" fontId="12" fillId="0" borderId="76" xfId="140" applyNumberFormat="1" applyFont="1" applyFill="1" applyBorder="1" applyAlignment="1">
      <alignment horizontal="right" vertical="center"/>
    </xf>
    <xf numFmtId="0" fontId="12" fillId="0" borderId="76" xfId="0" applyFont="1" applyBorder="1" applyAlignment="1">
      <alignment vertical="center"/>
    </xf>
    <xf numFmtId="3" fontId="9" fillId="0" borderId="76" xfId="0" applyNumberFormat="1" applyFont="1" applyBorder="1" applyAlignment="1">
      <alignment vertical="center"/>
    </xf>
    <xf numFmtId="0" fontId="9" fillId="0" borderId="64" xfId="134" applyFont="1" applyBorder="1"/>
    <xf numFmtId="3" fontId="7" fillId="0" borderId="76" xfId="0" applyNumberFormat="1" applyFont="1" applyBorder="1" applyAlignment="1">
      <alignment vertical="center"/>
    </xf>
    <xf numFmtId="3" fontId="7" fillId="50" borderId="76" xfId="0" applyNumberFormat="1" applyFont="1" applyFill="1" applyBorder="1" applyAlignment="1">
      <alignment vertical="center"/>
    </xf>
    <xf numFmtId="3" fontId="9" fillId="0" borderId="76" xfId="0" applyNumberFormat="1" applyFont="1" applyFill="1" applyBorder="1" applyAlignment="1">
      <alignment horizontal="right" vertical="center" wrapText="1"/>
    </xf>
    <xf numFmtId="3" fontId="9" fillId="0" borderId="38" xfId="0" applyNumberFormat="1" applyFont="1" applyBorder="1" applyAlignment="1">
      <alignment horizontal="right" vertical="center" wrapText="1"/>
    </xf>
    <xf numFmtId="3" fontId="9" fillId="0" borderId="38" xfId="0" applyNumberFormat="1" applyFont="1" applyBorder="1" applyAlignment="1">
      <alignment vertical="center" wrapText="1"/>
    </xf>
    <xf numFmtId="3" fontId="10" fillId="46" borderId="76" xfId="0" applyNumberFormat="1" applyFont="1" applyFill="1" applyBorder="1" applyAlignment="1">
      <alignment horizontal="center" vertical="center" wrapText="1"/>
    </xf>
    <xf numFmtId="3" fontId="11" fillId="50" borderId="79" xfId="0" applyNumberFormat="1" applyFont="1" applyFill="1" applyBorder="1" applyAlignment="1">
      <alignment vertical="center"/>
    </xf>
    <xf numFmtId="3" fontId="12" fillId="0" borderId="19" xfId="0" applyNumberFormat="1" applyFont="1" applyBorder="1" applyAlignment="1">
      <alignment vertical="center" wrapText="1"/>
    </xf>
    <xf numFmtId="3" fontId="11" fillId="46" borderId="77" xfId="0" applyNumberFormat="1" applyFont="1" applyFill="1" applyBorder="1" applyAlignment="1">
      <alignment vertical="center" wrapText="1"/>
    </xf>
    <xf numFmtId="3" fontId="11" fillId="46" borderId="79" xfId="0" applyNumberFormat="1" applyFont="1" applyFill="1" applyBorder="1" applyAlignment="1">
      <alignment vertical="center"/>
    </xf>
    <xf numFmtId="3" fontId="11" fillId="46" borderId="79" xfId="0" applyNumberFormat="1" applyFont="1" applyFill="1" applyBorder="1" applyAlignment="1">
      <alignment vertical="center" wrapText="1"/>
    </xf>
    <xf numFmtId="3" fontId="11" fillId="46" borderId="41" xfId="0" applyNumberFormat="1" applyFont="1" applyFill="1" applyBorder="1" applyAlignment="1">
      <alignment vertical="center" wrapText="1"/>
    </xf>
    <xf numFmtId="3" fontId="101" fillId="0" borderId="76" xfId="137" applyNumberFormat="1" applyFont="1" applyFill="1" applyBorder="1" applyAlignment="1">
      <alignment horizontal="center" vertical="center"/>
    </xf>
    <xf numFmtId="0" fontId="101" fillId="0" borderId="41" xfId="137" applyFont="1" applyFill="1" applyBorder="1" applyAlignment="1">
      <alignment horizontal="center" vertical="center" wrapText="1"/>
    </xf>
    <xf numFmtId="3" fontId="12" fillId="0" borderId="76" xfId="0" applyNumberFormat="1" applyFont="1" applyFill="1" applyBorder="1" applyAlignment="1">
      <alignment vertical="center"/>
    </xf>
    <xf numFmtId="3" fontId="11" fillId="52" borderId="76" xfId="0" applyNumberFormat="1" applyFont="1" applyFill="1" applyBorder="1" applyAlignment="1">
      <alignment horizontal="center" vertical="center"/>
    </xf>
    <xf numFmtId="3" fontId="11" fillId="52" borderId="77" xfId="0" applyNumberFormat="1" applyFont="1" applyFill="1" applyBorder="1" applyAlignment="1">
      <alignment horizontal="center" vertical="center"/>
    </xf>
    <xf numFmtId="3" fontId="9" fillId="0" borderId="77" xfId="0" applyNumberFormat="1" applyFont="1" applyBorder="1" applyAlignment="1">
      <alignment vertical="center"/>
    </xf>
    <xf numFmtId="3" fontId="9" fillId="0" borderId="77" xfId="0" applyNumberFormat="1" applyFont="1" applyBorder="1" applyAlignment="1">
      <alignment horizontal="left" vertical="center"/>
    </xf>
    <xf numFmtId="3" fontId="12" fillId="52" borderId="76" xfId="0" applyNumberFormat="1" applyFont="1" applyFill="1" applyBorder="1" applyAlignment="1">
      <alignment horizontal="right" vertical="center"/>
    </xf>
    <xf numFmtId="3" fontId="12" fillId="52" borderId="76" xfId="0" applyNumberFormat="1" applyFont="1" applyFill="1" applyBorder="1" applyAlignment="1">
      <alignment vertical="center"/>
    </xf>
    <xf numFmtId="3" fontId="9" fillId="0" borderId="38" xfId="0" applyNumberFormat="1" applyFont="1" applyFill="1" applyBorder="1" applyAlignment="1">
      <alignment horizontal="right" vertical="center" wrapText="1"/>
    </xf>
    <xf numFmtId="3" fontId="92" fillId="0" borderId="79" xfId="0" applyNumberFormat="1" applyFont="1" applyBorder="1" applyAlignment="1">
      <alignment vertical="center"/>
    </xf>
    <xf numFmtId="3" fontId="12" fillId="0" borderId="79" xfId="140" applyNumberFormat="1" applyFont="1" applyBorder="1" applyAlignment="1">
      <alignment horizontal="right" vertical="center"/>
    </xf>
    <xf numFmtId="0" fontId="101" fillId="0" borderId="77" xfId="159" applyFont="1" applyBorder="1" applyAlignment="1">
      <alignment vertical="center" wrapText="1"/>
    </xf>
    <xf numFmtId="167" fontId="101" fillId="0" borderId="76" xfId="84" applyNumberFormat="1" applyFont="1" applyFill="1" applyBorder="1" applyAlignment="1">
      <alignment horizontal="center" vertical="center" wrapText="1"/>
    </xf>
    <xf numFmtId="0" fontId="102" fillId="0" borderId="76" xfId="84" applyNumberFormat="1" applyFont="1" applyFill="1" applyBorder="1" applyAlignment="1">
      <alignment horizontal="center" vertical="center" wrapText="1"/>
    </xf>
    <xf numFmtId="0" fontId="101" fillId="0" borderId="76" xfId="84" applyNumberFormat="1" applyFont="1" applyFill="1" applyBorder="1" applyAlignment="1">
      <alignment horizontal="center" vertical="center" wrapText="1"/>
    </xf>
    <xf numFmtId="0" fontId="101" fillId="0" borderId="76" xfId="129" applyFont="1" applyBorder="1" applyAlignment="1">
      <alignment horizontal="center" vertical="center" wrapText="1"/>
    </xf>
    <xf numFmtId="3" fontId="101" fillId="0" borderId="76" xfId="137" applyNumberFormat="1" applyFont="1" applyBorder="1" applyAlignment="1">
      <alignment vertical="center" wrapText="1"/>
    </xf>
    <xf numFmtId="0" fontId="9" fillId="0" borderId="76" xfId="176" applyFont="1" applyBorder="1" applyAlignment="1">
      <alignment vertical="center"/>
    </xf>
    <xf numFmtId="3" fontId="101" fillId="0" borderId="76" xfId="137" applyNumberFormat="1" applyFont="1" applyBorder="1" applyAlignment="1">
      <alignment horizontal="center" vertical="center"/>
    </xf>
    <xf numFmtId="3" fontId="9" fillId="0" borderId="76" xfId="137" applyNumberFormat="1" applyFont="1" applyFill="1" applyBorder="1" applyAlignment="1">
      <alignment horizontal="center" vertical="center"/>
    </xf>
    <xf numFmtId="0" fontId="101" fillId="0" borderId="77" xfId="137" applyFont="1" applyBorder="1" applyAlignment="1">
      <alignment vertical="center" wrapText="1"/>
    </xf>
    <xf numFmtId="3" fontId="101" fillId="0" borderId="76" xfId="137" applyNumberFormat="1" applyFont="1" applyBorder="1" applyAlignment="1">
      <alignment horizontal="center" vertical="center" wrapText="1"/>
    </xf>
    <xf numFmtId="0" fontId="9" fillId="0" borderId="77" xfId="137" applyFont="1" applyBorder="1" applyAlignment="1">
      <alignment vertical="center"/>
    </xf>
    <xf numFmtId="3" fontId="9" fillId="0" borderId="76" xfId="137" applyNumberFormat="1" applyFont="1" applyBorder="1" applyAlignment="1">
      <alignment horizontal="center" vertical="center"/>
    </xf>
    <xf numFmtId="0" fontId="9" fillId="0" borderId="77" xfId="137" applyFont="1" applyBorder="1" applyAlignment="1">
      <alignment vertical="center" wrapText="1"/>
    </xf>
    <xf numFmtId="3" fontId="101" fillId="0" borderId="77" xfId="0" applyNumberFormat="1" applyFont="1" applyBorder="1" applyAlignment="1">
      <alignment vertical="center" wrapText="1"/>
    </xf>
    <xf numFmtId="3" fontId="101" fillId="0" borderId="76" xfId="0" applyNumberFormat="1" applyFont="1" applyBorder="1" applyAlignment="1">
      <alignment horizontal="center" vertical="center" wrapText="1"/>
    </xf>
    <xf numFmtId="0" fontId="101" fillId="0" borderId="76" xfId="137" applyFont="1" applyBorder="1" applyAlignment="1">
      <alignment horizontal="center" vertical="center" wrapText="1"/>
    </xf>
    <xf numFmtId="3" fontId="12" fillId="0" borderId="77" xfId="0" applyNumberFormat="1" applyFont="1" applyBorder="1" applyAlignment="1">
      <alignment horizontal="left" vertical="center" wrapText="1"/>
    </xf>
    <xf numFmtId="3" fontId="12" fillId="0" borderId="79" xfId="0" applyNumberFormat="1" applyFont="1" applyBorder="1" applyAlignment="1">
      <alignment horizontal="right" vertical="center" wrapText="1"/>
    </xf>
    <xf numFmtId="3" fontId="12" fillId="48" borderId="80" xfId="0" applyNumberFormat="1" applyFont="1" applyFill="1" applyBorder="1" applyAlignment="1">
      <alignment horizontal="center" vertical="center"/>
    </xf>
    <xf numFmtId="0" fontId="9" fillId="0" borderId="0" xfId="165" applyFont="1" applyAlignment="1">
      <alignment horizontal="center" vertical="center"/>
    </xf>
    <xf numFmtId="3" fontId="12" fillId="0" borderId="64" xfId="0" applyNumberFormat="1" applyFont="1" applyBorder="1" applyAlignment="1">
      <alignment horizontal="center" vertical="center"/>
    </xf>
    <xf numFmtId="3" fontId="92" fillId="0" borderId="66" xfId="0" applyNumberFormat="1" applyFont="1" applyBorder="1" applyAlignment="1">
      <alignment vertical="center"/>
    </xf>
    <xf numFmtId="3" fontId="7" fillId="0" borderId="64" xfId="0" applyNumberFormat="1" applyFont="1" applyBorder="1" applyAlignment="1">
      <alignment vertical="center"/>
    </xf>
    <xf numFmtId="0" fontId="9" fillId="0" borderId="65" xfId="0" applyFont="1" applyBorder="1" applyAlignment="1">
      <alignment vertical="center" wrapText="1"/>
    </xf>
    <xf numFmtId="3" fontId="9" fillId="0" borderId="25" xfId="0" applyNumberFormat="1" applyFont="1" applyBorder="1" applyAlignment="1">
      <alignment vertical="center" wrapText="1"/>
    </xf>
    <xf numFmtId="3" fontId="92" fillId="0" borderId="26" xfId="0" applyNumberFormat="1" applyFont="1" applyBorder="1" applyAlignment="1">
      <alignment vertical="center"/>
    </xf>
    <xf numFmtId="3" fontId="12" fillId="0" borderId="66" xfId="140" applyNumberFormat="1" applyFont="1" applyBorder="1" applyAlignment="1">
      <alignment horizontal="right" vertical="center"/>
    </xf>
    <xf numFmtId="3" fontId="92" fillId="0" borderId="81" xfId="0" applyNumberFormat="1" applyFont="1" applyBorder="1" applyAlignment="1">
      <alignment horizontal="center" vertical="center"/>
    </xf>
    <xf numFmtId="3" fontId="9" fillId="0" borderId="82" xfId="0" applyNumberFormat="1" applyFont="1" applyFill="1" applyBorder="1" applyAlignment="1">
      <alignment vertical="center" wrapText="1"/>
    </xf>
    <xf numFmtId="3" fontId="9" fillId="0" borderId="82" xfId="0" applyNumberFormat="1" applyFont="1" applyBorder="1" applyAlignment="1">
      <alignment horizontal="right" vertical="center" wrapText="1"/>
    </xf>
    <xf numFmtId="3" fontId="9" fillId="0" borderId="82" xfId="0" applyNumberFormat="1" applyFont="1" applyBorder="1" applyAlignment="1">
      <alignment vertical="center" wrapText="1"/>
    </xf>
    <xf numFmtId="3" fontId="101" fillId="0" borderId="76" xfId="129" applyNumberFormat="1" applyFont="1" applyBorder="1" applyAlignment="1">
      <alignment horizontal="center" vertical="center" wrapText="1"/>
    </xf>
    <xf numFmtId="3" fontId="12" fillId="0" borderId="79" xfId="0" applyNumberFormat="1" applyFont="1" applyFill="1" applyBorder="1" applyAlignment="1">
      <alignment vertical="center"/>
    </xf>
    <xf numFmtId="3" fontId="9" fillId="0" borderId="76" xfId="137" applyNumberFormat="1" applyFont="1" applyFill="1" applyBorder="1" applyAlignment="1">
      <alignment horizontal="center" vertical="center" wrapText="1"/>
    </xf>
    <xf numFmtId="3" fontId="12" fillId="0" borderId="76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/>
    </xf>
    <xf numFmtId="3" fontId="9" fillId="0" borderId="42" xfId="0" applyNumberFormat="1" applyFont="1" applyFill="1" applyBorder="1" applyAlignment="1">
      <alignment horizontal="left" vertical="center" wrapText="1"/>
    </xf>
    <xf numFmtId="0" fontId="9" fillId="0" borderId="41" xfId="0" applyFont="1" applyFill="1" applyBorder="1" applyAlignment="1">
      <alignment vertical="center" wrapText="1"/>
    </xf>
    <xf numFmtId="3" fontId="12" fillId="0" borderId="82" xfId="0" applyNumberFormat="1" applyFont="1" applyBorder="1" applyAlignment="1">
      <alignment vertical="center"/>
    </xf>
    <xf numFmtId="0" fontId="9" fillId="0" borderId="45" xfId="127" applyFont="1" applyBorder="1" applyAlignment="1">
      <alignment vertical="center"/>
    </xf>
    <xf numFmtId="0" fontId="9" fillId="0" borderId="41" xfId="127" applyFont="1" applyBorder="1" applyAlignment="1">
      <alignment horizontal="center" vertical="center"/>
    </xf>
    <xf numFmtId="0" fontId="6" fillId="0" borderId="0" xfId="158" applyFont="1" applyAlignment="1">
      <alignment vertical="center"/>
    </xf>
    <xf numFmtId="3" fontId="108" fillId="0" borderId="76" xfId="137" applyNumberFormat="1" applyFont="1" applyBorder="1" applyAlignment="1">
      <alignment horizontal="center" vertical="center"/>
    </xf>
    <xf numFmtId="0" fontId="10" fillId="0" borderId="82" xfId="137" applyFont="1" applyBorder="1" applyAlignment="1">
      <alignment horizontal="center" vertical="center"/>
    </xf>
    <xf numFmtId="0" fontId="101" fillId="0" borderId="82" xfId="84" applyNumberFormat="1" applyFont="1" applyFill="1" applyBorder="1" applyAlignment="1">
      <alignment horizontal="center" vertical="center" wrapText="1"/>
    </xf>
    <xf numFmtId="3" fontId="101" fillId="0" borderId="82" xfId="137" applyNumberFormat="1" applyFont="1" applyBorder="1" applyAlignment="1">
      <alignment vertical="center"/>
    </xf>
    <xf numFmtId="3" fontId="12" fillId="0" borderId="83" xfId="0" applyNumberFormat="1" applyFont="1" applyFill="1" applyBorder="1" applyAlignment="1">
      <alignment vertical="center"/>
    </xf>
    <xf numFmtId="3" fontId="12" fillId="0" borderId="83" xfId="0" applyNumberFormat="1" applyFont="1" applyFill="1" applyBorder="1" applyAlignment="1">
      <alignment horizontal="left" vertical="center" wrapText="1"/>
    </xf>
    <xf numFmtId="0" fontId="9" fillId="0" borderId="82" xfId="137" applyFont="1" applyBorder="1" applyAlignment="1">
      <alignment horizontal="center" vertical="center"/>
    </xf>
    <xf numFmtId="3" fontId="101" fillId="0" borderId="82" xfId="137" applyNumberFormat="1" applyFont="1" applyFill="1" applyBorder="1" applyAlignment="1">
      <alignment vertical="center"/>
    </xf>
    <xf numFmtId="3" fontId="9" fillId="0" borderId="83" xfId="0" applyNumberFormat="1" applyFont="1" applyFill="1" applyBorder="1" applyAlignment="1">
      <alignment horizontal="left" vertical="center" wrapText="1"/>
    </xf>
    <xf numFmtId="49" fontId="102" fillId="0" borderId="82" xfId="137" applyNumberFormat="1" applyFont="1" applyFill="1" applyBorder="1" applyAlignment="1">
      <alignment horizontal="center" vertical="center"/>
    </xf>
    <xf numFmtId="3" fontId="9" fillId="0" borderId="83" xfId="0" applyNumberFormat="1" applyFont="1" applyFill="1" applyBorder="1" applyAlignment="1">
      <alignment vertical="center"/>
    </xf>
    <xf numFmtId="49" fontId="102" fillId="0" borderId="82" xfId="137" applyNumberFormat="1" applyFont="1" applyFill="1" applyBorder="1" applyAlignment="1">
      <alignment horizontal="center" vertical="center" wrapText="1"/>
    </xf>
    <xf numFmtId="49" fontId="40" fillId="0" borderId="83" xfId="171" applyNumberFormat="1" applyFont="1" applyFill="1" applyBorder="1" applyAlignment="1">
      <alignment horizontal="left" vertical="center" wrapText="1"/>
    </xf>
    <xf numFmtId="3" fontId="9" fillId="0" borderId="83" xfId="0" applyNumberFormat="1" applyFont="1" applyFill="1" applyBorder="1" applyAlignment="1">
      <alignment vertical="center" wrapText="1"/>
    </xf>
    <xf numFmtId="3" fontId="9" fillId="0" borderId="83" xfId="0" applyNumberFormat="1" applyFont="1" applyFill="1" applyBorder="1" applyAlignment="1">
      <alignment horizontal="left" vertical="center"/>
    </xf>
    <xf numFmtId="3" fontId="101" fillId="0" borderId="82" xfId="137" applyNumberFormat="1" applyFont="1" applyBorder="1" applyAlignment="1">
      <alignment vertical="center" wrapText="1"/>
    </xf>
    <xf numFmtId="0" fontId="101" fillId="0" borderId="19" xfId="129" applyFont="1" applyFill="1" applyBorder="1" applyAlignment="1">
      <alignment horizontal="center" vertical="center" wrapText="1"/>
    </xf>
    <xf numFmtId="3" fontId="9" fillId="0" borderId="82" xfId="137" applyNumberFormat="1" applyFont="1" applyFill="1" applyBorder="1" applyAlignment="1">
      <alignment horizontal="center" vertical="center"/>
    </xf>
    <xf numFmtId="0" fontId="12" fillId="0" borderId="83" xfId="180" applyFont="1" applyFill="1" applyBorder="1" applyAlignment="1">
      <alignment vertical="center" wrapText="1"/>
    </xf>
    <xf numFmtId="3" fontId="12" fillId="0" borderId="82" xfId="180" applyNumberFormat="1" applyFont="1" applyFill="1" applyBorder="1" applyAlignment="1">
      <alignment horizontal="center" vertical="center" wrapText="1"/>
    </xf>
    <xf numFmtId="3" fontId="9" fillId="0" borderId="82" xfId="137" applyNumberFormat="1" applyFont="1" applyBorder="1" applyAlignment="1">
      <alignment vertical="center"/>
    </xf>
    <xf numFmtId="0" fontId="9" fillId="0" borderId="82" xfId="137" applyFont="1" applyFill="1" applyBorder="1" applyAlignment="1">
      <alignment horizontal="center" vertical="center"/>
    </xf>
    <xf numFmtId="3" fontId="11" fillId="0" borderId="82" xfId="0" applyNumberFormat="1" applyFont="1" applyBorder="1" applyAlignment="1">
      <alignment horizontal="center" vertical="center"/>
    </xf>
    <xf numFmtId="3" fontId="12" fillId="0" borderId="82" xfId="0" applyNumberFormat="1" applyFont="1" applyBorder="1" applyAlignment="1">
      <alignment horizontal="right" vertical="center"/>
    </xf>
    <xf numFmtId="3" fontId="12" fillId="0" borderId="84" xfId="0" applyNumberFormat="1" applyFont="1" applyBorder="1" applyAlignment="1">
      <alignment horizontal="right" vertical="center"/>
    </xf>
    <xf numFmtId="3" fontId="7" fillId="0" borderId="82" xfId="0" applyNumberFormat="1" applyFont="1" applyBorder="1" applyAlignment="1">
      <alignment vertical="center"/>
    </xf>
    <xf numFmtId="3" fontId="12" fillId="0" borderId="0" xfId="0" applyNumberFormat="1" applyFont="1" applyFill="1" applyBorder="1" applyAlignment="1">
      <alignment horizontal="center" vertical="center"/>
    </xf>
    <xf numFmtId="3" fontId="12" fillId="0" borderId="25" xfId="0" applyNumberFormat="1" applyFont="1" applyFill="1" applyBorder="1" applyAlignment="1">
      <alignment vertical="center"/>
    </xf>
    <xf numFmtId="3" fontId="11" fillId="0" borderId="84" xfId="0" applyNumberFormat="1" applyFont="1" applyFill="1" applyBorder="1" applyAlignment="1">
      <alignment vertical="center"/>
    </xf>
    <xf numFmtId="3" fontId="12" fillId="0" borderId="83" xfId="0" applyNumberFormat="1" applyFont="1" applyBorder="1" applyAlignment="1">
      <alignment horizontal="center" vertical="center"/>
    </xf>
    <xf numFmtId="3" fontId="12" fillId="0" borderId="84" xfId="0" applyNumberFormat="1" applyFont="1" applyBorder="1" applyAlignment="1">
      <alignment vertical="center"/>
    </xf>
    <xf numFmtId="3" fontId="12" fillId="0" borderId="82" xfId="0" applyNumberFormat="1" applyFont="1" applyFill="1" applyBorder="1" applyAlignment="1">
      <alignment vertical="center"/>
    </xf>
    <xf numFmtId="3" fontId="12" fillId="0" borderId="83" xfId="0" applyNumberFormat="1" applyFont="1" applyFill="1" applyBorder="1" applyAlignment="1">
      <alignment horizontal="center" vertical="center"/>
    </xf>
    <xf numFmtId="49" fontId="9" fillId="0" borderId="83" xfId="161" applyNumberFormat="1" applyFont="1" applyFill="1" applyBorder="1" applyAlignment="1">
      <alignment horizontal="left" vertical="center" wrapText="1"/>
    </xf>
    <xf numFmtId="3" fontId="12" fillId="0" borderId="84" xfId="0" applyNumberFormat="1" applyFont="1" applyFill="1" applyBorder="1" applyAlignment="1">
      <alignment vertical="center"/>
    </xf>
    <xf numFmtId="3" fontId="12" fillId="0" borderId="82" xfId="0" applyNumberFormat="1" applyFont="1" applyBorder="1" applyAlignment="1">
      <alignment horizontal="center" vertical="center"/>
    </xf>
    <xf numFmtId="3" fontId="12" fillId="0" borderId="82" xfId="140" applyNumberFormat="1" applyFont="1" applyBorder="1" applyAlignment="1">
      <alignment horizontal="right" vertical="center"/>
    </xf>
    <xf numFmtId="3" fontId="20" fillId="0" borderId="82" xfId="0" applyNumberFormat="1" applyFont="1" applyBorder="1" applyAlignment="1">
      <alignment vertical="center"/>
    </xf>
    <xf numFmtId="0" fontId="101" fillId="0" borderId="83" xfId="160" applyFont="1" applyBorder="1" applyAlignment="1">
      <alignment vertical="center" wrapText="1"/>
    </xf>
    <xf numFmtId="0" fontId="9" fillId="0" borderId="83" xfId="0" applyFont="1" applyFill="1" applyBorder="1" applyAlignment="1">
      <alignment vertical="center" wrapText="1"/>
    </xf>
    <xf numFmtId="3" fontId="92" fillId="0" borderId="84" xfId="0" applyNumberFormat="1" applyFont="1" applyFill="1" applyBorder="1" applyAlignment="1">
      <alignment vertical="center"/>
    </xf>
    <xf numFmtId="0" fontId="12" fillId="0" borderId="65" xfId="165" applyFont="1" applyBorder="1" applyAlignment="1">
      <alignment horizontal="center" vertical="center" wrapText="1"/>
    </xf>
    <xf numFmtId="0" fontId="12" fillId="0" borderId="83" xfId="165" applyFont="1" applyFill="1" applyBorder="1" applyAlignment="1">
      <alignment horizontal="center" vertical="center" wrapText="1"/>
    </xf>
    <xf numFmtId="3" fontId="12" fillId="0" borderId="84" xfId="140" applyNumberFormat="1" applyFont="1" applyBorder="1" applyAlignment="1">
      <alignment horizontal="right" vertical="center"/>
    </xf>
    <xf numFmtId="3" fontId="101" fillId="0" borderId="83" xfId="0" applyNumberFormat="1" applyFont="1" applyFill="1" applyBorder="1" applyAlignment="1">
      <alignment horizontal="left" vertical="center" wrapText="1"/>
    </xf>
    <xf numFmtId="0" fontId="9" fillId="0" borderId="83" xfId="137" applyFont="1" applyFill="1" applyBorder="1" applyAlignment="1">
      <alignment vertical="center" wrapText="1"/>
    </xf>
    <xf numFmtId="0" fontId="7" fillId="50" borderId="64" xfId="155" applyFont="1" applyFill="1" applyBorder="1" applyAlignment="1">
      <alignment vertical="center"/>
    </xf>
    <xf numFmtId="3" fontId="11" fillId="51" borderId="64" xfId="155" applyNumberFormat="1" applyFont="1" applyFill="1" applyBorder="1" applyAlignment="1">
      <alignment horizontal="center" vertical="center" wrapText="1"/>
    </xf>
    <xf numFmtId="0" fontId="12" fillId="50" borderId="64" xfId="155" applyFont="1" applyFill="1" applyBorder="1" applyAlignment="1">
      <alignment vertical="center"/>
    </xf>
    <xf numFmtId="0" fontId="13" fillId="0" borderId="64" xfId="155" applyFont="1" applyBorder="1" applyAlignment="1">
      <alignment horizontal="left" vertical="top"/>
    </xf>
    <xf numFmtId="0" fontId="12" fillId="0" borderId="64" xfId="155" applyFont="1" applyBorder="1" applyAlignment="1">
      <alignment vertical="center"/>
    </xf>
    <xf numFmtId="0" fontId="12" fillId="0" borderId="83" xfId="155" applyFont="1" applyBorder="1" applyAlignment="1">
      <alignment horizontal="center" vertical="center"/>
    </xf>
    <xf numFmtId="0" fontId="12" fillId="0" borderId="84" xfId="155" applyFont="1" applyBorder="1" applyAlignment="1">
      <alignment vertical="center"/>
    </xf>
    <xf numFmtId="0" fontId="13" fillId="0" borderId="64" xfId="155" applyFont="1" applyBorder="1" applyAlignment="1">
      <alignment vertical="center"/>
    </xf>
    <xf numFmtId="3" fontId="9" fillId="0" borderId="64" xfId="155" applyNumberFormat="1" applyFont="1" applyBorder="1" applyAlignment="1">
      <alignment horizontal="right" vertical="center"/>
    </xf>
    <xf numFmtId="3" fontId="12" fillId="0" borderId="64" xfId="155" applyNumberFormat="1" applyFont="1" applyBorder="1" applyAlignment="1">
      <alignment vertical="center"/>
    </xf>
    <xf numFmtId="3" fontId="39" fillId="0" borderId="64" xfId="155" applyNumberFormat="1" applyFont="1" applyBorder="1" applyAlignment="1">
      <alignment vertical="center"/>
    </xf>
    <xf numFmtId="3" fontId="86" fillId="0" borderId="64" xfId="155" applyNumberFormat="1" applyFont="1" applyBorder="1" applyAlignment="1">
      <alignment horizontal="right" vertical="center"/>
    </xf>
    <xf numFmtId="0" fontId="12" fillId="0" borderId="64" xfId="155" applyFont="1" applyBorder="1" applyAlignment="1">
      <alignment vertical="center" wrapText="1"/>
    </xf>
    <xf numFmtId="166" fontId="9" fillId="0" borderId="64" xfId="155" applyNumberFormat="1" applyFont="1" applyBorder="1" applyAlignment="1">
      <alignment vertical="center"/>
    </xf>
    <xf numFmtId="3" fontId="9" fillId="0" borderId="64" xfId="155" applyNumberFormat="1" applyFont="1" applyBorder="1" applyAlignment="1">
      <alignment vertical="center"/>
    </xf>
    <xf numFmtId="3" fontId="9" fillId="0" borderId="83" xfId="155" applyNumberFormat="1" applyFont="1" applyBorder="1" applyAlignment="1">
      <alignment horizontal="right" vertical="center"/>
    </xf>
    <xf numFmtId="4" fontId="9" fillId="0" borderId="64" xfId="155" applyNumberFormat="1" applyFont="1" applyBorder="1" applyAlignment="1">
      <alignment vertical="center"/>
    </xf>
    <xf numFmtId="0" fontId="9" fillId="0" borderId="64" xfId="155" applyFont="1" applyBorder="1" applyAlignment="1">
      <alignment vertical="center"/>
    </xf>
    <xf numFmtId="0" fontId="13" fillId="0" borderId="64" xfId="155" applyFont="1" applyBorder="1" applyAlignment="1">
      <alignment vertical="center" wrapText="1"/>
    </xf>
    <xf numFmtId="0" fontId="11" fillId="0" borderId="64" xfId="155" applyFont="1" applyBorder="1" applyAlignment="1">
      <alignment vertical="center" wrapText="1"/>
    </xf>
    <xf numFmtId="0" fontId="12" fillId="0" borderId="64" xfId="155" applyFont="1" applyFill="1" applyBorder="1" applyAlignment="1">
      <alignment vertical="center" wrapText="1"/>
    </xf>
    <xf numFmtId="0" fontId="11" fillId="0" borderId="64" xfId="155" applyFont="1" applyFill="1" applyBorder="1" applyAlignment="1">
      <alignment vertical="center" wrapText="1"/>
    </xf>
    <xf numFmtId="3" fontId="10" fillId="0" borderId="64" xfId="0" applyNumberFormat="1" applyFont="1" applyBorder="1" applyAlignment="1">
      <alignment vertical="center" wrapText="1"/>
    </xf>
    <xf numFmtId="0" fontId="11" fillId="9" borderId="64" xfId="155" applyFont="1" applyFill="1" applyBorder="1" applyAlignment="1">
      <alignment vertical="center"/>
    </xf>
    <xf numFmtId="3" fontId="11" fillId="9" borderId="64" xfId="155" applyNumberFormat="1" applyFont="1" applyFill="1" applyBorder="1" applyAlignment="1">
      <alignment vertical="center"/>
    </xf>
    <xf numFmtId="3" fontId="11" fillId="51" borderId="64" xfId="155" applyNumberFormat="1" applyFont="1" applyFill="1" applyBorder="1" applyAlignment="1">
      <alignment vertical="center"/>
    </xf>
    <xf numFmtId="3" fontId="10" fillId="51" borderId="64" xfId="155" applyNumberFormat="1" applyFont="1" applyFill="1" applyBorder="1" applyAlignment="1">
      <alignment horizontal="right" vertical="center"/>
    </xf>
    <xf numFmtId="168" fontId="7" fillId="0" borderId="0" xfId="182" applyNumberFormat="1" applyFont="1" applyAlignment="1">
      <alignment vertical="center"/>
    </xf>
    <xf numFmtId="0" fontId="9" fillId="0" borderId="64" xfId="137" applyFont="1" applyBorder="1" applyAlignment="1">
      <alignment horizontal="center" vertical="center"/>
    </xf>
    <xf numFmtId="3" fontId="101" fillId="0" borderId="64" xfId="137" applyNumberFormat="1" applyFont="1" applyBorder="1" applyAlignment="1">
      <alignment vertical="center"/>
    </xf>
    <xf numFmtId="49" fontId="97" fillId="0" borderId="83" xfId="171" applyNumberFormat="1" applyFont="1" applyFill="1" applyBorder="1" applyAlignment="1">
      <alignment horizontal="left" vertical="center" wrapText="1"/>
    </xf>
    <xf numFmtId="0" fontId="93" fillId="0" borderId="42" xfId="165" applyFont="1" applyFill="1" applyBorder="1" applyAlignment="1">
      <alignment horizontal="center" vertical="top" wrapText="1"/>
    </xf>
    <xf numFmtId="0" fontId="10" fillId="0" borderId="42" xfId="165" applyFont="1" applyFill="1" applyBorder="1" applyAlignment="1">
      <alignment vertical="center"/>
    </xf>
    <xf numFmtId="3" fontId="92" fillId="0" borderId="47" xfId="0" applyNumberFormat="1" applyFont="1" applyFill="1" applyBorder="1" applyAlignment="1">
      <alignment vertical="center"/>
    </xf>
    <xf numFmtId="3" fontId="11" fillId="52" borderId="82" xfId="0" applyNumberFormat="1" applyFont="1" applyFill="1" applyBorder="1" applyAlignment="1">
      <alignment horizontal="center" vertical="center"/>
    </xf>
    <xf numFmtId="3" fontId="11" fillId="52" borderId="83" xfId="0" applyNumberFormat="1" applyFont="1" applyFill="1" applyBorder="1" applyAlignment="1">
      <alignment horizontal="center" vertical="center"/>
    </xf>
    <xf numFmtId="3" fontId="9" fillId="0" borderId="83" xfId="0" applyNumberFormat="1" applyFont="1" applyBorder="1" applyAlignment="1">
      <alignment vertical="center" wrapText="1"/>
    </xf>
    <xf numFmtId="3" fontId="12" fillId="52" borderId="82" xfId="0" applyNumberFormat="1" applyFont="1" applyFill="1" applyBorder="1" applyAlignment="1">
      <alignment horizontal="right" vertical="center"/>
    </xf>
    <xf numFmtId="3" fontId="12" fillId="52" borderId="82" xfId="0" applyNumberFormat="1" applyFont="1" applyFill="1" applyBorder="1" applyAlignment="1">
      <alignment vertical="center"/>
    </xf>
    <xf numFmtId="49" fontId="97" fillId="0" borderId="83" xfId="171" applyNumberFormat="1" applyFont="1" applyBorder="1" applyAlignment="1">
      <alignment horizontal="left" vertical="center" wrapText="1"/>
    </xf>
    <xf numFmtId="49" fontId="102" fillId="0" borderId="82" xfId="0" applyNumberFormat="1" applyFont="1" applyBorder="1" applyAlignment="1">
      <alignment horizontal="center" vertical="center" wrapText="1"/>
    </xf>
    <xf numFmtId="3" fontId="92" fillId="0" borderId="84" xfId="0" applyNumberFormat="1" applyFont="1" applyBorder="1" applyAlignment="1">
      <alignment vertical="center"/>
    </xf>
    <xf numFmtId="3" fontId="12" fillId="0" borderId="0" xfId="0" applyNumberFormat="1" applyFont="1" applyAlignment="1">
      <alignment horizontal="left" vertical="center"/>
    </xf>
    <xf numFmtId="3" fontId="11" fillId="0" borderId="84" xfId="0" applyNumberFormat="1" applyFont="1" applyBorder="1" applyAlignment="1">
      <alignment vertical="center"/>
    </xf>
    <xf numFmtId="0" fontId="12" fillId="0" borderId="83" xfId="165" applyFont="1" applyBorder="1" applyAlignment="1">
      <alignment horizontal="center" vertical="top" wrapText="1"/>
    </xf>
    <xf numFmtId="0" fontId="9" fillId="0" borderId="83" xfId="0" applyFont="1" applyBorder="1" applyAlignment="1">
      <alignment vertical="center" wrapText="1"/>
    </xf>
    <xf numFmtId="3" fontId="12" fillId="0" borderId="38" xfId="0" applyNumberFormat="1" applyFont="1" applyBorder="1" applyAlignment="1">
      <alignment horizontal="center" vertical="center"/>
    </xf>
    <xf numFmtId="0" fontId="12" fillId="0" borderId="83" xfId="165" applyFont="1" applyBorder="1" applyAlignment="1">
      <alignment horizontal="center" vertical="center" wrapText="1"/>
    </xf>
    <xf numFmtId="0" fontId="9" fillId="0" borderId="83" xfId="162" applyFont="1" applyBorder="1" applyAlignment="1">
      <alignment vertical="center" wrapText="1"/>
    </xf>
    <xf numFmtId="0" fontId="12" fillId="50" borderId="85" xfId="155" applyFont="1" applyFill="1" applyBorder="1" applyAlignment="1">
      <alignment horizontal="center" vertical="center"/>
    </xf>
    <xf numFmtId="0" fontId="12" fillId="50" borderId="86" xfId="155" applyFont="1" applyFill="1" applyBorder="1" applyAlignment="1">
      <alignment horizontal="center" vertical="center"/>
    </xf>
    <xf numFmtId="0" fontId="12" fillId="50" borderId="36" xfId="155" applyFont="1" applyFill="1" applyBorder="1" applyAlignment="1">
      <alignment horizontal="center" vertical="center"/>
    </xf>
    <xf numFmtId="0" fontId="12" fillId="50" borderId="37" xfId="155" applyFont="1" applyFill="1" applyBorder="1" applyAlignment="1">
      <alignment horizontal="center" vertical="center"/>
    </xf>
    <xf numFmtId="0" fontId="11" fillId="50" borderId="64" xfId="155" applyFont="1" applyFill="1" applyBorder="1" applyAlignment="1">
      <alignment horizontal="center" vertical="center" wrapText="1"/>
    </xf>
    <xf numFmtId="0" fontId="85" fillId="50" borderId="64" xfId="181" applyFont="1" applyFill="1" applyBorder="1" applyAlignment="1">
      <alignment horizontal="center" vertical="center" wrapText="1"/>
    </xf>
    <xf numFmtId="0" fontId="3" fillId="46" borderId="31" xfId="0" applyFont="1" applyFill="1" applyBorder="1" applyAlignment="1">
      <alignment horizontal="center" vertical="center"/>
    </xf>
    <xf numFmtId="0" fontId="3" fillId="46" borderId="24" xfId="0" applyFont="1" applyFill="1" applyBorder="1" applyAlignment="1">
      <alignment horizontal="center" vertical="center"/>
    </xf>
    <xf numFmtId="0" fontId="11" fillId="46" borderId="13" xfId="127" applyFont="1" applyFill="1" applyBorder="1" applyAlignment="1">
      <alignment horizontal="center" vertical="center"/>
    </xf>
    <xf numFmtId="0" fontId="11" fillId="46" borderId="14" xfId="127" applyFont="1" applyFill="1" applyBorder="1" applyAlignment="1">
      <alignment horizontal="center" vertical="center"/>
    </xf>
    <xf numFmtId="0" fontId="58" fillId="46" borderId="13" xfId="0" applyFont="1" applyFill="1" applyBorder="1" applyAlignment="1">
      <alignment horizontal="center" vertical="center" wrapText="1"/>
    </xf>
    <xf numFmtId="0" fontId="58" fillId="46" borderId="13" xfId="0" applyFont="1" applyFill="1" applyBorder="1" applyAlignment="1">
      <alignment horizontal="center" vertical="center"/>
    </xf>
    <xf numFmtId="0" fontId="3" fillId="46" borderId="33" xfId="0" applyFont="1" applyFill="1" applyBorder="1" applyAlignment="1">
      <alignment horizontal="center" vertical="center"/>
    </xf>
    <xf numFmtId="0" fontId="6" fillId="0" borderId="0" xfId="158" applyAlignment="1">
      <alignment horizontal="center"/>
    </xf>
    <xf numFmtId="0" fontId="3" fillId="46" borderId="33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10" fillId="46" borderId="33" xfId="127" applyFont="1" applyFill="1" applyBorder="1" applyAlignment="1">
      <alignment horizontal="center" vertical="center"/>
    </xf>
    <xf numFmtId="0" fontId="10" fillId="46" borderId="33" xfId="158" applyFont="1" applyFill="1" applyBorder="1" applyAlignment="1">
      <alignment horizontal="center"/>
    </xf>
    <xf numFmtId="0" fontId="11" fillId="46" borderId="13" xfId="0" applyFont="1" applyFill="1" applyBorder="1" applyAlignment="1">
      <alignment horizontal="center"/>
    </xf>
    <xf numFmtId="3" fontId="11" fillId="46" borderId="13" xfId="140" applyNumberFormat="1" applyFont="1" applyFill="1" applyBorder="1" applyAlignment="1">
      <alignment horizontal="center" vertical="center" wrapText="1"/>
    </xf>
    <xf numFmtId="0" fontId="11" fillId="46" borderId="68" xfId="0" applyFont="1" applyFill="1" applyBorder="1" applyAlignment="1">
      <alignment horizontal="center" vertical="center"/>
    </xf>
    <xf numFmtId="0" fontId="11" fillId="46" borderId="46" xfId="0" applyFont="1" applyFill="1" applyBorder="1" applyAlignment="1">
      <alignment horizontal="center" vertical="center"/>
    </xf>
    <xf numFmtId="0" fontId="11" fillId="46" borderId="47" xfId="0" applyFont="1" applyFill="1" applyBorder="1" applyAlignment="1">
      <alignment horizontal="center" vertical="center"/>
    </xf>
    <xf numFmtId="0" fontId="11" fillId="46" borderId="42" xfId="0" applyFont="1" applyFill="1" applyBorder="1" applyAlignment="1">
      <alignment horizontal="center" vertical="center"/>
    </xf>
    <xf numFmtId="0" fontId="11" fillId="46" borderId="44" xfId="0" applyFont="1" applyFill="1" applyBorder="1" applyAlignment="1">
      <alignment horizontal="center" vertical="center" wrapText="1"/>
    </xf>
    <xf numFmtId="0" fontId="11" fillId="46" borderId="19" xfId="0" applyFont="1" applyFill="1" applyBorder="1" applyAlignment="1">
      <alignment horizontal="center" vertical="center" wrapText="1"/>
    </xf>
    <xf numFmtId="3" fontId="7" fillId="0" borderId="0" xfId="0" applyNumberFormat="1" applyFont="1" applyAlignment="1">
      <alignment horizontal="left" vertical="center"/>
    </xf>
    <xf numFmtId="3" fontId="14" fillId="46" borderId="31" xfId="140" applyNumberFormat="1" applyFont="1" applyFill="1" applyBorder="1" applyAlignment="1">
      <alignment horizontal="center" vertical="center" wrapText="1"/>
    </xf>
    <xf numFmtId="3" fontId="14" fillId="46" borderId="24" xfId="140" applyNumberFormat="1" applyFont="1" applyFill="1" applyBorder="1" applyAlignment="1">
      <alignment horizontal="center" vertical="center" wrapText="1"/>
    </xf>
    <xf numFmtId="3" fontId="14" fillId="46" borderId="31" xfId="140" applyNumberFormat="1" applyFont="1" applyFill="1" applyBorder="1" applyAlignment="1">
      <alignment horizontal="center" vertical="center"/>
    </xf>
    <xf numFmtId="3" fontId="14" fillId="46" borderId="24" xfId="140" applyNumberFormat="1" applyFont="1" applyFill="1" applyBorder="1" applyAlignment="1">
      <alignment horizontal="center" vertical="center"/>
    </xf>
    <xf numFmtId="3" fontId="14" fillId="46" borderId="73" xfId="140" applyNumberFormat="1" applyFont="1" applyFill="1" applyBorder="1" applyAlignment="1">
      <alignment horizontal="center" vertical="center" textRotation="90" wrapText="1"/>
    </xf>
    <xf numFmtId="3" fontId="14" fillId="46" borderId="23" xfId="140" applyNumberFormat="1" applyFont="1" applyFill="1" applyBorder="1" applyAlignment="1">
      <alignment horizontal="center" vertical="center" textRotation="90" wrapText="1"/>
    </xf>
    <xf numFmtId="3" fontId="14" fillId="46" borderId="44" xfId="140" applyNumberFormat="1" applyFont="1" applyFill="1" applyBorder="1" applyAlignment="1">
      <alignment horizontal="center" vertical="center" wrapText="1"/>
    </xf>
    <xf numFmtId="3" fontId="14" fillId="46" borderId="19" xfId="140" applyNumberFormat="1" applyFont="1" applyFill="1" applyBorder="1" applyAlignment="1">
      <alignment horizontal="center" vertical="center" wrapText="1"/>
    </xf>
    <xf numFmtId="0" fontId="3" fillId="46" borderId="22" xfId="0" applyFont="1" applyFill="1" applyBorder="1" applyAlignment="1">
      <alignment horizontal="center" vertical="center" wrapText="1"/>
    </xf>
    <xf numFmtId="0" fontId="3" fillId="46" borderId="19" xfId="0" applyFont="1" applyFill="1" applyBorder="1" applyAlignment="1">
      <alignment horizontal="center" vertical="center" wrapText="1"/>
    </xf>
    <xf numFmtId="0" fontId="11" fillId="46" borderId="13" xfId="128" applyFont="1" applyFill="1" applyBorder="1" applyAlignment="1">
      <alignment horizontal="center" vertical="center"/>
    </xf>
    <xf numFmtId="0" fontId="58" fillId="46" borderId="44" xfId="0" applyFont="1" applyFill="1" applyBorder="1" applyAlignment="1">
      <alignment horizontal="center" vertical="center" wrapText="1"/>
    </xf>
    <xf numFmtId="0" fontId="58" fillId="46" borderId="19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3" fontId="11" fillId="50" borderId="38" xfId="0" applyNumberFormat="1" applyFont="1" applyFill="1" applyBorder="1" applyAlignment="1">
      <alignment horizontal="center" vertical="center" wrapText="1"/>
    </xf>
    <xf numFmtId="3" fontId="11" fillId="50" borderId="19" xfId="0" applyNumberFormat="1" applyFont="1" applyFill="1" applyBorder="1" applyAlignment="1">
      <alignment horizontal="center" vertical="center" wrapText="1"/>
    </xf>
    <xf numFmtId="0" fontId="11" fillId="50" borderId="44" xfId="0" applyFont="1" applyFill="1" applyBorder="1" applyAlignment="1">
      <alignment horizontal="center" vertical="center" wrapText="1"/>
    </xf>
    <xf numFmtId="0" fontId="11" fillId="50" borderId="19" xfId="0" applyFont="1" applyFill="1" applyBorder="1" applyAlignment="1">
      <alignment horizontal="center" vertical="center" wrapText="1"/>
    </xf>
    <xf numFmtId="3" fontId="92" fillId="0" borderId="30" xfId="0" applyNumberFormat="1" applyFont="1" applyBorder="1" applyAlignment="1">
      <alignment horizontal="center" vertical="center"/>
    </xf>
    <xf numFmtId="3" fontId="12" fillId="0" borderId="82" xfId="0" applyNumberFormat="1" applyFont="1" applyFill="1" applyBorder="1" applyAlignment="1">
      <alignment horizontal="center" vertical="center"/>
    </xf>
    <xf numFmtId="3" fontId="13" fillId="0" borderId="82" xfId="0" applyNumberFormat="1" applyFont="1" applyBorder="1" applyAlignment="1">
      <alignment horizontal="center" vertical="center"/>
    </xf>
    <xf numFmtId="0" fontId="101" fillId="0" borderId="82" xfId="129" applyFont="1" applyFill="1" applyBorder="1" applyAlignment="1">
      <alignment horizontal="center" vertical="center" wrapText="1"/>
    </xf>
  </cellXfs>
  <cellStyles count="183">
    <cellStyle name="1. jelölőszín" xfId="1" xr:uid="{00000000-0005-0000-0000-000000000000}"/>
    <cellStyle name="2. jelölőszín" xfId="2" xr:uid="{00000000-0005-0000-0000-000001000000}"/>
    <cellStyle name="20% - 1. jelölőszín" xfId="3" builtinId="30" customBuiltin="1"/>
    <cellStyle name="20% - 1. jelölőszín 2" xfId="4" xr:uid="{00000000-0005-0000-0000-000003000000}"/>
    <cellStyle name="20% - 2. jelölőszín" xfId="5" builtinId="34" customBuiltin="1"/>
    <cellStyle name="20% - 2. jelölőszín 2" xfId="6" xr:uid="{00000000-0005-0000-0000-000005000000}"/>
    <cellStyle name="20% - 3. jelölőszín" xfId="7" builtinId="38" customBuiltin="1"/>
    <cellStyle name="20% - 3. jelölőszín 2" xfId="8" xr:uid="{00000000-0005-0000-0000-000007000000}"/>
    <cellStyle name="20% - 4. jelölőszín" xfId="9" builtinId="42" customBuiltin="1"/>
    <cellStyle name="20% - 4. jelölőszín 2" xfId="10" xr:uid="{00000000-0005-0000-0000-000009000000}"/>
    <cellStyle name="20% - 5. jelölőszín" xfId="11" builtinId="46" customBuiltin="1"/>
    <cellStyle name="20% - 5. jelölőszín 2" xfId="12" xr:uid="{00000000-0005-0000-0000-00000B000000}"/>
    <cellStyle name="20% - 6. jelölőszín" xfId="13" builtinId="50" customBuiltin="1"/>
    <cellStyle name="20% - 6. jelölőszín 2" xfId="14" xr:uid="{00000000-0005-0000-0000-00000D000000}"/>
    <cellStyle name="20% - Accent1" xfId="15" xr:uid="{00000000-0005-0000-0000-00000E000000}"/>
    <cellStyle name="20% - Accent2" xfId="16" xr:uid="{00000000-0005-0000-0000-00000F000000}"/>
    <cellStyle name="20% - Accent3" xfId="17" xr:uid="{00000000-0005-0000-0000-000010000000}"/>
    <cellStyle name="20% - Accent4" xfId="18" xr:uid="{00000000-0005-0000-0000-000011000000}"/>
    <cellStyle name="20% - Accent5" xfId="19" xr:uid="{00000000-0005-0000-0000-000012000000}"/>
    <cellStyle name="20% - Accent6" xfId="20" xr:uid="{00000000-0005-0000-0000-000013000000}"/>
    <cellStyle name="3. jelölőszín" xfId="21" xr:uid="{00000000-0005-0000-0000-000014000000}"/>
    <cellStyle name="4. jelölőszín" xfId="22" xr:uid="{00000000-0005-0000-0000-000015000000}"/>
    <cellStyle name="40% - 1. jelölőszín" xfId="23" builtinId="31" customBuiltin="1"/>
    <cellStyle name="40% - 1. jelölőszín 2" xfId="24" xr:uid="{00000000-0005-0000-0000-000017000000}"/>
    <cellStyle name="40% - 2. jelölőszín" xfId="25" builtinId="35" customBuiltin="1"/>
    <cellStyle name="40% - 2. jelölőszín 2" xfId="26" xr:uid="{00000000-0005-0000-0000-000019000000}"/>
    <cellStyle name="40% - 3. jelölőszín" xfId="27" builtinId="39" customBuiltin="1"/>
    <cellStyle name="40% - 3. jelölőszín 2" xfId="28" xr:uid="{00000000-0005-0000-0000-00001B000000}"/>
    <cellStyle name="40% - 4. jelölőszín" xfId="29" builtinId="43" customBuiltin="1"/>
    <cellStyle name="40% - 4. jelölőszín 2" xfId="30" xr:uid="{00000000-0005-0000-0000-00001D000000}"/>
    <cellStyle name="40% - 5. jelölőszín" xfId="31" builtinId="47" customBuiltin="1"/>
    <cellStyle name="40% - 5. jelölőszín 2" xfId="32" xr:uid="{00000000-0005-0000-0000-00001F000000}"/>
    <cellStyle name="40% - 6. jelölőszín" xfId="33" builtinId="51" customBuiltin="1"/>
    <cellStyle name="40% - 6. jelölőszín 2" xfId="34" xr:uid="{00000000-0005-0000-0000-000021000000}"/>
    <cellStyle name="40% - Accent1" xfId="35" xr:uid="{00000000-0005-0000-0000-000022000000}"/>
    <cellStyle name="40% - Accent2" xfId="36" xr:uid="{00000000-0005-0000-0000-000023000000}"/>
    <cellStyle name="40% - Accent3" xfId="37" xr:uid="{00000000-0005-0000-0000-000024000000}"/>
    <cellStyle name="40% - Accent4" xfId="38" xr:uid="{00000000-0005-0000-0000-000025000000}"/>
    <cellStyle name="40% - Accent5" xfId="39" xr:uid="{00000000-0005-0000-0000-000026000000}"/>
    <cellStyle name="40% - Accent6" xfId="40" xr:uid="{00000000-0005-0000-0000-000027000000}"/>
    <cellStyle name="5. jelölőszín" xfId="41" xr:uid="{00000000-0005-0000-0000-000028000000}"/>
    <cellStyle name="6. jelölőszín" xfId="42" xr:uid="{00000000-0005-0000-0000-000029000000}"/>
    <cellStyle name="60% - 1. jelölőszín" xfId="43" builtinId="32" customBuiltin="1"/>
    <cellStyle name="60% - 1. jelölőszín 2" xfId="44" xr:uid="{00000000-0005-0000-0000-00002B000000}"/>
    <cellStyle name="60% - 2. jelölőszín" xfId="45" builtinId="36" customBuiltin="1"/>
    <cellStyle name="60% - 2. jelölőszín 2" xfId="46" xr:uid="{00000000-0005-0000-0000-00002D000000}"/>
    <cellStyle name="60% - 3. jelölőszín" xfId="47" builtinId="40" customBuiltin="1"/>
    <cellStyle name="60% - 3. jelölőszín 2" xfId="48" xr:uid="{00000000-0005-0000-0000-00002F000000}"/>
    <cellStyle name="60% - 4. jelölőszín" xfId="49" builtinId="44" customBuiltin="1"/>
    <cellStyle name="60% - 4. jelölőszín 2" xfId="50" xr:uid="{00000000-0005-0000-0000-000031000000}"/>
    <cellStyle name="60% - 5. jelölőszín" xfId="51" builtinId="48" customBuiltin="1"/>
    <cellStyle name="60% - 5. jelölőszín 2" xfId="52" xr:uid="{00000000-0005-0000-0000-000033000000}"/>
    <cellStyle name="60% - 6. jelölőszín" xfId="53" builtinId="52" customBuiltin="1"/>
    <cellStyle name="60% - 6. jelölőszín 2" xfId="54" xr:uid="{00000000-0005-0000-0000-000035000000}"/>
    <cellStyle name="60% - Accent1" xfId="55" xr:uid="{00000000-0005-0000-0000-000036000000}"/>
    <cellStyle name="60% - Accent2" xfId="56" xr:uid="{00000000-0005-0000-0000-000037000000}"/>
    <cellStyle name="60% - Accent3" xfId="57" xr:uid="{00000000-0005-0000-0000-000038000000}"/>
    <cellStyle name="60% - Accent4" xfId="58" xr:uid="{00000000-0005-0000-0000-000039000000}"/>
    <cellStyle name="60% - Accent5" xfId="59" xr:uid="{00000000-0005-0000-0000-00003A000000}"/>
    <cellStyle name="60% - Accent6" xfId="60" xr:uid="{00000000-0005-0000-0000-00003B000000}"/>
    <cellStyle name="Accent1" xfId="61" xr:uid="{00000000-0005-0000-0000-00003C000000}"/>
    <cellStyle name="Accent2" xfId="62" xr:uid="{00000000-0005-0000-0000-00003D000000}"/>
    <cellStyle name="Accent3" xfId="63" xr:uid="{00000000-0005-0000-0000-00003E000000}"/>
    <cellStyle name="Accent4" xfId="64" xr:uid="{00000000-0005-0000-0000-00003F000000}"/>
    <cellStyle name="Accent5" xfId="65" xr:uid="{00000000-0005-0000-0000-000040000000}"/>
    <cellStyle name="Accent6" xfId="66" xr:uid="{00000000-0005-0000-0000-000041000000}"/>
    <cellStyle name="Bad" xfId="67" xr:uid="{00000000-0005-0000-0000-000042000000}"/>
    <cellStyle name="Bevitel" xfId="68" builtinId="20" customBuiltin="1"/>
    <cellStyle name="Bevitel 2" xfId="69" xr:uid="{00000000-0005-0000-0000-000044000000}"/>
    <cellStyle name="Calculation" xfId="70" xr:uid="{00000000-0005-0000-0000-000045000000}"/>
    <cellStyle name="Check Cell" xfId="71" xr:uid="{00000000-0005-0000-0000-000046000000}"/>
    <cellStyle name="Cím" xfId="72" builtinId="15" customBuiltin="1"/>
    <cellStyle name="Címsor 1" xfId="73" builtinId="16" customBuiltin="1"/>
    <cellStyle name="Címsor 1 2" xfId="74" xr:uid="{00000000-0005-0000-0000-000049000000}"/>
    <cellStyle name="Címsor 2" xfId="75" builtinId="17" customBuiltin="1"/>
    <cellStyle name="Címsor 2 2" xfId="76" xr:uid="{00000000-0005-0000-0000-00004B000000}"/>
    <cellStyle name="Címsor 3" xfId="77" builtinId="18" customBuiltin="1"/>
    <cellStyle name="Címsor 3 2" xfId="78" xr:uid="{00000000-0005-0000-0000-00004D000000}"/>
    <cellStyle name="Címsor 4" xfId="79" builtinId="19" customBuiltin="1"/>
    <cellStyle name="Címsor 4 2" xfId="80" xr:uid="{00000000-0005-0000-0000-00004F000000}"/>
    <cellStyle name="Ellenőrzőcella" xfId="81" builtinId="23" customBuiltin="1"/>
    <cellStyle name="Ellenőrzőcella 2" xfId="82" xr:uid="{00000000-0005-0000-0000-000051000000}"/>
    <cellStyle name="Explanatory Text" xfId="83" xr:uid="{00000000-0005-0000-0000-000052000000}"/>
    <cellStyle name="Ezres" xfId="84" builtinId="3"/>
    <cellStyle name="Ezres 2" xfId="85" xr:uid="{00000000-0005-0000-0000-000054000000}"/>
    <cellStyle name="Ezres 3" xfId="157" xr:uid="{00000000-0005-0000-0000-000055000000}"/>
    <cellStyle name="Ezres 3 2" xfId="182" xr:uid="{00000000-0005-0000-0000-000056000000}"/>
    <cellStyle name="Figyelmeztetés" xfId="86" builtinId="11" customBuiltin="1"/>
    <cellStyle name="Figyelmeztetés 2" xfId="87" xr:uid="{00000000-0005-0000-0000-000058000000}"/>
    <cellStyle name="Good" xfId="88" xr:uid="{00000000-0005-0000-0000-000059000000}"/>
    <cellStyle name="Heading 1" xfId="89" xr:uid="{00000000-0005-0000-0000-00005A000000}"/>
    <cellStyle name="Heading 2" xfId="90" xr:uid="{00000000-0005-0000-0000-00005B000000}"/>
    <cellStyle name="Heading 3" xfId="91" xr:uid="{00000000-0005-0000-0000-00005C000000}"/>
    <cellStyle name="Heading 4" xfId="92" xr:uid="{00000000-0005-0000-0000-00005D000000}"/>
    <cellStyle name="Hivatkozott cella" xfId="93" builtinId="24" customBuiltin="1"/>
    <cellStyle name="Hivatkozott cella 2" xfId="94" xr:uid="{00000000-0005-0000-0000-00005F000000}"/>
    <cellStyle name="Input" xfId="95" xr:uid="{00000000-0005-0000-0000-000060000000}"/>
    <cellStyle name="Jegyzet" xfId="96" builtinId="10" customBuiltin="1"/>
    <cellStyle name="Jegyzet 2" xfId="97" xr:uid="{00000000-0005-0000-0000-000062000000}"/>
    <cellStyle name="Jelölőszín (1)" xfId="98" xr:uid="{00000000-0005-0000-0000-000063000000}"/>
    <cellStyle name="Jelölőszín (1) 2" xfId="99" xr:uid="{00000000-0005-0000-0000-000064000000}"/>
    <cellStyle name="Jelölőszín (2)" xfId="100" xr:uid="{00000000-0005-0000-0000-000065000000}"/>
    <cellStyle name="Jelölőszín (2) 2" xfId="101" xr:uid="{00000000-0005-0000-0000-000066000000}"/>
    <cellStyle name="Jelölőszín (3)" xfId="102" xr:uid="{00000000-0005-0000-0000-000067000000}"/>
    <cellStyle name="Jelölőszín (3) 2" xfId="103" xr:uid="{00000000-0005-0000-0000-000068000000}"/>
    <cellStyle name="Jelölőszín (4)" xfId="104" xr:uid="{00000000-0005-0000-0000-000069000000}"/>
    <cellStyle name="Jelölőszín (4) 2" xfId="105" xr:uid="{00000000-0005-0000-0000-00006A000000}"/>
    <cellStyle name="Jelölőszín (5)" xfId="106" xr:uid="{00000000-0005-0000-0000-00006B000000}"/>
    <cellStyle name="Jelölőszín (5) 2" xfId="107" xr:uid="{00000000-0005-0000-0000-00006C000000}"/>
    <cellStyle name="Jelölőszín (6)" xfId="108" xr:uid="{00000000-0005-0000-0000-00006D000000}"/>
    <cellStyle name="Jelölőszín (6) 2" xfId="109" xr:uid="{00000000-0005-0000-0000-00006E000000}"/>
    <cellStyle name="Jelölőszín 1" xfId="110" xr:uid="{00000000-0005-0000-0000-00006F000000}"/>
    <cellStyle name="Jelölőszín 2" xfId="111" xr:uid="{00000000-0005-0000-0000-000070000000}"/>
    <cellStyle name="Jelölőszín 3" xfId="112" xr:uid="{00000000-0005-0000-0000-000071000000}"/>
    <cellStyle name="Jelölőszín 4" xfId="113" xr:uid="{00000000-0005-0000-0000-000072000000}"/>
    <cellStyle name="Jelölőszín 5" xfId="114" xr:uid="{00000000-0005-0000-0000-000073000000}"/>
    <cellStyle name="Jelölőszín 6" xfId="115" xr:uid="{00000000-0005-0000-0000-000074000000}"/>
    <cellStyle name="Jó" xfId="116" builtinId="26" customBuiltin="1"/>
    <cellStyle name="Jó 2" xfId="117" xr:uid="{00000000-0005-0000-0000-000076000000}"/>
    <cellStyle name="Kimenet" xfId="118" builtinId="21" customBuiltin="1"/>
    <cellStyle name="Kimenet 2" xfId="119" xr:uid="{00000000-0005-0000-0000-000078000000}"/>
    <cellStyle name="Linked Cell" xfId="120" xr:uid="{00000000-0005-0000-0000-000079000000}"/>
    <cellStyle name="Magyarázó szöveg" xfId="121" builtinId="53" customBuiltin="1"/>
    <cellStyle name="Magyarázó szöveg 2" xfId="122" xr:uid="{00000000-0005-0000-0000-00007B000000}"/>
    <cellStyle name="Neutral" xfId="123" xr:uid="{00000000-0005-0000-0000-00007C000000}"/>
    <cellStyle name="Normál" xfId="0" builtinId="0"/>
    <cellStyle name="Normál 2" xfId="124" xr:uid="{00000000-0005-0000-0000-00007E000000}"/>
    <cellStyle name="Normál 3" xfId="125" xr:uid="{00000000-0005-0000-0000-00007F000000}"/>
    <cellStyle name="Normál 4" xfId="126" xr:uid="{00000000-0005-0000-0000-000080000000}"/>
    <cellStyle name="Normál 5" xfId="156" xr:uid="{00000000-0005-0000-0000-000081000000}"/>
    <cellStyle name="Normál 5 2" xfId="181" xr:uid="{00000000-0005-0000-0000-000082000000}"/>
    <cellStyle name="Normál_   5    (2)" xfId="127" xr:uid="{00000000-0005-0000-0000-000083000000}"/>
    <cellStyle name="Normál_   5    (2)_KÖLTSÉGVETÉS 2015 intézmények " xfId="128" xr:uid="{00000000-0005-0000-0000-000084000000}"/>
    <cellStyle name="Normál_   5-a    (2)" xfId="158" xr:uid="{00000000-0005-0000-0000-000085000000}"/>
    <cellStyle name="Normál_   7   x" xfId="129" xr:uid="{00000000-0005-0000-0000-000086000000}"/>
    <cellStyle name="Normál_   7   x_2012. III.negyedévi ei. módosítás" xfId="163" xr:uid="{00000000-0005-0000-0000-000087000000}"/>
    <cellStyle name="Normál_   7   x_2012. III.negyedévi ei. módosítás_Intézményi táblák" xfId="130" xr:uid="{00000000-0005-0000-0000-000088000000}"/>
    <cellStyle name="Normál_   7   x_2014_ktsv tervezet_btcs_6.a" xfId="175" xr:uid="{00000000-0005-0000-0000-000089000000}"/>
    <cellStyle name="Normál_   7   x_7_6.a" xfId="178" xr:uid="{00000000-0005-0000-0000-00008A000000}"/>
    <cellStyle name="Normál_   7   x_Másolat eredetije2014. műk-beru-felúj. 2" xfId="131" xr:uid="{00000000-0005-0000-0000-00008B000000}"/>
    <cellStyle name="Normál_   7   x_Másolat eredetije2014. műk-beru-felúj._6.a" xfId="165" xr:uid="{00000000-0005-0000-0000-00008C000000}"/>
    <cellStyle name="Normál_  3   _2010.évi állami_állami  tám." xfId="155" xr:uid="{00000000-0005-0000-0000-00008D000000}"/>
    <cellStyle name="Normál_2001.évi költségvkoncepció" xfId="169" xr:uid="{00000000-0005-0000-0000-00008E000000}"/>
    <cellStyle name="Normál_2012. évi beszámoló 5.a 6a" xfId="167" xr:uid="{00000000-0005-0000-0000-00008F000000}"/>
    <cellStyle name="Normál_2016.egyénikerigények" xfId="172" xr:uid="{00000000-0005-0000-0000-000090000000}"/>
    <cellStyle name="Normál_213_évi_költségvetés_MCS" xfId="161" xr:uid="{00000000-0005-0000-0000-000091000000}"/>
    <cellStyle name="Normál_213_évi_költségvetés_MCS_2016. IV.névi módosítás" xfId="168" xr:uid="{00000000-0005-0000-0000-000092000000}"/>
    <cellStyle name="Normál_3" xfId="166" xr:uid="{00000000-0005-0000-0000-000093000000}"/>
    <cellStyle name="Normál_eredeti biz.után" xfId="164" xr:uid="{00000000-0005-0000-0000-000094000000}"/>
    <cellStyle name="Normál_Infrastukturális fejlesztések Zalaegerszegen" xfId="177" xr:uid="{00000000-0005-0000-0000-000095000000}"/>
    <cellStyle name="Normál_Intézmények 2014" xfId="132" xr:uid="{00000000-0005-0000-0000-000096000000}"/>
    <cellStyle name="Normál_INTKIA96" xfId="133" xr:uid="{00000000-0005-0000-0000-000097000000}"/>
    <cellStyle name="Normál_Létszám 2014. évi ktgvetés_2014.IV.negyedévi létszám ei. módosítás és 2015_Létszámok 2019. január 1" xfId="134" xr:uid="{00000000-0005-0000-0000-000098000000}"/>
    <cellStyle name="Normál_Létszámelőirányzat  2018_Létszámok 2019. január 1" xfId="135" xr:uid="{00000000-0005-0000-0000-000099000000}"/>
    <cellStyle name="Normál_Másolat eredetije2014. műk-beru-felúj." xfId="173" xr:uid="{00000000-0005-0000-0000-00009A000000}"/>
    <cellStyle name="Normál_Munka1" xfId="136" xr:uid="{00000000-0005-0000-0000-00009B000000}"/>
    <cellStyle name="Normál_Munka2 (2)" xfId="137" xr:uid="{00000000-0005-0000-0000-00009C000000}"/>
    <cellStyle name="Normál_Munka2 (2) 2" xfId="180" xr:uid="{00000000-0005-0000-0000-00009D000000}"/>
    <cellStyle name="Normál_Munka2 (2)_2014.IV.negyedévi létszám ei. módosítás és 2015" xfId="138" xr:uid="{00000000-0005-0000-0000-00009E000000}"/>
    <cellStyle name="Normál_Munka2 (2)_KÖLTSÉGVETÉS 2015 intézmények " xfId="139" xr:uid="{00000000-0005-0000-0000-00009F000000}"/>
    <cellStyle name="Normál_Munka2 (2)_KÖLTSÉGVETÉS_2015." xfId="160" xr:uid="{00000000-0005-0000-0000-0000A0000000}"/>
    <cellStyle name="Normál_Munka3 (2)" xfId="159" xr:uid="{00000000-0005-0000-0000-0000A1000000}"/>
    <cellStyle name="Normál_Munka3 (2)_Másolat eredetije2014. műk-beru-felúj." xfId="162" xr:uid="{00000000-0005-0000-0000-0000A2000000}"/>
    <cellStyle name="Normál_Munka3 (2)_Másolat eredetije2014. műk-beru-felúj._2016. IV.névi módosítás" xfId="170" xr:uid="{00000000-0005-0000-0000-0000A3000000}"/>
    <cellStyle name="Normál_Munka3 (2)_Másolat eredetije2014. műk-beru-felúj._2017.KÖLTSÉGVETÉS" xfId="179" xr:uid="{00000000-0005-0000-0000-0000A4000000}"/>
    <cellStyle name="Normál_Munka3 (2)_Másolat eredetije2014. műk-beru-felúj._2018. I.névi ei-módosítás" xfId="174" xr:uid="{00000000-0005-0000-0000-0000A5000000}"/>
    <cellStyle name="Normál_Munka3 (2)_Másolat eredetije2014. műk-beru-felúj._6.a" xfId="176" xr:uid="{00000000-0005-0000-0000-0000A6000000}"/>
    <cellStyle name="Normál_Műszaki Osztály fejlesztés2016" xfId="171" xr:uid="{00000000-0005-0000-0000-0000A7000000}"/>
    <cellStyle name="Normál_ÖKIADELÖ" xfId="140" xr:uid="{00000000-0005-0000-0000-0000A8000000}"/>
    <cellStyle name="Normal_tanusitv" xfId="141" xr:uid="{00000000-0005-0000-0000-0000A9000000}"/>
    <cellStyle name="Note" xfId="142" xr:uid="{00000000-0005-0000-0000-0000AA000000}"/>
    <cellStyle name="Output" xfId="143" xr:uid="{00000000-0005-0000-0000-0000AB000000}"/>
    <cellStyle name="Összesen" xfId="144" builtinId="25" customBuiltin="1"/>
    <cellStyle name="Összesen 2" xfId="145" xr:uid="{00000000-0005-0000-0000-0000AD000000}"/>
    <cellStyle name="Rossz" xfId="146" builtinId="27" customBuiltin="1"/>
    <cellStyle name="Rossz 2" xfId="147" xr:uid="{00000000-0005-0000-0000-0000AF000000}"/>
    <cellStyle name="Semleges" xfId="148" builtinId="28" customBuiltin="1"/>
    <cellStyle name="Semleges 2" xfId="149" xr:uid="{00000000-0005-0000-0000-0000B1000000}"/>
    <cellStyle name="Számítás" xfId="150" builtinId="22" customBuiltin="1"/>
    <cellStyle name="Számítás 2" xfId="151" xr:uid="{00000000-0005-0000-0000-0000B3000000}"/>
    <cellStyle name="Title" xfId="152" xr:uid="{00000000-0005-0000-0000-0000B4000000}"/>
    <cellStyle name="Total" xfId="153" xr:uid="{00000000-0005-0000-0000-0000B5000000}"/>
    <cellStyle name="Warning Text" xfId="154" xr:uid="{00000000-0005-0000-0000-0000B6000000}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workbookViewId="0">
      <selection activeCell="I6" sqref="I6:I7"/>
    </sheetView>
  </sheetViews>
  <sheetFormatPr defaultRowHeight="12" x14ac:dyDescent="0.2"/>
  <cols>
    <col min="1" max="1" width="45.1640625" style="21" customWidth="1"/>
    <col min="2" max="2" width="13" style="21" customWidth="1"/>
    <col min="3" max="3" width="13.6640625" style="21" customWidth="1"/>
    <col min="4" max="4" width="12.6640625" style="1" customWidth="1"/>
    <col min="5" max="5" width="2" style="18" customWidth="1"/>
    <col min="6" max="6" width="44.83203125" style="21" customWidth="1"/>
    <col min="7" max="7" width="14.1640625" style="21" customWidth="1"/>
    <col min="8" max="8" width="13.83203125" style="21" customWidth="1"/>
    <col min="9" max="9" width="12.5" style="1" customWidth="1"/>
    <col min="10" max="16384" width="9.33203125" style="19"/>
  </cols>
  <sheetData>
    <row r="1" spans="1:9" s="16" customFormat="1" ht="39.950000000000003" customHeight="1" thickBot="1" x14ac:dyDescent="0.25">
      <c r="A1" s="32"/>
      <c r="B1" s="34" t="s">
        <v>330</v>
      </c>
      <c r="C1" s="33" t="s">
        <v>1383</v>
      </c>
      <c r="D1" s="34" t="s">
        <v>1406</v>
      </c>
      <c r="E1" s="35"/>
      <c r="F1" s="32" t="s">
        <v>176</v>
      </c>
      <c r="G1" s="34" t="s">
        <v>330</v>
      </c>
      <c r="H1" s="33" t="s">
        <v>1383</v>
      </c>
      <c r="I1" s="34" t="s">
        <v>1406</v>
      </c>
    </row>
    <row r="2" spans="1:9" s="17" customFormat="1" ht="12.95" customHeight="1" x14ac:dyDescent="0.2">
      <c r="A2" s="36" t="s">
        <v>228</v>
      </c>
      <c r="B2" s="14"/>
      <c r="C2" s="37"/>
      <c r="D2" s="14"/>
      <c r="E2" s="38"/>
      <c r="F2" s="36" t="s">
        <v>229</v>
      </c>
      <c r="G2" s="13"/>
      <c r="H2" s="36"/>
      <c r="I2" s="13"/>
    </row>
    <row r="3" spans="1:9" ht="24.95" customHeight="1" x14ac:dyDescent="0.2">
      <c r="A3" s="39" t="s">
        <v>99</v>
      </c>
      <c r="B3" s="12">
        <v>3919491</v>
      </c>
      <c r="C3" s="39">
        <v>910420</v>
      </c>
      <c r="D3" s="12">
        <f t="shared" ref="D3:D27" si="0">SUM(B3:C3)</f>
        <v>4829911</v>
      </c>
      <c r="E3" s="40"/>
      <c r="F3" s="39" t="s">
        <v>260</v>
      </c>
      <c r="G3" s="12">
        <v>7648348</v>
      </c>
      <c r="H3" s="39">
        <v>309673</v>
      </c>
      <c r="I3" s="12">
        <f t="shared" ref="I3:I27" si="1">SUM(G3:H3)</f>
        <v>7958021</v>
      </c>
    </row>
    <row r="4" spans="1:9" ht="15" customHeight="1" x14ac:dyDescent="0.2">
      <c r="A4" s="39" t="s">
        <v>101</v>
      </c>
      <c r="B4" s="10">
        <v>6095000</v>
      </c>
      <c r="C4" s="39">
        <v>-288000</v>
      </c>
      <c r="D4" s="12">
        <f t="shared" si="0"/>
        <v>5807000</v>
      </c>
      <c r="E4" s="40"/>
      <c r="F4" s="41" t="s">
        <v>212</v>
      </c>
      <c r="G4" s="12">
        <v>9292643</v>
      </c>
      <c r="H4" s="39">
        <v>93446</v>
      </c>
      <c r="I4" s="12">
        <f t="shared" si="1"/>
        <v>9386089</v>
      </c>
    </row>
    <row r="5" spans="1:9" ht="22.5" customHeight="1" x14ac:dyDescent="0.2">
      <c r="A5" s="39" t="s">
        <v>102</v>
      </c>
      <c r="B5" s="10">
        <v>2592248</v>
      </c>
      <c r="C5" s="39">
        <v>-17041</v>
      </c>
      <c r="D5" s="12">
        <f t="shared" si="0"/>
        <v>2575207</v>
      </c>
      <c r="E5" s="40"/>
      <c r="F5" s="39" t="s">
        <v>168</v>
      </c>
      <c r="G5" s="12">
        <v>1905046</v>
      </c>
      <c r="H5" s="39">
        <v>397323</v>
      </c>
      <c r="I5" s="12">
        <f t="shared" si="1"/>
        <v>2302369</v>
      </c>
    </row>
    <row r="6" spans="1:9" ht="20.100000000000001" customHeight="1" x14ac:dyDescent="0.2">
      <c r="A6" s="39" t="s">
        <v>105</v>
      </c>
      <c r="B6" s="10"/>
      <c r="C6" s="39">
        <v>24678</v>
      </c>
      <c r="D6" s="12">
        <f t="shared" si="0"/>
        <v>24678</v>
      </c>
      <c r="E6" s="40"/>
      <c r="F6" s="39" t="s">
        <v>230</v>
      </c>
      <c r="G6" s="10">
        <v>349620</v>
      </c>
      <c r="H6" s="39">
        <v>639878</v>
      </c>
      <c r="I6" s="12">
        <f t="shared" si="1"/>
        <v>989498</v>
      </c>
    </row>
    <row r="7" spans="1:9" ht="14.1" customHeight="1" x14ac:dyDescent="0.2">
      <c r="A7" s="79" t="s">
        <v>157</v>
      </c>
      <c r="B7" s="79">
        <f>SUM(B3+B4+B5+B6)</f>
        <v>12606739</v>
      </c>
      <c r="C7" s="79">
        <f>SUM(C3+C4+C5+C6)</f>
        <v>630057</v>
      </c>
      <c r="D7" s="13">
        <f t="shared" si="0"/>
        <v>13236796</v>
      </c>
      <c r="E7" s="40"/>
      <c r="F7" s="39" t="s">
        <v>14</v>
      </c>
      <c r="G7" s="12">
        <v>10000</v>
      </c>
      <c r="H7" s="39">
        <v>-7000</v>
      </c>
      <c r="I7" s="12">
        <f t="shared" si="1"/>
        <v>3000</v>
      </c>
    </row>
    <row r="8" spans="1:9" ht="14.1" customHeight="1" x14ac:dyDescent="0.2">
      <c r="A8" s="41" t="s">
        <v>97</v>
      </c>
      <c r="B8" s="79"/>
      <c r="C8" s="79"/>
      <c r="D8" s="12"/>
      <c r="E8" s="40"/>
      <c r="F8" s="79" t="s">
        <v>163</v>
      </c>
      <c r="G8" s="36">
        <f>SUM(G2:G7)</f>
        <v>19205657</v>
      </c>
      <c r="H8" s="36">
        <f>SUM(H2:H7)</f>
        <v>1433320</v>
      </c>
      <c r="I8" s="693">
        <f t="shared" si="1"/>
        <v>20638977</v>
      </c>
    </row>
    <row r="9" spans="1:9" ht="24.95" customHeight="1" x14ac:dyDescent="0.2">
      <c r="A9" s="41" t="s">
        <v>106</v>
      </c>
      <c r="B9" s="89">
        <v>6698704</v>
      </c>
      <c r="C9" s="41">
        <v>803263</v>
      </c>
      <c r="D9" s="12">
        <f t="shared" si="0"/>
        <v>7501967</v>
      </c>
      <c r="E9" s="40"/>
      <c r="F9" s="41" t="s">
        <v>174</v>
      </c>
      <c r="G9" s="39">
        <v>99786</v>
      </c>
      <c r="H9" s="39"/>
      <c r="I9" s="12">
        <f t="shared" si="1"/>
        <v>99786</v>
      </c>
    </row>
    <row r="10" spans="1:9" s="17" customFormat="1" ht="24.95" customHeight="1" x14ac:dyDescent="0.2">
      <c r="A10" s="41" t="s">
        <v>28</v>
      </c>
      <c r="B10" s="588"/>
      <c r="C10" s="135">
        <v>1519</v>
      </c>
      <c r="D10" s="12">
        <f t="shared" si="0"/>
        <v>1519</v>
      </c>
      <c r="E10" s="40"/>
      <c r="F10" s="41" t="s">
        <v>6</v>
      </c>
      <c r="G10" s="12"/>
      <c r="H10" s="39">
        <v>1519</v>
      </c>
      <c r="I10" s="12">
        <f t="shared" si="1"/>
        <v>1519</v>
      </c>
    </row>
    <row r="11" spans="1:9" s="17" customFormat="1" ht="12" customHeight="1" x14ac:dyDescent="0.2">
      <c r="A11" s="45" t="s">
        <v>172</v>
      </c>
      <c r="B11" s="589">
        <f>SUM(B7:B10)</f>
        <v>19305443</v>
      </c>
      <c r="C11" s="589">
        <f>SUM(C7:C10)</f>
        <v>1434839</v>
      </c>
      <c r="D11" s="692">
        <f t="shared" si="0"/>
        <v>20740282</v>
      </c>
      <c r="E11" s="40"/>
      <c r="F11" s="42" t="s">
        <v>231</v>
      </c>
      <c r="G11" s="42">
        <f>SUM(G8:G9)</f>
        <v>19305443</v>
      </c>
      <c r="H11" s="42">
        <f>SUM(H8:H10)</f>
        <v>1434839</v>
      </c>
      <c r="I11" s="692">
        <f t="shared" si="1"/>
        <v>20740282</v>
      </c>
    </row>
    <row r="12" spans="1:9" ht="14.1" customHeight="1" x14ac:dyDescent="0.2">
      <c r="A12" s="36" t="s">
        <v>146</v>
      </c>
      <c r="B12" s="10"/>
      <c r="C12" s="36"/>
      <c r="D12" s="12"/>
      <c r="E12" s="40"/>
      <c r="F12" s="36" t="s">
        <v>145</v>
      </c>
      <c r="G12" s="79"/>
      <c r="H12" s="36"/>
      <c r="I12" s="12"/>
    </row>
    <row r="13" spans="1:9" ht="24" customHeight="1" x14ac:dyDescent="0.2">
      <c r="A13" s="39" t="s">
        <v>100</v>
      </c>
      <c r="B13" s="10">
        <v>9335556</v>
      </c>
      <c r="C13" s="39">
        <v>436530</v>
      </c>
      <c r="D13" s="12">
        <f t="shared" si="0"/>
        <v>9772086</v>
      </c>
      <c r="E13" s="40"/>
      <c r="F13" s="39" t="s">
        <v>107</v>
      </c>
      <c r="G13" s="39">
        <v>102329</v>
      </c>
      <c r="H13" s="39">
        <v>134105</v>
      </c>
      <c r="I13" s="12">
        <f t="shared" si="1"/>
        <v>236434</v>
      </c>
    </row>
    <row r="14" spans="1:9" ht="20.100000000000001" customHeight="1" x14ac:dyDescent="0.2">
      <c r="A14" s="39" t="s">
        <v>101</v>
      </c>
      <c r="B14" s="10"/>
      <c r="C14" s="39"/>
      <c r="D14" s="12">
        <f t="shared" si="0"/>
        <v>0</v>
      </c>
      <c r="E14" s="40"/>
      <c r="F14" s="39" t="s">
        <v>147</v>
      </c>
      <c r="G14" s="10">
        <v>27267279</v>
      </c>
      <c r="H14" s="39">
        <v>427073</v>
      </c>
      <c r="I14" s="12">
        <f t="shared" si="1"/>
        <v>27694352</v>
      </c>
    </row>
    <row r="15" spans="1:9" ht="15" customHeight="1" x14ac:dyDescent="0.2">
      <c r="A15" s="39" t="s">
        <v>103</v>
      </c>
      <c r="B15" s="89">
        <v>76000</v>
      </c>
      <c r="C15" s="39">
        <v>9194</v>
      </c>
      <c r="D15" s="12">
        <f t="shared" si="0"/>
        <v>85194</v>
      </c>
      <c r="E15" s="40"/>
      <c r="F15" s="39" t="s">
        <v>20</v>
      </c>
      <c r="G15" s="89">
        <v>163545</v>
      </c>
      <c r="H15" s="39">
        <v>45262</v>
      </c>
      <c r="I15" s="12">
        <f t="shared" si="1"/>
        <v>208807</v>
      </c>
    </row>
    <row r="16" spans="1:9" ht="24.95" customHeight="1" x14ac:dyDescent="0.2">
      <c r="A16" s="39" t="s">
        <v>104</v>
      </c>
      <c r="B16" s="89">
        <v>3000</v>
      </c>
      <c r="C16" s="39">
        <v>2650</v>
      </c>
      <c r="D16" s="12">
        <f t="shared" si="0"/>
        <v>5650</v>
      </c>
      <c r="E16" s="40"/>
      <c r="F16" s="39" t="s">
        <v>148</v>
      </c>
      <c r="G16" s="10">
        <v>5389562</v>
      </c>
      <c r="H16" s="39">
        <v>-13775</v>
      </c>
      <c r="I16" s="12">
        <f t="shared" si="1"/>
        <v>5375787</v>
      </c>
    </row>
    <row r="17" spans="1:9" ht="24" customHeight="1" x14ac:dyDescent="0.2">
      <c r="A17" s="39" t="s">
        <v>17</v>
      </c>
      <c r="B17" s="89">
        <v>4439141</v>
      </c>
      <c r="C17" s="39">
        <v>109130</v>
      </c>
      <c r="D17" s="12">
        <f t="shared" si="0"/>
        <v>4548271</v>
      </c>
      <c r="E17" s="38"/>
      <c r="F17" s="39" t="s">
        <v>20</v>
      </c>
      <c r="G17" s="12">
        <v>44126</v>
      </c>
      <c r="H17" s="39">
        <v>10160</v>
      </c>
      <c r="I17" s="12">
        <f t="shared" si="1"/>
        <v>54286</v>
      </c>
    </row>
    <row r="18" spans="1:9" ht="12.95" customHeight="1" x14ac:dyDescent="0.2">
      <c r="A18" s="79" t="s">
        <v>160</v>
      </c>
      <c r="B18" s="79">
        <f>SUM(B12:B17)</f>
        <v>13853697</v>
      </c>
      <c r="C18" s="36">
        <f>SUM(C12:C17)</f>
        <v>557504</v>
      </c>
      <c r="D18" s="12">
        <f t="shared" si="0"/>
        <v>14411201</v>
      </c>
      <c r="E18" s="38"/>
      <c r="F18" s="39" t="s">
        <v>149</v>
      </c>
      <c r="G18" s="12">
        <v>18920</v>
      </c>
      <c r="H18" s="39">
        <v>-314</v>
      </c>
      <c r="I18" s="12">
        <f t="shared" si="1"/>
        <v>18606</v>
      </c>
    </row>
    <row r="19" spans="1:9" ht="24" customHeight="1" x14ac:dyDescent="0.2">
      <c r="A19" s="41" t="s">
        <v>97</v>
      </c>
      <c r="B19" s="79"/>
      <c r="C19" s="36"/>
      <c r="D19" s="12"/>
      <c r="E19" s="40"/>
      <c r="F19" s="39" t="s">
        <v>109</v>
      </c>
      <c r="G19" s="12">
        <v>25467</v>
      </c>
      <c r="H19" s="39"/>
      <c r="I19" s="12">
        <f t="shared" si="1"/>
        <v>25467</v>
      </c>
    </row>
    <row r="20" spans="1:9" ht="12.95" customHeight="1" x14ac:dyDescent="0.2">
      <c r="A20" s="41" t="s">
        <v>169</v>
      </c>
      <c r="B20" s="41">
        <v>150000</v>
      </c>
      <c r="C20" s="39"/>
      <c r="D20" s="12">
        <f t="shared" si="0"/>
        <v>150000</v>
      </c>
      <c r="E20" s="40"/>
      <c r="F20" s="79" t="s">
        <v>161</v>
      </c>
      <c r="G20" s="36">
        <f>SUM(G13+G14+G16+G18+G19)</f>
        <v>32803557</v>
      </c>
      <c r="H20" s="36">
        <f>SUM(H13+H14+H16+H18+H19)</f>
        <v>547089</v>
      </c>
      <c r="I20" s="13">
        <f t="shared" si="1"/>
        <v>33350646</v>
      </c>
    </row>
    <row r="21" spans="1:9" ht="24.95" customHeight="1" x14ac:dyDescent="0.2">
      <c r="A21" s="41" t="s">
        <v>170</v>
      </c>
      <c r="B21" s="89">
        <v>10241337</v>
      </c>
      <c r="C21" s="41">
        <v>-455877</v>
      </c>
      <c r="D21" s="12">
        <f t="shared" si="0"/>
        <v>9785460</v>
      </c>
      <c r="E21" s="40"/>
      <c r="F21" s="41" t="s">
        <v>108</v>
      </c>
      <c r="G21" s="12"/>
      <c r="H21" s="36"/>
      <c r="I21" s="12"/>
    </row>
    <row r="22" spans="1:9" ht="12.95" customHeight="1" x14ac:dyDescent="0.2">
      <c r="A22" s="141" t="s">
        <v>264</v>
      </c>
      <c r="B22" s="41">
        <v>8687575</v>
      </c>
      <c r="C22" s="39">
        <v>432769</v>
      </c>
      <c r="D22" s="12">
        <f t="shared" si="0"/>
        <v>9120344</v>
      </c>
      <c r="E22" s="40"/>
      <c r="F22" s="41" t="s">
        <v>155</v>
      </c>
      <c r="G22" s="12">
        <v>104052</v>
      </c>
      <c r="H22" s="41"/>
      <c r="I22" s="12">
        <f t="shared" si="1"/>
        <v>104052</v>
      </c>
    </row>
    <row r="23" spans="1:9" ht="12.95" customHeight="1" x14ac:dyDescent="0.2">
      <c r="A23" s="41"/>
      <c r="B23" s="39"/>
      <c r="C23" s="39"/>
      <c r="D23" s="12"/>
      <c r="E23" s="40"/>
      <c r="F23" s="41" t="s">
        <v>154</v>
      </c>
      <c r="G23" s="10">
        <v>25000</v>
      </c>
      <c r="H23" s="41"/>
      <c r="I23" s="12">
        <f t="shared" si="1"/>
        <v>25000</v>
      </c>
    </row>
    <row r="24" spans="1:9" s="16" customFormat="1" ht="23.1" customHeight="1" x14ac:dyDescent="0.2">
      <c r="A24" s="768" t="s">
        <v>150</v>
      </c>
      <c r="B24" s="227">
        <f>SUM(B18:B23)</f>
        <v>32932609</v>
      </c>
      <c r="C24" s="769">
        <f>SUM(C18:C23)</f>
        <v>534396</v>
      </c>
      <c r="D24" s="766">
        <f t="shared" si="0"/>
        <v>33467005</v>
      </c>
      <c r="E24" s="38"/>
      <c r="F24" s="768" t="s">
        <v>151</v>
      </c>
      <c r="G24" s="227">
        <f>SUM(G20:G23)</f>
        <v>32932609</v>
      </c>
      <c r="H24" s="769">
        <f>SUM(H20:H23)</f>
        <v>547089</v>
      </c>
      <c r="I24" s="766">
        <f t="shared" si="1"/>
        <v>33479698</v>
      </c>
    </row>
    <row r="25" spans="1:9" s="16" customFormat="1" ht="23.1" customHeight="1" x14ac:dyDescent="0.2">
      <c r="A25" s="768" t="s">
        <v>259</v>
      </c>
      <c r="B25" s="227">
        <f>SUM(B11+B24)</f>
        <v>52238052</v>
      </c>
      <c r="C25" s="769">
        <f>SUM(C11+C24)</f>
        <v>1969235</v>
      </c>
      <c r="D25" s="766">
        <f t="shared" si="0"/>
        <v>54207287</v>
      </c>
      <c r="E25" s="38"/>
      <c r="F25" s="768" t="s">
        <v>259</v>
      </c>
      <c r="G25" s="771">
        <f>SUM(G11+G24)</f>
        <v>52238052</v>
      </c>
      <c r="H25" s="770">
        <f>SUM(H11+H24)</f>
        <v>1981928</v>
      </c>
      <c r="I25" s="766">
        <f t="shared" si="1"/>
        <v>54219980</v>
      </c>
    </row>
    <row r="26" spans="1:9" s="16" customFormat="1" ht="23.1" customHeight="1" x14ac:dyDescent="0.2">
      <c r="A26" s="767" t="s">
        <v>3</v>
      </c>
      <c r="B26" s="193">
        <v>12000000</v>
      </c>
      <c r="C26" s="767"/>
      <c r="D26" s="12">
        <f t="shared" si="0"/>
        <v>12000000</v>
      </c>
      <c r="E26" s="40"/>
      <c r="F26" s="767" t="s">
        <v>4</v>
      </c>
      <c r="G26" s="193">
        <v>12000000</v>
      </c>
      <c r="H26" s="767">
        <v>-12693</v>
      </c>
      <c r="I26" s="12">
        <f t="shared" si="1"/>
        <v>11987307</v>
      </c>
    </row>
    <row r="27" spans="1:9" s="16" customFormat="1" ht="20.100000000000001" customHeight="1" x14ac:dyDescent="0.2">
      <c r="A27" s="42" t="s">
        <v>5</v>
      </c>
      <c r="B27" s="87">
        <f>SUM(B25:B26)</f>
        <v>64238052</v>
      </c>
      <c r="C27" s="42">
        <f>SUM(C25:C26)</f>
        <v>1969235</v>
      </c>
      <c r="D27" s="692">
        <f t="shared" si="0"/>
        <v>66207287</v>
      </c>
      <c r="E27" s="40"/>
      <c r="F27" s="42" t="s">
        <v>5</v>
      </c>
      <c r="G27" s="42">
        <f>SUM(G25:G26)</f>
        <v>64238052</v>
      </c>
      <c r="H27" s="42">
        <f>SUM(H25:H26)</f>
        <v>1969235</v>
      </c>
      <c r="I27" s="692">
        <f t="shared" si="1"/>
        <v>66207287</v>
      </c>
    </row>
  </sheetData>
  <phoneticPr fontId="0" type="noConversion"/>
  <printOptions horizontalCentered="1" verticalCentered="1"/>
  <pageMargins left="0.15748031496062992" right="0.19685039370078741" top="0.9055118110236221" bottom="0.27559055118110237" header="0.39370078740157483" footer="0.51181102362204722"/>
  <pageSetup paperSize="9" scale="85" orientation="landscape" horizontalDpi="300" verticalDpi="300" r:id="rId1"/>
  <headerFooter alignWithMargins="0">
    <oddHeader>&amp;C&amp;"Times New Roman CE,Félkövér dőlt"ZALAEGERSZEG MEGYEI  JOGÚ  VÁROS  ÖNKORMÁNYZATA
BEVÉTELEINEK  ÉS  KIADÁSAINAK   MÉRLEGE
2020.  ÉVEKBEN
&amp;R&amp;"Times New Roman CE,Félkövér dőlt"1. melléklet
Adatok: ezer Ft-ban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N26"/>
  <sheetViews>
    <sheetView zoomScale="110" workbookViewId="0">
      <pane ySplit="2" topLeftCell="A12" activePane="bottomLeft" state="frozen"/>
      <selection activeCell="B1" sqref="B1"/>
      <selection pane="bottomLeft" activeCell="B23" sqref="B23"/>
    </sheetView>
  </sheetViews>
  <sheetFormatPr defaultRowHeight="12" x14ac:dyDescent="0.2"/>
  <cols>
    <col min="1" max="1" width="3.83203125" style="19" customWidth="1"/>
    <col min="2" max="2" width="38.33203125" style="19" customWidth="1"/>
    <col min="3" max="3" width="10.33203125" style="19" customWidth="1"/>
    <col min="4" max="4" width="11.6640625" style="19" customWidth="1"/>
    <col min="5" max="5" width="10" style="19" customWidth="1"/>
    <col min="6" max="6" width="11.83203125" style="19" customWidth="1"/>
    <col min="7" max="7" width="9.83203125" style="19" customWidth="1"/>
    <col min="8" max="9" width="10.5" style="19" customWidth="1"/>
    <col min="10" max="10" width="11.1640625" style="19" customWidth="1"/>
    <col min="11" max="11" width="11.83203125" style="19" customWidth="1"/>
    <col min="12" max="12" width="9.5" style="19" customWidth="1"/>
    <col min="13" max="13" width="8.1640625" style="19" customWidth="1"/>
    <col min="14" max="14" width="10.83203125" style="31" customWidth="1"/>
    <col min="15" max="16384" width="9.33203125" style="19"/>
  </cols>
  <sheetData>
    <row r="1" spans="1:14" ht="12.75" customHeight="1" x14ac:dyDescent="0.2">
      <c r="A1" s="941" t="s">
        <v>122</v>
      </c>
      <c r="B1" s="941" t="s">
        <v>176</v>
      </c>
      <c r="C1" s="960" t="s">
        <v>331</v>
      </c>
      <c r="D1" s="960" t="s">
        <v>1383</v>
      </c>
      <c r="E1" s="940" t="s">
        <v>182</v>
      </c>
      <c r="F1" s="940"/>
      <c r="G1" s="940"/>
      <c r="H1" s="940"/>
      <c r="I1" s="940"/>
      <c r="J1" s="940"/>
      <c r="K1" s="940"/>
      <c r="L1" s="940"/>
      <c r="M1" s="941" t="s">
        <v>181</v>
      </c>
      <c r="N1" s="941" t="s">
        <v>235</v>
      </c>
    </row>
    <row r="2" spans="1:14" s="28" customFormat="1" ht="60" customHeight="1" x14ac:dyDescent="0.2">
      <c r="A2" s="941"/>
      <c r="B2" s="941"/>
      <c r="C2" s="961"/>
      <c r="D2" s="961"/>
      <c r="E2" s="96" t="s">
        <v>156</v>
      </c>
      <c r="F2" s="96" t="s">
        <v>255</v>
      </c>
      <c r="G2" s="96" t="s">
        <v>249</v>
      </c>
      <c r="H2" s="96" t="s">
        <v>26</v>
      </c>
      <c r="I2" s="96" t="s">
        <v>42</v>
      </c>
      <c r="J2" s="96" t="s">
        <v>32</v>
      </c>
      <c r="K2" s="96" t="s">
        <v>31</v>
      </c>
      <c r="L2" s="96" t="s">
        <v>27</v>
      </c>
      <c r="M2" s="962"/>
      <c r="N2" s="941"/>
    </row>
    <row r="3" spans="1:14" s="28" customFormat="1" ht="15" customHeight="1" x14ac:dyDescent="0.2">
      <c r="A3" s="128" t="s">
        <v>124</v>
      </c>
      <c r="B3" s="129" t="s">
        <v>178</v>
      </c>
      <c r="C3" s="658">
        <v>1665275</v>
      </c>
      <c r="D3" s="664">
        <f>41959+táj.4!L3</f>
        <v>55587</v>
      </c>
      <c r="E3" s="130">
        <f>1142445+táj.4!C3</f>
        <v>1153876</v>
      </c>
      <c r="F3" s="130">
        <f>227495+táj.4!D3</f>
        <v>229355</v>
      </c>
      <c r="G3" s="130">
        <f>222532+táj.4!E3</f>
        <v>221604</v>
      </c>
      <c r="H3" s="130">
        <f>0+táj.4!F3</f>
        <v>0</v>
      </c>
      <c r="I3" s="130">
        <f>36222+táj.4!G3</f>
        <v>36222</v>
      </c>
      <c r="J3" s="130">
        <f>67040+táj.4!H3</f>
        <v>68305</v>
      </c>
      <c r="K3" s="130">
        <f>11500+táj.4!I3</f>
        <v>11500</v>
      </c>
      <c r="L3" s="130">
        <f>0+táj.4!J3</f>
        <v>0</v>
      </c>
      <c r="M3" s="130">
        <f>0+táj.4!K3</f>
        <v>0</v>
      </c>
      <c r="N3" s="130">
        <f t="shared" ref="N3:N20" si="0">SUM(E3:M3)</f>
        <v>1720862</v>
      </c>
    </row>
    <row r="4" spans="1:14" s="28" customFormat="1" ht="15" customHeight="1" x14ac:dyDescent="0.2">
      <c r="A4" s="128" t="s">
        <v>126</v>
      </c>
      <c r="B4" s="129" t="s">
        <v>171</v>
      </c>
      <c r="C4" s="658">
        <v>1001336</v>
      </c>
      <c r="D4" s="664">
        <f>-10887+táj.4!L4</f>
        <v>-107480</v>
      </c>
      <c r="E4" s="130">
        <f>127694+táj.4!C4</f>
        <v>129708</v>
      </c>
      <c r="F4" s="130">
        <f>24253+táj.4!D4</f>
        <v>24566</v>
      </c>
      <c r="G4" s="130">
        <f>815305+táj.4!E4</f>
        <v>715505</v>
      </c>
      <c r="H4" s="130">
        <f>0+táj.4!F4</f>
        <v>0</v>
      </c>
      <c r="I4" s="130">
        <f>20378+táj.4!G4</f>
        <v>20378</v>
      </c>
      <c r="J4" s="130">
        <f>2819+táj.4!H4</f>
        <v>3699</v>
      </c>
      <c r="K4" s="130">
        <f>0+táj.4!I4</f>
        <v>0</v>
      </c>
      <c r="L4" s="130">
        <f>0+táj.4!J4</f>
        <v>0</v>
      </c>
      <c r="M4" s="130">
        <f>0+táj.4!K4</f>
        <v>0</v>
      </c>
      <c r="N4" s="130">
        <f t="shared" si="0"/>
        <v>893856</v>
      </c>
    </row>
    <row r="5" spans="1:14" s="28" customFormat="1" ht="15" customHeight="1" x14ac:dyDescent="0.2">
      <c r="A5" s="128" t="s">
        <v>127</v>
      </c>
      <c r="B5" s="129" t="s">
        <v>204</v>
      </c>
      <c r="C5" s="658">
        <v>623845</v>
      </c>
      <c r="D5" s="664">
        <f>1055+táj.4!L5</f>
        <v>8288</v>
      </c>
      <c r="E5" s="130">
        <f>410769+táj.4!C5</f>
        <v>418043</v>
      </c>
      <c r="F5" s="130">
        <f>76425+táj.4!D5</f>
        <v>77584</v>
      </c>
      <c r="G5" s="130">
        <f>120483+táj.4!E5</f>
        <v>112973</v>
      </c>
      <c r="H5" s="130">
        <f>0+táj.4!F5</f>
        <v>0</v>
      </c>
      <c r="I5" s="130">
        <f>12496+táj.4!G5</f>
        <v>12496</v>
      </c>
      <c r="J5" s="130">
        <f>2927+táj.4!H5</f>
        <v>9227</v>
      </c>
      <c r="K5" s="130">
        <f>1800+táj.4!I5</f>
        <v>1810</v>
      </c>
      <c r="L5" s="130">
        <f>0+táj.4!J5</f>
        <v>0</v>
      </c>
      <c r="M5" s="130">
        <f>0+táj.4!K5</f>
        <v>0</v>
      </c>
      <c r="N5" s="130">
        <f t="shared" si="0"/>
        <v>632133</v>
      </c>
    </row>
    <row r="6" spans="1:14" s="28" customFormat="1" ht="23.25" customHeight="1" x14ac:dyDescent="0.2">
      <c r="A6" s="128" t="s">
        <v>115</v>
      </c>
      <c r="B6" s="120" t="s">
        <v>239</v>
      </c>
      <c r="C6" s="659">
        <v>448613</v>
      </c>
      <c r="D6" s="664">
        <f>111456+táj.4!L6</f>
        <v>113512</v>
      </c>
      <c r="E6" s="130">
        <f>304619+táj.4!C6</f>
        <v>305522</v>
      </c>
      <c r="F6" s="130">
        <f>56682+táj.4!D6</f>
        <v>56835</v>
      </c>
      <c r="G6" s="130">
        <f>189966+táj.4!E6</f>
        <v>190366</v>
      </c>
      <c r="H6" s="130">
        <f>0+táj.4!F6</f>
        <v>0</v>
      </c>
      <c r="I6" s="130">
        <f>0+táj.4!G6</f>
        <v>0</v>
      </c>
      <c r="J6" s="130">
        <f>8802+táj.4!H6</f>
        <v>9402</v>
      </c>
      <c r="K6" s="130">
        <f>0+táj.4!I6</f>
        <v>0</v>
      </c>
      <c r="L6" s="130">
        <f>0+táj.4!J6</f>
        <v>0</v>
      </c>
      <c r="M6" s="130">
        <f>0+táj.4!K6</f>
        <v>0</v>
      </c>
      <c r="N6" s="130">
        <f t="shared" si="0"/>
        <v>562125</v>
      </c>
    </row>
    <row r="7" spans="1:14" s="28" customFormat="1" ht="26.25" customHeight="1" x14ac:dyDescent="0.2">
      <c r="A7" s="128" t="s">
        <v>114</v>
      </c>
      <c r="B7" s="120" t="s">
        <v>240</v>
      </c>
      <c r="C7" s="659">
        <v>220399</v>
      </c>
      <c r="D7" s="664">
        <f>42307+táj.4!L7</f>
        <v>56223</v>
      </c>
      <c r="E7" s="130">
        <f>182313+táj.4!C7</f>
        <v>194142</v>
      </c>
      <c r="F7" s="130">
        <f>35850+táj.4!D7</f>
        <v>37837</v>
      </c>
      <c r="G7" s="130">
        <f>22633+táj.4!E7</f>
        <v>21933</v>
      </c>
      <c r="H7" s="130">
        <f>5188+táj.4!F7</f>
        <v>5188</v>
      </c>
      <c r="I7" s="130">
        <f>16222+táj.4!G7</f>
        <v>16222</v>
      </c>
      <c r="J7" s="130">
        <f>500+táj.4!H7</f>
        <v>1300</v>
      </c>
      <c r="K7" s="130">
        <f>0+táj.4!I7</f>
        <v>0</v>
      </c>
      <c r="L7" s="130">
        <f>0+táj.4!J7</f>
        <v>0</v>
      </c>
      <c r="M7" s="130">
        <f>0+táj.4!K7</f>
        <v>0</v>
      </c>
      <c r="N7" s="130">
        <f t="shared" si="0"/>
        <v>276622</v>
      </c>
    </row>
    <row r="8" spans="1:14" s="28" customFormat="1" ht="15" customHeight="1" x14ac:dyDescent="0.2">
      <c r="A8" s="128" t="s">
        <v>116</v>
      </c>
      <c r="B8" s="121" t="s">
        <v>205</v>
      </c>
      <c r="C8" s="660">
        <v>357792</v>
      </c>
      <c r="D8" s="664">
        <f>-10960+táj.4!L8</f>
        <v>-3388</v>
      </c>
      <c r="E8" s="130">
        <f>243920+táj.4!C8</f>
        <v>250022</v>
      </c>
      <c r="F8" s="130">
        <f>45657+táj.4!D8</f>
        <v>46534</v>
      </c>
      <c r="G8" s="130">
        <f>54816+táj.4!E8</f>
        <v>54898</v>
      </c>
      <c r="H8" s="130">
        <f>0+táj.4!F8</f>
        <v>0</v>
      </c>
      <c r="I8" s="130">
        <f>1169+táj.4!G8</f>
        <v>1169</v>
      </c>
      <c r="J8" s="130">
        <f>500+táj.4!H8</f>
        <v>1011</v>
      </c>
      <c r="K8" s="130">
        <f>770+táj.4!I8</f>
        <v>770</v>
      </c>
      <c r="L8" s="130">
        <f>0+táj.4!J8</f>
        <v>0</v>
      </c>
      <c r="M8" s="130">
        <f>0+táj.4!K8</f>
        <v>0</v>
      </c>
      <c r="N8" s="130">
        <f t="shared" si="0"/>
        <v>354404</v>
      </c>
    </row>
    <row r="9" spans="1:14" s="28" customFormat="1" ht="15" customHeight="1" x14ac:dyDescent="0.2">
      <c r="A9" s="128" t="s">
        <v>117</v>
      </c>
      <c r="B9" s="121" t="s">
        <v>206</v>
      </c>
      <c r="C9" s="660">
        <v>335626</v>
      </c>
      <c r="D9" s="664">
        <f>-18246+táj.4!L9</f>
        <v>-15648</v>
      </c>
      <c r="E9" s="130">
        <f>204680+táj.4!C9</f>
        <v>208410</v>
      </c>
      <c r="F9" s="130">
        <f>38224+táj.4!D9</f>
        <v>38280</v>
      </c>
      <c r="G9" s="130">
        <f>73876+táj.4!E9</f>
        <v>72388</v>
      </c>
      <c r="H9" s="130">
        <f>0+táj.4!F9</f>
        <v>0</v>
      </c>
      <c r="I9" s="130">
        <f>100+táj.4!G9</f>
        <v>100</v>
      </c>
      <c r="J9" s="130">
        <f>500+táj.4!H9</f>
        <v>800</v>
      </c>
      <c r="K9" s="130">
        <f>0+táj.4!I9</f>
        <v>0</v>
      </c>
      <c r="L9" s="130">
        <f>0+táj.4!J9</f>
        <v>0</v>
      </c>
      <c r="M9" s="130">
        <f>0+táj.4!K9</f>
        <v>0</v>
      </c>
      <c r="N9" s="130">
        <f t="shared" si="0"/>
        <v>319978</v>
      </c>
    </row>
    <row r="10" spans="1:14" s="29" customFormat="1" ht="15" customHeight="1" x14ac:dyDescent="0.2">
      <c r="A10" s="128" t="s">
        <v>118</v>
      </c>
      <c r="B10" s="121" t="s">
        <v>207</v>
      </c>
      <c r="C10" s="660">
        <v>380243</v>
      </c>
      <c r="D10" s="664">
        <f>-7269+táj.4!L10</f>
        <v>-3807</v>
      </c>
      <c r="E10" s="130">
        <f>237555+táj.4!C10</f>
        <v>242193</v>
      </c>
      <c r="F10" s="130">
        <f>44373+táj.4!D10</f>
        <v>45077</v>
      </c>
      <c r="G10" s="130">
        <f>86194+táj.4!E10</f>
        <v>84204</v>
      </c>
      <c r="H10" s="130">
        <f>0+táj.4!F10</f>
        <v>0</v>
      </c>
      <c r="I10" s="130">
        <f>3052+táj.4!G10</f>
        <v>3052</v>
      </c>
      <c r="J10" s="130">
        <f>800+táj.4!H10</f>
        <v>910</v>
      </c>
      <c r="K10" s="130">
        <f>1000+táj.4!I10</f>
        <v>1000</v>
      </c>
      <c r="L10" s="130">
        <f>0+táj.4!J10</f>
        <v>0</v>
      </c>
      <c r="M10" s="130">
        <f>0+táj.4!K10</f>
        <v>0</v>
      </c>
      <c r="N10" s="130">
        <f t="shared" si="0"/>
        <v>376436</v>
      </c>
    </row>
    <row r="11" spans="1:14" s="29" customFormat="1" ht="17.25" customHeight="1" x14ac:dyDescent="0.2">
      <c r="A11" s="128" t="s">
        <v>33</v>
      </c>
      <c r="B11" s="121" t="s">
        <v>208</v>
      </c>
      <c r="C11" s="660">
        <v>341686</v>
      </c>
      <c r="D11" s="664">
        <f>-10516+táj.4!L11</f>
        <v>-4694</v>
      </c>
      <c r="E11" s="130">
        <f>225259+táj.4!C11</f>
        <v>230613</v>
      </c>
      <c r="F11" s="130">
        <f>42271+táj.4!D11</f>
        <v>43018</v>
      </c>
      <c r="G11" s="130">
        <f>59718+táj.4!E11</f>
        <v>58769</v>
      </c>
      <c r="H11" s="130">
        <f>0+táj.4!F11</f>
        <v>0</v>
      </c>
      <c r="I11" s="130">
        <f>2772+táj.4!G11</f>
        <v>2772</v>
      </c>
      <c r="J11" s="130">
        <f>750+táj.4!H11</f>
        <v>1420</v>
      </c>
      <c r="K11" s="130">
        <f>400+táj.4!I11</f>
        <v>400</v>
      </c>
      <c r="L11" s="130">
        <f>0+táj.4!J11</f>
        <v>0</v>
      </c>
      <c r="M11" s="130">
        <f>0+táj.4!K11</f>
        <v>0</v>
      </c>
      <c r="N11" s="130">
        <f t="shared" si="0"/>
        <v>336992</v>
      </c>
    </row>
    <row r="12" spans="1:14" s="29" customFormat="1" ht="18.75" customHeight="1" x14ac:dyDescent="0.2">
      <c r="A12" s="128" t="s">
        <v>34</v>
      </c>
      <c r="B12" s="122" t="s">
        <v>241</v>
      </c>
      <c r="C12" s="456">
        <v>53217</v>
      </c>
      <c r="D12" s="664">
        <f>600+táj.4!L12</f>
        <v>612</v>
      </c>
      <c r="E12" s="130">
        <f>43016+táj.4!C12</f>
        <v>43025</v>
      </c>
      <c r="F12" s="130">
        <f>7426+táj.4!D12</f>
        <v>7429</v>
      </c>
      <c r="G12" s="130">
        <f>2264+táj.4!E12</f>
        <v>2264</v>
      </c>
      <c r="H12" s="130">
        <f>0+táj.4!F12</f>
        <v>0</v>
      </c>
      <c r="I12" s="130">
        <f>1061+táj.4!G12</f>
        <v>1061</v>
      </c>
      <c r="J12" s="130">
        <f>50+táj.4!H12</f>
        <v>50</v>
      </c>
      <c r="K12" s="130">
        <f>0+táj.4!I12</f>
        <v>0</v>
      </c>
      <c r="L12" s="130">
        <f>0+táj.4!J12</f>
        <v>0</v>
      </c>
      <c r="M12" s="130">
        <f>0+táj.4!K12</f>
        <v>0</v>
      </c>
      <c r="N12" s="130">
        <f t="shared" si="0"/>
        <v>53829</v>
      </c>
    </row>
    <row r="13" spans="1:14" s="29" customFormat="1" ht="14.1" customHeight="1" x14ac:dyDescent="0.2">
      <c r="A13" s="128" t="s">
        <v>35</v>
      </c>
      <c r="B13" s="123" t="s">
        <v>201</v>
      </c>
      <c r="C13" s="661">
        <v>484066</v>
      </c>
      <c r="D13" s="664">
        <f>37961+táj.4!L13</f>
        <v>69379</v>
      </c>
      <c r="E13" s="130">
        <f>247314+táj.4!C13</f>
        <v>250394</v>
      </c>
      <c r="F13" s="130">
        <f>44482+táj.4!D13</f>
        <v>44995</v>
      </c>
      <c r="G13" s="130">
        <f>175564+táj.4!E13</f>
        <v>199789</v>
      </c>
      <c r="H13" s="130">
        <f>0+táj.4!F13</f>
        <v>0</v>
      </c>
      <c r="I13" s="130">
        <f>5221+táj.4!G13</f>
        <v>5221</v>
      </c>
      <c r="J13" s="130">
        <f>19820+táj.4!H13</f>
        <v>23420</v>
      </c>
      <c r="K13" s="130">
        <f>29626+táj.4!I13</f>
        <v>29626</v>
      </c>
      <c r="L13" s="130">
        <f>0+táj.4!J13</f>
        <v>0</v>
      </c>
      <c r="M13" s="130">
        <f>0+táj.4!K13</f>
        <v>0</v>
      </c>
      <c r="N13" s="130">
        <f t="shared" si="0"/>
        <v>553445</v>
      </c>
    </row>
    <row r="14" spans="1:14" s="29" customFormat="1" ht="24.75" customHeight="1" x14ac:dyDescent="0.2">
      <c r="A14" s="128" t="s">
        <v>36</v>
      </c>
      <c r="B14" s="120" t="s">
        <v>209</v>
      </c>
      <c r="C14" s="659">
        <v>20958</v>
      </c>
      <c r="D14" s="664">
        <f>2772+táj.4!L14</f>
        <v>3772</v>
      </c>
      <c r="E14" s="130">
        <f>14961+táj.4!C14</f>
        <v>14961</v>
      </c>
      <c r="F14" s="130">
        <f>2561+táj.4!D14</f>
        <v>2561</v>
      </c>
      <c r="G14" s="130">
        <f>5367+táj.4!E14</f>
        <v>6367</v>
      </c>
      <c r="H14" s="130">
        <f>0+táj.4!F14</f>
        <v>0</v>
      </c>
      <c r="I14" s="130">
        <f>661+táj.4!G14</f>
        <v>661</v>
      </c>
      <c r="J14" s="130">
        <f>180+táj.4!H14</f>
        <v>180</v>
      </c>
      <c r="K14" s="130">
        <f>0+táj.4!I14</f>
        <v>0</v>
      </c>
      <c r="L14" s="130">
        <f>0+táj.4!J14</f>
        <v>0</v>
      </c>
      <c r="M14" s="130">
        <f>0+táj.4!K14</f>
        <v>0</v>
      </c>
      <c r="N14" s="130">
        <f t="shared" si="0"/>
        <v>24730</v>
      </c>
    </row>
    <row r="15" spans="1:14" s="29" customFormat="1" ht="14.1" customHeight="1" x14ac:dyDescent="0.2">
      <c r="A15" s="128" t="s">
        <v>37</v>
      </c>
      <c r="B15" s="121" t="s">
        <v>202</v>
      </c>
      <c r="C15" s="660">
        <v>418501</v>
      </c>
      <c r="D15" s="664">
        <f>28271+táj.4!L15</f>
        <v>59240</v>
      </c>
      <c r="E15" s="130">
        <f>187959+táj.4!C15</f>
        <v>191357</v>
      </c>
      <c r="F15" s="130">
        <f>32361+táj.4!D15</f>
        <v>32932</v>
      </c>
      <c r="G15" s="130">
        <f>149137+táj.4!E15</f>
        <v>166137</v>
      </c>
      <c r="H15" s="130">
        <f>0+táj.4!F15</f>
        <v>0</v>
      </c>
      <c r="I15" s="130">
        <f>35087+táj.4!G15</f>
        <v>35087</v>
      </c>
      <c r="J15" s="130">
        <f>39774+táj.4!H15</f>
        <v>49774</v>
      </c>
      <c r="K15" s="130">
        <f>2454+táj.4!I15</f>
        <v>2454</v>
      </c>
      <c r="L15" s="130">
        <f>0+táj.4!J15</f>
        <v>0</v>
      </c>
      <c r="M15" s="130">
        <f>0+táj.4!K15</f>
        <v>0</v>
      </c>
      <c r="N15" s="130">
        <f t="shared" si="0"/>
        <v>477741</v>
      </c>
    </row>
    <row r="16" spans="1:14" s="29" customFormat="1" ht="14.1" customHeight="1" x14ac:dyDescent="0.2">
      <c r="A16" s="128" t="s">
        <v>38</v>
      </c>
      <c r="B16" s="121" t="s">
        <v>203</v>
      </c>
      <c r="C16" s="660">
        <v>359221</v>
      </c>
      <c r="D16" s="664">
        <f>74746+táj.4!L16</f>
        <v>116896</v>
      </c>
      <c r="E16" s="130">
        <f>177351+táj.4!C16</f>
        <v>189751</v>
      </c>
      <c r="F16" s="130">
        <f>31703+táj.4!D16</f>
        <v>33655</v>
      </c>
      <c r="G16" s="130">
        <f>162405+táj.4!E16</f>
        <v>179898</v>
      </c>
      <c r="H16" s="130">
        <f>0+táj.4!F16</f>
        <v>0</v>
      </c>
      <c r="I16" s="130">
        <f>43394+táj.4!G16</f>
        <v>43394</v>
      </c>
      <c r="J16" s="130">
        <f>14114+táj.4!H16</f>
        <v>23069</v>
      </c>
      <c r="K16" s="130">
        <f>5000+táj.4!I16</f>
        <v>6350</v>
      </c>
      <c r="L16" s="130">
        <f>0+táj.4!J16</f>
        <v>0</v>
      </c>
      <c r="M16" s="130">
        <f>0+táj.4!K16</f>
        <v>0</v>
      </c>
      <c r="N16" s="130">
        <f t="shared" si="0"/>
        <v>476117</v>
      </c>
    </row>
    <row r="17" spans="1:14" s="29" customFormat="1" ht="12.95" customHeight="1" x14ac:dyDescent="0.2">
      <c r="A17" s="128" t="s">
        <v>119</v>
      </c>
      <c r="B17" s="121" t="s">
        <v>210</v>
      </c>
      <c r="C17" s="660">
        <v>754770</v>
      </c>
      <c r="D17" s="664">
        <f>-70767+táj.4!L17</f>
        <v>-12627</v>
      </c>
      <c r="E17" s="130">
        <f>408367+táj.4!C17</f>
        <v>413537</v>
      </c>
      <c r="F17" s="130">
        <f>77915+táj.4!D17</f>
        <v>78785</v>
      </c>
      <c r="G17" s="130">
        <f>187672+táj.4!E17</f>
        <v>239672</v>
      </c>
      <c r="H17" s="130">
        <f>0+táj.4!F17</f>
        <v>0</v>
      </c>
      <c r="I17" s="130">
        <f>2049+táj.4!G17</f>
        <v>2049</v>
      </c>
      <c r="J17" s="130">
        <f>8000+táj.4!H17</f>
        <v>8100</v>
      </c>
      <c r="K17" s="130">
        <f>0+táj.4!I17</f>
        <v>0</v>
      </c>
      <c r="L17" s="130">
        <f>0+táj.4!J17</f>
        <v>0</v>
      </c>
      <c r="M17" s="130">
        <f>0+táj.4!K17</f>
        <v>0</v>
      </c>
      <c r="N17" s="130">
        <f t="shared" si="0"/>
        <v>742143</v>
      </c>
    </row>
    <row r="18" spans="1:14" s="29" customFormat="1" ht="12.95" customHeight="1" x14ac:dyDescent="0.2">
      <c r="A18" s="128" t="s">
        <v>39</v>
      </c>
      <c r="B18" s="121" t="s">
        <v>211</v>
      </c>
      <c r="C18" s="660">
        <v>136750</v>
      </c>
      <c r="D18" s="664">
        <f>-3584+táj.4!L18</f>
        <v>8107</v>
      </c>
      <c r="E18" s="130">
        <f>64093+táj.4!C18</f>
        <v>64854</v>
      </c>
      <c r="F18" s="130">
        <f>12057+táj.4!D18</f>
        <v>12187</v>
      </c>
      <c r="G18" s="130">
        <f>53094+táj.4!E18</f>
        <v>63894</v>
      </c>
      <c r="H18" s="130">
        <f>0+táj.4!F18</f>
        <v>0</v>
      </c>
      <c r="I18" s="130">
        <f>422+táj.4!G18</f>
        <v>422</v>
      </c>
      <c r="J18" s="130">
        <f>3500+táj.4!H18</f>
        <v>3500</v>
      </c>
      <c r="K18" s="130">
        <f>0+táj.4!I18</f>
        <v>0</v>
      </c>
      <c r="L18" s="130">
        <f>0+táj.4!J18</f>
        <v>0</v>
      </c>
      <c r="M18" s="130">
        <f>0+táj.4!K18</f>
        <v>0</v>
      </c>
      <c r="N18" s="130">
        <f t="shared" si="0"/>
        <v>144857</v>
      </c>
    </row>
    <row r="19" spans="1:14" s="29" customFormat="1" ht="15.75" customHeight="1" x14ac:dyDescent="0.2">
      <c r="A19" s="128" t="s">
        <v>40</v>
      </c>
      <c r="B19" s="121" t="s">
        <v>243</v>
      </c>
      <c r="C19" s="660">
        <v>145282</v>
      </c>
      <c r="D19" s="664">
        <f>16840+táj.4!L19</f>
        <v>21397</v>
      </c>
      <c r="E19" s="130">
        <f>60301+táj.4!C19</f>
        <v>60310</v>
      </c>
      <c r="F19" s="130">
        <f>10729+táj.4!D19</f>
        <v>10731</v>
      </c>
      <c r="G19" s="130">
        <f>77651+táj.4!E19</f>
        <v>82197</v>
      </c>
      <c r="H19" s="130">
        <f>0+táj.4!F19</f>
        <v>0</v>
      </c>
      <c r="I19" s="130">
        <f>9821+táj.4!G19</f>
        <v>9821</v>
      </c>
      <c r="J19" s="130">
        <f>3620+táj.4!H19</f>
        <v>3620</v>
      </c>
      <c r="K19" s="130">
        <f>0+táj.4!I19</f>
        <v>0</v>
      </c>
      <c r="L19" s="130">
        <f>0+táj.4!J19</f>
        <v>0</v>
      </c>
      <c r="M19" s="130">
        <f>0+táj.4!K19</f>
        <v>0</v>
      </c>
      <c r="N19" s="130">
        <f t="shared" si="0"/>
        <v>166679</v>
      </c>
    </row>
    <row r="20" spans="1:14" s="1" customFormat="1" x14ac:dyDescent="0.2">
      <c r="A20" s="128" t="s">
        <v>242</v>
      </c>
      <c r="B20" s="121" t="s">
        <v>248</v>
      </c>
      <c r="C20" s="660">
        <v>108439</v>
      </c>
      <c r="D20" s="664">
        <f>-274+táj.4!L20</f>
        <v>-274</v>
      </c>
      <c r="E20" s="130">
        <f>39894+táj.4!C20</f>
        <v>39894</v>
      </c>
      <c r="F20" s="130">
        <f>7375+táj.4!D20</f>
        <v>7375</v>
      </c>
      <c r="G20" s="130">
        <f>59400+táj.4!E20</f>
        <v>59400</v>
      </c>
      <c r="H20" s="130">
        <f>0+táj.4!F20</f>
        <v>0</v>
      </c>
      <c r="I20" s="130">
        <f>100+táj.4!G20</f>
        <v>100</v>
      </c>
      <c r="J20" s="130">
        <f>1020+táj.4!H20</f>
        <v>1020</v>
      </c>
      <c r="K20" s="130">
        <f>376+táj.4!I20</f>
        <v>376</v>
      </c>
      <c r="L20" s="130">
        <f>0+táj.4!J20</f>
        <v>0</v>
      </c>
      <c r="M20" s="130">
        <f>0+táj.4!K20</f>
        <v>0</v>
      </c>
      <c r="N20" s="130">
        <f t="shared" si="0"/>
        <v>108165</v>
      </c>
    </row>
    <row r="21" spans="1:14" s="1" customFormat="1" x14ac:dyDescent="0.2">
      <c r="A21" s="131"/>
      <c r="B21" s="132" t="s">
        <v>22</v>
      </c>
      <c r="C21" s="663">
        <f t="shared" ref="C21:N21" si="1">SUM(C3:C20)</f>
        <v>7856019</v>
      </c>
      <c r="D21" s="665">
        <f t="shared" si="1"/>
        <v>365095</v>
      </c>
      <c r="E21" s="87">
        <f t="shared" si="1"/>
        <v>4400612</v>
      </c>
      <c r="F21" s="87">
        <f t="shared" si="1"/>
        <v>829736</v>
      </c>
      <c r="G21" s="87">
        <f t="shared" si="1"/>
        <v>2532258</v>
      </c>
      <c r="H21" s="87">
        <f t="shared" si="1"/>
        <v>5188</v>
      </c>
      <c r="I21" s="87">
        <f t="shared" si="1"/>
        <v>190227</v>
      </c>
      <c r="J21" s="87">
        <f t="shared" si="1"/>
        <v>208807</v>
      </c>
      <c r="K21" s="87">
        <f t="shared" si="1"/>
        <v>54286</v>
      </c>
      <c r="L21" s="87">
        <f t="shared" si="1"/>
        <v>0</v>
      </c>
      <c r="M21" s="87">
        <f t="shared" si="1"/>
        <v>0</v>
      </c>
      <c r="N21" s="87">
        <f t="shared" si="1"/>
        <v>8221114</v>
      </c>
    </row>
    <row r="22" spans="1:14" s="1" customFormat="1" x14ac:dyDescent="0.2">
      <c r="N22" s="20"/>
    </row>
    <row r="23" spans="1:14" s="1" customFormat="1" x14ac:dyDescent="0.2">
      <c r="B23" s="15"/>
      <c r="C23" s="15"/>
      <c r="D23" s="15"/>
      <c r="N23" s="20"/>
    </row>
    <row r="24" spans="1:14" s="1" customFormat="1" x14ac:dyDescent="0.2">
      <c r="N24" s="20"/>
    </row>
    <row r="25" spans="1:14" s="1" customFormat="1" x14ac:dyDescent="0.2">
      <c r="N25" s="20"/>
    </row>
    <row r="26" spans="1:14" s="1" customFormat="1" x14ac:dyDescent="0.2">
      <c r="E26" s="15"/>
      <c r="N26" s="20"/>
    </row>
  </sheetData>
  <dataConsolidate/>
  <mergeCells count="7">
    <mergeCell ref="N1:N2"/>
    <mergeCell ref="A1:A2"/>
    <mergeCell ref="B1:B2"/>
    <mergeCell ref="E1:L1"/>
    <mergeCell ref="M1:M2"/>
    <mergeCell ref="C1:C2"/>
    <mergeCell ref="D1:D2"/>
  </mergeCells>
  <phoneticPr fontId="0" type="noConversion"/>
  <printOptions horizontalCentered="1" verticalCentered="1"/>
  <pageMargins left="0.23622047244094491" right="0.35433070866141736" top="1.6929133858267718" bottom="0.78740157480314965" header="0.62992125984251968" footer="0.51181102362204722"/>
  <pageSetup paperSize="9" scale="93" orientation="landscape" horizontalDpi="300" verticalDpi="300" r:id="rId1"/>
  <headerFooter alignWithMargins="0">
    <oddHeader>&amp;C&amp;"Times New Roman CE,Félkövér dőlt"ZALAEGERSZEG MEGYEI JOGÚ VÁROS ÖNKORMÁNYZATA ÁLTAL IRÁNYÍTOTT KÖLTSÉGVETÉSI SZERVEK 
2020.  ÉVI KIADÁSI ELŐIRÁNYZATAI&amp;R&amp;"Times New Roman CE,Félkövér dőlt"8. melléklet
Adatok: ezer Ft-ban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H24"/>
  <sheetViews>
    <sheetView workbookViewId="0">
      <selection activeCell="B25" sqref="B25"/>
    </sheetView>
  </sheetViews>
  <sheetFormatPr defaultColWidth="10.6640625" defaultRowHeight="12.75" x14ac:dyDescent="0.2"/>
  <cols>
    <col min="1" max="1" width="10.6640625" style="142" customWidth="1"/>
    <col min="2" max="2" width="37" style="142" customWidth="1"/>
    <col min="3" max="3" width="10.5" style="142" customWidth="1"/>
    <col min="4" max="4" width="10.6640625" style="142" customWidth="1"/>
    <col min="5" max="5" width="9" style="142" customWidth="1"/>
    <col min="6" max="6" width="6.6640625" style="142" customWidth="1"/>
    <col min="7" max="7" width="9.5" style="142" customWidth="1"/>
    <col min="8" max="8" width="9.6640625" style="142" customWidth="1"/>
    <col min="9" max="9" width="10.6640625" style="142" customWidth="1"/>
    <col min="10" max="10" width="9.5" style="142" customWidth="1"/>
    <col min="11" max="11" width="9.1640625" style="142" customWidth="1"/>
    <col min="12" max="12" width="11.6640625" style="142" customWidth="1"/>
    <col min="13" max="13" width="9.33203125" style="142" customWidth="1"/>
    <col min="14" max="14" width="13.6640625" style="142" customWidth="1"/>
    <col min="15" max="15" width="8.5" style="142" customWidth="1"/>
    <col min="16" max="16" width="13" style="142" customWidth="1"/>
    <col min="17" max="17" width="15" style="142" customWidth="1"/>
    <col min="18" max="16384" width="10.6640625" style="142"/>
  </cols>
  <sheetData>
    <row r="1" spans="1:60" ht="60" customHeight="1" x14ac:dyDescent="0.2">
      <c r="A1" s="136" t="s">
        <v>246</v>
      </c>
      <c r="B1" s="137" t="s">
        <v>176</v>
      </c>
      <c r="C1" s="138" t="s">
        <v>1435</v>
      </c>
      <c r="D1" s="138" t="s">
        <v>1424</v>
      </c>
      <c r="E1" s="137" t="s">
        <v>7</v>
      </c>
      <c r="F1" s="137" t="s">
        <v>247</v>
      </c>
      <c r="G1" s="137" t="s">
        <v>8</v>
      </c>
      <c r="H1" s="138" t="s">
        <v>9</v>
      </c>
      <c r="I1" s="139" t="s">
        <v>134</v>
      </c>
      <c r="J1" s="139" t="s">
        <v>98</v>
      </c>
      <c r="K1" s="139" t="s">
        <v>162</v>
      </c>
      <c r="L1" s="138" t="s">
        <v>1405</v>
      </c>
      <c r="M1" s="139" t="s">
        <v>41</v>
      </c>
    </row>
    <row r="2" spans="1:60" s="739" customFormat="1" x14ac:dyDescent="0.2">
      <c r="A2" s="734">
        <v>1</v>
      </c>
      <c r="B2" s="735" t="s">
        <v>236</v>
      </c>
      <c r="C2" s="736">
        <v>6</v>
      </c>
      <c r="D2" s="736">
        <v>4</v>
      </c>
      <c r="E2" s="736"/>
      <c r="F2" s="759"/>
      <c r="G2" s="759"/>
      <c r="H2" s="759"/>
      <c r="I2" s="759"/>
      <c r="J2" s="759"/>
      <c r="K2" s="737">
        <v>2</v>
      </c>
      <c r="L2" s="736">
        <f>SUM(D2:K2)</f>
        <v>6</v>
      </c>
      <c r="M2" s="736">
        <f t="shared" ref="M2:M20" si="0">L2-C2</f>
        <v>0</v>
      </c>
      <c r="N2" s="738"/>
      <c r="O2" s="738"/>
      <c r="P2" s="738"/>
      <c r="Q2" s="738"/>
      <c r="R2" s="738"/>
      <c r="S2" s="738"/>
      <c r="T2" s="738"/>
      <c r="U2" s="738"/>
      <c r="V2" s="738"/>
      <c r="W2" s="738"/>
      <c r="X2" s="738"/>
      <c r="Y2" s="738"/>
      <c r="Z2" s="738"/>
      <c r="AA2" s="738"/>
      <c r="AB2" s="738"/>
      <c r="AC2" s="738"/>
      <c r="AD2" s="738"/>
      <c r="AE2" s="738"/>
      <c r="AF2" s="738"/>
      <c r="AG2" s="738"/>
      <c r="AH2" s="738"/>
      <c r="AI2" s="738"/>
      <c r="AJ2" s="738"/>
      <c r="AK2" s="738"/>
      <c r="AL2" s="738"/>
      <c r="AM2" s="738"/>
      <c r="AN2" s="738"/>
      <c r="AO2" s="738"/>
      <c r="AP2" s="738"/>
      <c r="AQ2" s="738"/>
      <c r="AR2" s="738"/>
      <c r="AS2" s="738"/>
      <c r="AT2" s="738"/>
      <c r="AU2" s="738"/>
      <c r="AV2" s="738"/>
      <c r="AW2" s="738"/>
      <c r="AX2" s="738"/>
      <c r="AY2" s="738"/>
      <c r="AZ2" s="738"/>
      <c r="BA2" s="738"/>
      <c r="BB2" s="738"/>
      <c r="BC2" s="738"/>
      <c r="BD2" s="738"/>
      <c r="BE2" s="738"/>
      <c r="BF2" s="738"/>
      <c r="BG2" s="738"/>
      <c r="BH2" s="738"/>
    </row>
    <row r="3" spans="1:60" s="143" customFormat="1" ht="15.75" customHeight="1" x14ac:dyDescent="0.2">
      <c r="A3" s="734">
        <v>2</v>
      </c>
      <c r="B3" s="740" t="s">
        <v>135</v>
      </c>
      <c r="C3" s="741">
        <v>190</v>
      </c>
      <c r="D3" s="741"/>
      <c r="E3" s="741">
        <v>161</v>
      </c>
      <c r="F3" s="741"/>
      <c r="G3" s="741"/>
      <c r="H3" s="741"/>
      <c r="I3" s="741"/>
      <c r="J3" s="741">
        <v>22</v>
      </c>
      <c r="K3" s="741">
        <v>7</v>
      </c>
      <c r="L3" s="741">
        <f>SUM(E3:K3)</f>
        <v>190</v>
      </c>
      <c r="M3" s="736">
        <f t="shared" si="0"/>
        <v>0</v>
      </c>
      <c r="N3" s="742"/>
      <c r="O3" s="742"/>
      <c r="P3" s="742"/>
      <c r="Q3" s="742"/>
      <c r="R3" s="742"/>
      <c r="S3" s="742"/>
      <c r="T3" s="742"/>
      <c r="U3" s="742"/>
      <c r="V3" s="742"/>
      <c r="W3" s="742"/>
      <c r="X3" s="742"/>
      <c r="Y3" s="742"/>
      <c r="Z3" s="742"/>
      <c r="AA3" s="742"/>
      <c r="AB3" s="742"/>
      <c r="AC3" s="742"/>
      <c r="AD3" s="742"/>
      <c r="AE3" s="742"/>
      <c r="AF3" s="742"/>
      <c r="AG3" s="742"/>
      <c r="AH3" s="742"/>
      <c r="AI3" s="742"/>
      <c r="AJ3" s="742"/>
      <c r="AK3" s="742"/>
      <c r="AL3" s="742"/>
      <c r="AM3" s="742"/>
      <c r="AN3" s="742"/>
      <c r="AO3" s="742"/>
      <c r="AP3" s="742"/>
      <c r="AQ3" s="742"/>
      <c r="AR3" s="742"/>
      <c r="AS3" s="742"/>
      <c r="AT3" s="742"/>
      <c r="AU3" s="742"/>
      <c r="AV3" s="742"/>
      <c r="AW3" s="742"/>
      <c r="AX3" s="742"/>
      <c r="AY3" s="742"/>
      <c r="AZ3" s="742"/>
      <c r="BA3" s="742"/>
      <c r="BB3" s="742"/>
      <c r="BC3" s="742"/>
      <c r="BD3" s="742"/>
      <c r="BE3" s="742"/>
      <c r="BF3" s="742"/>
      <c r="BG3" s="742"/>
      <c r="BH3" s="742"/>
    </row>
    <row r="4" spans="1:60" s="144" customFormat="1" ht="16.5" customHeight="1" x14ac:dyDescent="0.2">
      <c r="A4" s="734">
        <v>3</v>
      </c>
      <c r="B4" s="740" t="s">
        <v>136</v>
      </c>
      <c r="C4" s="741">
        <v>43.5</v>
      </c>
      <c r="D4" s="741"/>
      <c r="E4" s="741"/>
      <c r="F4" s="743"/>
      <c r="G4" s="743"/>
      <c r="H4" s="741"/>
      <c r="I4" s="744"/>
      <c r="J4" s="741">
        <v>31</v>
      </c>
      <c r="K4" s="741">
        <v>12.5</v>
      </c>
      <c r="L4" s="741">
        <f>SUM(E4:K4)</f>
        <v>43.5</v>
      </c>
      <c r="M4" s="736">
        <f t="shared" si="0"/>
        <v>0</v>
      </c>
      <c r="N4" s="745"/>
      <c r="O4" s="745"/>
      <c r="P4" s="745"/>
      <c r="Q4" s="745"/>
      <c r="R4" s="745"/>
      <c r="S4" s="745"/>
      <c r="T4" s="745"/>
      <c r="U4" s="745"/>
      <c r="V4" s="745"/>
      <c r="W4" s="745"/>
      <c r="X4" s="745"/>
      <c r="Y4" s="745"/>
      <c r="Z4" s="745"/>
      <c r="AA4" s="745"/>
      <c r="AB4" s="745"/>
      <c r="AC4" s="745"/>
      <c r="AD4" s="745"/>
      <c r="AE4" s="745"/>
      <c r="AF4" s="745"/>
      <c r="AG4" s="745"/>
      <c r="AH4" s="745"/>
      <c r="AI4" s="745"/>
      <c r="AJ4" s="745"/>
      <c r="AK4" s="745"/>
      <c r="AL4" s="745"/>
      <c r="AM4" s="745"/>
      <c r="AN4" s="745"/>
      <c r="AO4" s="745"/>
      <c r="AP4" s="745"/>
      <c r="AQ4" s="745"/>
      <c r="AR4" s="745"/>
      <c r="AS4" s="745"/>
      <c r="AT4" s="745"/>
      <c r="AU4" s="745"/>
      <c r="AV4" s="745"/>
      <c r="AW4" s="745"/>
      <c r="AX4" s="745"/>
      <c r="AY4" s="745"/>
      <c r="AZ4" s="745"/>
      <c r="BA4" s="745"/>
      <c r="BB4" s="745"/>
      <c r="BC4" s="745"/>
      <c r="BD4" s="745"/>
      <c r="BE4" s="745"/>
      <c r="BF4" s="745"/>
      <c r="BG4" s="745"/>
      <c r="BH4" s="745"/>
    </row>
    <row r="5" spans="1:60" s="144" customFormat="1" ht="15" x14ac:dyDescent="0.2">
      <c r="A5" s="734">
        <v>4</v>
      </c>
      <c r="B5" s="735" t="s">
        <v>204</v>
      </c>
      <c r="C5" s="741">
        <v>122.5</v>
      </c>
      <c r="D5" s="741"/>
      <c r="E5" s="741"/>
      <c r="F5" s="743">
        <v>0.5</v>
      </c>
      <c r="G5" s="744"/>
      <c r="H5" s="741"/>
      <c r="I5" s="744">
        <v>92</v>
      </c>
      <c r="J5" s="741">
        <v>4</v>
      </c>
      <c r="K5" s="741">
        <v>26</v>
      </c>
      <c r="L5" s="741">
        <f>SUM(E5:K5)</f>
        <v>122.5</v>
      </c>
      <c r="M5" s="736">
        <f t="shared" si="0"/>
        <v>0</v>
      </c>
      <c r="N5" s="745"/>
      <c r="O5" s="745"/>
      <c r="P5" s="745"/>
      <c r="Q5" s="745"/>
      <c r="R5" s="745"/>
      <c r="S5" s="745"/>
      <c r="T5" s="745"/>
      <c r="U5" s="745"/>
      <c r="V5" s="745"/>
      <c r="W5" s="745"/>
      <c r="X5" s="745"/>
      <c r="Y5" s="745"/>
      <c r="Z5" s="745"/>
      <c r="AA5" s="745"/>
      <c r="AB5" s="745"/>
      <c r="AC5" s="745"/>
      <c r="AD5" s="745"/>
      <c r="AE5" s="745"/>
      <c r="AF5" s="745"/>
      <c r="AG5" s="745"/>
      <c r="AH5" s="745"/>
      <c r="AI5" s="745"/>
      <c r="AJ5" s="745"/>
      <c r="AK5" s="745"/>
      <c r="AL5" s="745"/>
      <c r="AM5" s="745"/>
      <c r="AN5" s="745"/>
      <c r="AO5" s="745"/>
      <c r="AP5" s="745"/>
      <c r="AQ5" s="745"/>
      <c r="AR5" s="745"/>
      <c r="AS5" s="745"/>
      <c r="AT5" s="745"/>
      <c r="AU5" s="745"/>
      <c r="AV5" s="745"/>
      <c r="AW5" s="745"/>
      <c r="AX5" s="745"/>
      <c r="AY5" s="745"/>
      <c r="AZ5" s="745"/>
      <c r="BA5" s="745"/>
      <c r="BB5" s="745"/>
      <c r="BC5" s="745"/>
      <c r="BD5" s="745"/>
      <c r="BE5" s="745"/>
      <c r="BF5" s="745"/>
      <c r="BG5" s="745"/>
      <c r="BH5" s="745"/>
    </row>
    <row r="6" spans="1:60" s="144" customFormat="1" ht="15" x14ac:dyDescent="0.2">
      <c r="A6" s="734">
        <v>5</v>
      </c>
      <c r="B6" s="735" t="s">
        <v>137</v>
      </c>
      <c r="C6" s="741">
        <v>59.5</v>
      </c>
      <c r="D6" s="741"/>
      <c r="E6" s="741"/>
      <c r="F6" s="741">
        <v>4</v>
      </c>
      <c r="G6" s="743"/>
      <c r="H6" s="741"/>
      <c r="I6" s="744">
        <v>48.5</v>
      </c>
      <c r="J6" s="741"/>
      <c r="K6" s="741">
        <v>7</v>
      </c>
      <c r="L6" s="741">
        <f>SUM(E6:K6)</f>
        <v>59.5</v>
      </c>
      <c r="M6" s="736">
        <f t="shared" si="0"/>
        <v>0</v>
      </c>
      <c r="N6" s="745"/>
      <c r="O6" s="745"/>
      <c r="P6" s="745"/>
      <c r="Q6" s="745"/>
      <c r="R6" s="745"/>
      <c r="S6" s="745"/>
      <c r="T6" s="745"/>
      <c r="U6" s="745"/>
      <c r="V6" s="745"/>
      <c r="W6" s="745"/>
      <c r="X6" s="745"/>
      <c r="Y6" s="745"/>
      <c r="Z6" s="745"/>
      <c r="AA6" s="745"/>
      <c r="AB6" s="745"/>
      <c r="AC6" s="745"/>
      <c r="AD6" s="745"/>
      <c r="AE6" s="745"/>
      <c r="AF6" s="745"/>
      <c r="AG6" s="745"/>
      <c r="AH6" s="745"/>
      <c r="AI6" s="745"/>
      <c r="AJ6" s="745"/>
      <c r="AK6" s="745"/>
      <c r="AL6" s="745"/>
      <c r="AM6" s="745"/>
      <c r="AN6" s="745"/>
      <c r="AO6" s="745"/>
      <c r="AP6" s="745"/>
      <c r="AQ6" s="745"/>
      <c r="AR6" s="745"/>
      <c r="AS6" s="745"/>
      <c r="AT6" s="745"/>
      <c r="AU6" s="745"/>
      <c r="AV6" s="745"/>
      <c r="AW6" s="745"/>
      <c r="AX6" s="745"/>
      <c r="AY6" s="745"/>
      <c r="AZ6" s="745"/>
      <c r="BA6" s="745"/>
      <c r="BB6" s="745"/>
      <c r="BC6" s="745"/>
      <c r="BD6" s="745"/>
      <c r="BE6" s="745"/>
      <c r="BF6" s="745"/>
      <c r="BG6" s="745"/>
      <c r="BH6" s="745"/>
    </row>
    <row r="7" spans="1:60" s="144" customFormat="1" ht="25.5" x14ac:dyDescent="0.2">
      <c r="A7" s="734">
        <v>6</v>
      </c>
      <c r="B7" s="746" t="s">
        <v>240</v>
      </c>
      <c r="C7" s="741">
        <v>61.5</v>
      </c>
      <c r="D7" s="741"/>
      <c r="E7" s="741"/>
      <c r="F7" s="743"/>
      <c r="G7" s="743"/>
      <c r="H7" s="741"/>
      <c r="I7" s="744">
        <v>59.5</v>
      </c>
      <c r="J7" s="741">
        <v>2</v>
      </c>
      <c r="K7" s="741"/>
      <c r="L7" s="741">
        <f>SUM(I7:K7)</f>
        <v>61.5</v>
      </c>
      <c r="M7" s="736">
        <f t="shared" si="0"/>
        <v>0</v>
      </c>
      <c r="N7" s="745"/>
      <c r="O7" s="745"/>
      <c r="P7" s="745"/>
      <c r="Q7" s="745"/>
      <c r="R7" s="745"/>
      <c r="S7" s="745"/>
      <c r="T7" s="745"/>
      <c r="U7" s="745"/>
      <c r="V7" s="745"/>
      <c r="W7" s="745"/>
      <c r="X7" s="745"/>
      <c r="Y7" s="745"/>
      <c r="Z7" s="745"/>
      <c r="AA7" s="745"/>
      <c r="AB7" s="745"/>
      <c r="AC7" s="745"/>
      <c r="AD7" s="745"/>
      <c r="AE7" s="745"/>
      <c r="AF7" s="745"/>
      <c r="AG7" s="745"/>
      <c r="AH7" s="745"/>
      <c r="AI7" s="745"/>
      <c r="AJ7" s="745"/>
      <c r="AK7" s="745"/>
      <c r="AL7" s="745"/>
      <c r="AM7" s="745"/>
      <c r="AN7" s="745"/>
      <c r="AO7" s="745"/>
      <c r="AP7" s="745"/>
      <c r="AQ7" s="745"/>
      <c r="AR7" s="745"/>
      <c r="AS7" s="745"/>
      <c r="AT7" s="745"/>
      <c r="AU7" s="745"/>
      <c r="AV7" s="745"/>
      <c r="AW7" s="745"/>
      <c r="AX7" s="745"/>
      <c r="AY7" s="745"/>
      <c r="AZ7" s="745"/>
      <c r="BA7" s="745"/>
      <c r="BB7" s="745"/>
      <c r="BC7" s="745"/>
      <c r="BD7" s="745"/>
      <c r="BE7" s="745"/>
      <c r="BF7" s="745"/>
      <c r="BG7" s="745"/>
      <c r="BH7" s="745"/>
    </row>
    <row r="8" spans="1:60" s="144" customFormat="1" ht="15" x14ac:dyDescent="0.2">
      <c r="A8" s="734">
        <v>7</v>
      </c>
      <c r="B8" s="735" t="s">
        <v>138</v>
      </c>
      <c r="C8" s="741">
        <v>72.5</v>
      </c>
      <c r="D8" s="741"/>
      <c r="E8" s="741"/>
      <c r="F8" s="743"/>
      <c r="G8" s="743">
        <v>37.5</v>
      </c>
      <c r="H8" s="741"/>
      <c r="I8" s="744">
        <v>25</v>
      </c>
      <c r="J8" s="741"/>
      <c r="K8" s="741">
        <v>7</v>
      </c>
      <c r="L8" s="741">
        <f>SUM(E8:K8)</f>
        <v>69.5</v>
      </c>
      <c r="M8" s="736">
        <f t="shared" si="0"/>
        <v>-3</v>
      </c>
      <c r="N8" s="745"/>
      <c r="O8" s="745"/>
      <c r="P8" s="745"/>
      <c r="Q8" s="745"/>
      <c r="R8" s="745"/>
      <c r="S8" s="745"/>
      <c r="T8" s="745"/>
      <c r="U8" s="745"/>
      <c r="V8" s="745"/>
      <c r="W8" s="745"/>
      <c r="X8" s="745"/>
      <c r="Y8" s="745"/>
      <c r="Z8" s="745"/>
      <c r="AA8" s="745"/>
      <c r="AB8" s="745"/>
      <c r="AC8" s="745"/>
      <c r="AD8" s="745"/>
      <c r="AE8" s="745"/>
      <c r="AF8" s="745"/>
      <c r="AG8" s="745"/>
      <c r="AH8" s="745"/>
      <c r="AI8" s="745"/>
      <c r="AJ8" s="745"/>
      <c r="AK8" s="745"/>
      <c r="AL8" s="745"/>
      <c r="AM8" s="745"/>
      <c r="AN8" s="745"/>
      <c r="AO8" s="745"/>
      <c r="AP8" s="745"/>
      <c r="AQ8" s="745"/>
      <c r="AR8" s="745"/>
      <c r="AS8" s="745"/>
      <c r="AT8" s="745"/>
      <c r="AU8" s="745"/>
      <c r="AV8" s="745"/>
      <c r="AW8" s="745"/>
      <c r="AX8" s="745"/>
      <c r="AY8" s="745"/>
      <c r="AZ8" s="745"/>
      <c r="BA8" s="745"/>
      <c r="BB8" s="745"/>
      <c r="BC8" s="745"/>
      <c r="BD8" s="745"/>
      <c r="BE8" s="745"/>
      <c r="BF8" s="745"/>
      <c r="BG8" s="745"/>
      <c r="BH8" s="745"/>
    </row>
    <row r="9" spans="1:60" s="144" customFormat="1" ht="15" x14ac:dyDescent="0.2">
      <c r="A9" s="734">
        <v>8</v>
      </c>
      <c r="B9" s="735" t="s">
        <v>139</v>
      </c>
      <c r="C9" s="741">
        <v>63</v>
      </c>
      <c r="D9" s="741"/>
      <c r="E9" s="741"/>
      <c r="F9" s="743"/>
      <c r="G9" s="741">
        <v>31</v>
      </c>
      <c r="H9" s="741"/>
      <c r="I9" s="744">
        <v>21</v>
      </c>
      <c r="J9" s="741"/>
      <c r="K9" s="741">
        <v>8</v>
      </c>
      <c r="L9" s="741">
        <f>SUM(E9:K9)</f>
        <v>60</v>
      </c>
      <c r="M9" s="736">
        <f t="shared" si="0"/>
        <v>-3</v>
      </c>
      <c r="N9" s="745"/>
      <c r="O9" s="745"/>
      <c r="P9" s="745"/>
      <c r="Q9" s="745"/>
      <c r="R9" s="745"/>
      <c r="S9" s="745"/>
      <c r="T9" s="745"/>
      <c r="U9" s="745"/>
      <c r="V9" s="745"/>
      <c r="W9" s="745"/>
      <c r="X9" s="745"/>
      <c r="Y9" s="745"/>
      <c r="Z9" s="745"/>
      <c r="AA9" s="745"/>
      <c r="AB9" s="745"/>
      <c r="AC9" s="745"/>
      <c r="AD9" s="745"/>
      <c r="AE9" s="745"/>
      <c r="AF9" s="745"/>
      <c r="AG9" s="745"/>
      <c r="AH9" s="745"/>
      <c r="AI9" s="745"/>
      <c r="AJ9" s="745"/>
      <c r="AK9" s="745"/>
      <c r="AL9" s="745"/>
      <c r="AM9" s="745"/>
      <c r="AN9" s="745"/>
      <c r="AO9" s="745"/>
      <c r="AP9" s="745"/>
      <c r="AQ9" s="745"/>
      <c r="AR9" s="745"/>
      <c r="AS9" s="745"/>
      <c r="AT9" s="745"/>
      <c r="AU9" s="745"/>
      <c r="AV9" s="745"/>
      <c r="AW9" s="745"/>
      <c r="AX9" s="745"/>
      <c r="AY9" s="745"/>
      <c r="AZ9" s="745"/>
      <c r="BA9" s="745"/>
      <c r="BB9" s="745"/>
      <c r="BC9" s="745"/>
      <c r="BD9" s="745"/>
      <c r="BE9" s="745"/>
      <c r="BF9" s="745"/>
      <c r="BG9" s="745"/>
      <c r="BH9" s="745"/>
    </row>
    <row r="10" spans="1:60" s="144" customFormat="1" ht="15" x14ac:dyDescent="0.2">
      <c r="A10" s="734">
        <v>9</v>
      </c>
      <c r="B10" s="735" t="s">
        <v>207</v>
      </c>
      <c r="C10" s="741">
        <v>70</v>
      </c>
      <c r="D10" s="741"/>
      <c r="E10" s="741"/>
      <c r="F10" s="743"/>
      <c r="G10" s="741">
        <v>37</v>
      </c>
      <c r="H10" s="741"/>
      <c r="I10" s="744">
        <v>23</v>
      </c>
      <c r="J10" s="741"/>
      <c r="K10" s="741">
        <v>7</v>
      </c>
      <c r="L10" s="741">
        <f>SUM(E10:K10)</f>
        <v>67</v>
      </c>
      <c r="M10" s="736">
        <f t="shared" si="0"/>
        <v>-3</v>
      </c>
      <c r="N10" s="745"/>
      <c r="O10" s="745"/>
      <c r="P10" s="745"/>
      <c r="Q10" s="745"/>
      <c r="R10" s="745"/>
      <c r="S10" s="745"/>
      <c r="T10" s="745"/>
      <c r="U10" s="745"/>
      <c r="V10" s="745"/>
      <c r="W10" s="745"/>
      <c r="X10" s="745"/>
      <c r="Y10" s="745"/>
      <c r="Z10" s="745"/>
      <c r="AA10" s="745"/>
      <c r="AB10" s="745"/>
      <c r="AC10" s="745"/>
      <c r="AD10" s="745"/>
      <c r="AE10" s="745"/>
      <c r="AF10" s="745"/>
      <c r="AG10" s="745"/>
      <c r="AH10" s="745"/>
      <c r="AI10" s="745"/>
      <c r="AJ10" s="745"/>
      <c r="AK10" s="745"/>
      <c r="AL10" s="745"/>
      <c r="AM10" s="745"/>
      <c r="AN10" s="745"/>
      <c r="AO10" s="745"/>
      <c r="AP10" s="745"/>
      <c r="AQ10" s="745"/>
      <c r="AR10" s="745"/>
      <c r="AS10" s="745"/>
      <c r="AT10" s="745"/>
      <c r="AU10" s="745"/>
      <c r="AV10" s="745"/>
      <c r="AW10" s="745"/>
      <c r="AX10" s="745"/>
      <c r="AY10" s="745"/>
      <c r="AZ10" s="745"/>
      <c r="BA10" s="745"/>
      <c r="BB10" s="745"/>
      <c r="BC10" s="745"/>
      <c r="BD10" s="745"/>
      <c r="BE10" s="745"/>
      <c r="BF10" s="745"/>
      <c r="BG10" s="745"/>
      <c r="BH10" s="745"/>
    </row>
    <row r="11" spans="1:60" s="144" customFormat="1" ht="15" x14ac:dyDescent="0.2">
      <c r="A11" s="734">
        <v>10</v>
      </c>
      <c r="B11" s="735" t="s">
        <v>208</v>
      </c>
      <c r="C11" s="741">
        <v>68</v>
      </c>
      <c r="D11" s="741"/>
      <c r="E11" s="741"/>
      <c r="F11" s="743"/>
      <c r="G11" s="741">
        <v>35</v>
      </c>
      <c r="H11" s="741"/>
      <c r="I11" s="744">
        <v>22</v>
      </c>
      <c r="J11" s="741"/>
      <c r="K11" s="741">
        <v>9</v>
      </c>
      <c r="L11" s="741">
        <f>SUM(E11:K11)</f>
        <v>66</v>
      </c>
      <c r="M11" s="736">
        <f t="shared" si="0"/>
        <v>-2</v>
      </c>
      <c r="N11" s="745"/>
      <c r="O11" s="745"/>
      <c r="P11" s="745"/>
      <c r="Q11" s="745"/>
      <c r="R11" s="745"/>
      <c r="S11" s="745"/>
      <c r="T11" s="745"/>
      <c r="U11" s="745"/>
      <c r="V11" s="745"/>
      <c r="W11" s="745"/>
      <c r="X11" s="745"/>
      <c r="Y11" s="745"/>
      <c r="Z11" s="745"/>
      <c r="AA11" s="745"/>
      <c r="AB11" s="745"/>
      <c r="AC11" s="745"/>
      <c r="AD11" s="745"/>
      <c r="AE11" s="745"/>
      <c r="AF11" s="745"/>
      <c r="AG11" s="745"/>
      <c r="AH11" s="745"/>
      <c r="AI11" s="745"/>
      <c r="AJ11" s="745"/>
      <c r="AK11" s="745"/>
      <c r="AL11" s="745"/>
      <c r="AM11" s="745"/>
      <c r="AN11" s="745"/>
      <c r="AO11" s="745"/>
      <c r="AP11" s="745"/>
      <c r="AQ11" s="745"/>
      <c r="AR11" s="745"/>
      <c r="AS11" s="745"/>
      <c r="AT11" s="745"/>
      <c r="AU11" s="745"/>
      <c r="AV11" s="745"/>
      <c r="AW11" s="745"/>
      <c r="AX11" s="745"/>
      <c r="AY11" s="745"/>
      <c r="AZ11" s="745"/>
      <c r="BA11" s="745"/>
      <c r="BB11" s="745"/>
      <c r="BC11" s="745"/>
      <c r="BD11" s="745"/>
      <c r="BE11" s="745"/>
      <c r="BF11" s="745"/>
      <c r="BG11" s="745"/>
      <c r="BH11" s="745"/>
    </row>
    <row r="12" spans="1:60" s="145" customFormat="1" ht="25.5" customHeight="1" x14ac:dyDescent="0.2">
      <c r="A12" s="734">
        <v>11</v>
      </c>
      <c r="B12" s="746" t="s">
        <v>241</v>
      </c>
      <c r="C12" s="741">
        <v>13</v>
      </c>
      <c r="D12" s="741"/>
      <c r="E12" s="737"/>
      <c r="F12" s="747"/>
      <c r="G12" s="737"/>
      <c r="H12" s="737"/>
      <c r="I12" s="737"/>
      <c r="J12" s="737">
        <v>13</v>
      </c>
      <c r="K12" s="737"/>
      <c r="L12" s="737">
        <f>SUM(I12:K12)</f>
        <v>13</v>
      </c>
      <c r="M12" s="736">
        <f t="shared" si="0"/>
        <v>0</v>
      </c>
    </row>
    <row r="13" spans="1:60" s="145" customFormat="1" ht="27.75" customHeight="1" x14ac:dyDescent="0.2">
      <c r="A13" s="734">
        <v>12</v>
      </c>
      <c r="B13" s="748" t="s">
        <v>140</v>
      </c>
      <c r="C13" s="741">
        <v>63.5</v>
      </c>
      <c r="D13" s="741"/>
      <c r="E13" s="737"/>
      <c r="F13" s="737"/>
      <c r="G13" s="737"/>
      <c r="H13" s="737">
        <v>16</v>
      </c>
      <c r="I13" s="737">
        <v>13</v>
      </c>
      <c r="J13" s="737">
        <v>7</v>
      </c>
      <c r="K13" s="737">
        <v>27.5</v>
      </c>
      <c r="L13" s="737">
        <f>SUM(H13:K13)</f>
        <v>63.5</v>
      </c>
      <c r="M13" s="736">
        <f t="shared" si="0"/>
        <v>0</v>
      </c>
    </row>
    <row r="14" spans="1:60" s="146" customFormat="1" ht="36.75" customHeight="1" x14ac:dyDescent="0.2">
      <c r="A14" s="734">
        <v>13</v>
      </c>
      <c r="B14" s="746" t="s">
        <v>141</v>
      </c>
      <c r="C14" s="741">
        <v>4</v>
      </c>
      <c r="D14" s="741"/>
      <c r="E14" s="737"/>
      <c r="F14" s="747"/>
      <c r="G14" s="747"/>
      <c r="H14" s="737"/>
      <c r="I14" s="749">
        <v>4</v>
      </c>
      <c r="J14" s="749"/>
      <c r="K14" s="749"/>
      <c r="L14" s="749">
        <f>SUM(H14:K14)</f>
        <v>4</v>
      </c>
      <c r="M14" s="736">
        <f t="shared" si="0"/>
        <v>0</v>
      </c>
      <c r="P14" s="608"/>
    </row>
    <row r="15" spans="1:60" s="147" customFormat="1" x14ac:dyDescent="0.2">
      <c r="A15" s="734">
        <v>14</v>
      </c>
      <c r="B15" s="735" t="s">
        <v>202</v>
      </c>
      <c r="C15" s="741">
        <v>54</v>
      </c>
      <c r="D15" s="741"/>
      <c r="E15" s="737"/>
      <c r="F15" s="747"/>
      <c r="G15" s="747"/>
      <c r="H15" s="737">
        <v>42</v>
      </c>
      <c r="I15" s="749">
        <v>5.5</v>
      </c>
      <c r="J15" s="737">
        <v>1</v>
      </c>
      <c r="K15" s="737">
        <v>5.5</v>
      </c>
      <c r="L15" s="741">
        <f>SUM(E15:K15)</f>
        <v>54</v>
      </c>
      <c r="M15" s="736">
        <f t="shared" si="0"/>
        <v>0</v>
      </c>
    </row>
    <row r="16" spans="1:60" s="145" customFormat="1" ht="15" x14ac:dyDescent="0.2">
      <c r="A16" s="734">
        <v>15</v>
      </c>
      <c r="B16" s="735" t="s">
        <v>203</v>
      </c>
      <c r="C16" s="741">
        <v>58</v>
      </c>
      <c r="D16" s="741"/>
      <c r="E16" s="737"/>
      <c r="F16" s="747"/>
      <c r="G16" s="747"/>
      <c r="H16" s="750"/>
      <c r="I16" s="749">
        <v>45</v>
      </c>
      <c r="J16" s="749">
        <v>3</v>
      </c>
      <c r="K16" s="749">
        <v>10</v>
      </c>
      <c r="L16" s="749">
        <f>SUM(I16:K16)</f>
        <v>58</v>
      </c>
      <c r="M16" s="736">
        <f t="shared" si="0"/>
        <v>0</v>
      </c>
    </row>
    <row r="17" spans="1:13" x14ac:dyDescent="0.2">
      <c r="A17" s="734">
        <v>16</v>
      </c>
      <c r="B17" s="735" t="s">
        <v>10</v>
      </c>
      <c r="C17" s="741">
        <v>127</v>
      </c>
      <c r="D17" s="741"/>
      <c r="E17" s="737"/>
      <c r="F17" s="747"/>
      <c r="G17" s="747"/>
      <c r="H17" s="750"/>
      <c r="I17" s="749">
        <v>39</v>
      </c>
      <c r="J17" s="737">
        <v>16</v>
      </c>
      <c r="K17" s="737">
        <v>72</v>
      </c>
      <c r="L17" s="741">
        <f>SUM(E17:K17)</f>
        <v>127</v>
      </c>
      <c r="M17" s="736">
        <f t="shared" si="0"/>
        <v>0</v>
      </c>
    </row>
    <row r="18" spans="1:13" x14ac:dyDescent="0.2">
      <c r="A18" s="734">
        <v>17</v>
      </c>
      <c r="B18" s="735" t="s">
        <v>211</v>
      </c>
      <c r="C18" s="741">
        <v>19</v>
      </c>
      <c r="D18" s="741"/>
      <c r="E18" s="737"/>
      <c r="F18" s="747"/>
      <c r="G18" s="747"/>
      <c r="H18" s="750"/>
      <c r="I18" s="749">
        <v>11</v>
      </c>
      <c r="J18" s="737">
        <v>1</v>
      </c>
      <c r="K18" s="737">
        <v>7</v>
      </c>
      <c r="L18" s="741">
        <f>SUM(E18:K18)</f>
        <v>19</v>
      </c>
      <c r="M18" s="736">
        <f t="shared" si="0"/>
        <v>0</v>
      </c>
    </row>
    <row r="19" spans="1:13" s="146" customFormat="1" ht="25.5" x14ac:dyDescent="0.2">
      <c r="A19" s="734">
        <v>18</v>
      </c>
      <c r="B19" s="746" t="s">
        <v>142</v>
      </c>
      <c r="C19" s="741">
        <v>23</v>
      </c>
      <c r="D19" s="741"/>
      <c r="E19" s="737"/>
      <c r="F19" s="747"/>
      <c r="G19" s="747"/>
      <c r="H19" s="750"/>
      <c r="I19" s="749"/>
      <c r="J19" s="737">
        <v>4</v>
      </c>
      <c r="K19" s="737">
        <v>19</v>
      </c>
      <c r="L19" s="737">
        <f>SUM(J19:K19)</f>
        <v>23</v>
      </c>
      <c r="M19" s="736">
        <f t="shared" si="0"/>
        <v>0</v>
      </c>
    </row>
    <row r="20" spans="1:13" s="148" customFormat="1" x14ac:dyDescent="0.2">
      <c r="A20" s="734">
        <v>19</v>
      </c>
      <c r="B20" s="735" t="s">
        <v>248</v>
      </c>
      <c r="C20" s="741">
        <v>11</v>
      </c>
      <c r="D20" s="741"/>
      <c r="E20" s="737"/>
      <c r="F20" s="747"/>
      <c r="G20" s="747"/>
      <c r="H20" s="750"/>
      <c r="I20" s="749"/>
      <c r="J20" s="737">
        <v>3</v>
      </c>
      <c r="K20" s="737">
        <v>8</v>
      </c>
      <c r="L20" s="741">
        <f>SUM(E20:K20)</f>
        <v>11</v>
      </c>
      <c r="M20" s="736">
        <f t="shared" si="0"/>
        <v>0</v>
      </c>
    </row>
    <row r="21" spans="1:13" ht="13.5" x14ac:dyDescent="0.25">
      <c r="A21" s="751"/>
      <c r="B21" s="752" t="s">
        <v>11</v>
      </c>
      <c r="C21" s="753">
        <f>C3+C4+C5+C6+C7+C8+C9+C10+C11+C12+C13+C14+C15+C16+C17+C18+C19+C20</f>
        <v>1123</v>
      </c>
      <c r="D21" s="753"/>
      <c r="E21" s="753">
        <f t="shared" ref="E21:M21" si="1">SUM(E3:E20)</f>
        <v>161</v>
      </c>
      <c r="F21" s="753">
        <f t="shared" si="1"/>
        <v>4.5</v>
      </c>
      <c r="G21" s="753">
        <f t="shared" si="1"/>
        <v>140.5</v>
      </c>
      <c r="H21" s="753">
        <f t="shared" si="1"/>
        <v>58</v>
      </c>
      <c r="I21" s="753">
        <f t="shared" si="1"/>
        <v>408.5</v>
      </c>
      <c r="J21" s="753">
        <f t="shared" si="1"/>
        <v>107</v>
      </c>
      <c r="K21" s="753">
        <f t="shared" si="1"/>
        <v>232.5</v>
      </c>
      <c r="L21" s="753">
        <f t="shared" si="1"/>
        <v>1112</v>
      </c>
      <c r="M21" s="753">
        <f t="shared" si="1"/>
        <v>-11</v>
      </c>
    </row>
    <row r="22" spans="1:13" ht="13.5" x14ac:dyDescent="0.25">
      <c r="A22" s="754"/>
      <c r="B22" s="752" t="s">
        <v>175</v>
      </c>
      <c r="C22" s="755">
        <f t="shared" ref="C22" si="2">C21+C2</f>
        <v>1129</v>
      </c>
      <c r="D22" s="755">
        <v>4</v>
      </c>
      <c r="E22" s="755">
        <f t="shared" ref="E22:M22" si="3">E21+E2</f>
        <v>161</v>
      </c>
      <c r="F22" s="755">
        <f t="shared" si="3"/>
        <v>4.5</v>
      </c>
      <c r="G22" s="755">
        <f t="shared" si="3"/>
        <v>140.5</v>
      </c>
      <c r="H22" s="755">
        <f t="shared" si="3"/>
        <v>58</v>
      </c>
      <c r="I22" s="755">
        <f t="shared" si="3"/>
        <v>408.5</v>
      </c>
      <c r="J22" s="755">
        <f t="shared" si="3"/>
        <v>107</v>
      </c>
      <c r="K22" s="755">
        <f t="shared" si="3"/>
        <v>234.5</v>
      </c>
      <c r="L22" s="755">
        <f t="shared" si="3"/>
        <v>1118</v>
      </c>
      <c r="M22" s="755">
        <f t="shared" si="3"/>
        <v>-11</v>
      </c>
    </row>
    <row r="24" spans="1:13" ht="9" customHeight="1" x14ac:dyDescent="0.2"/>
  </sheetData>
  <printOptions horizontalCentered="1" verticalCentered="1"/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>
    <oddHeader xml:space="preserve">&amp;C&amp;"Times New Roman,Félkövér"ZMJV Önkormányzata és a költségvetési szervek 2020. évi létszám-előirányzata                                                                                    &amp;R&amp;"Times New Roman CE,Dőlt"
9. melléklet
adatok főben 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196"/>
  <sheetViews>
    <sheetView tabSelected="1" zoomScale="96" zoomScaleNormal="96" workbookViewId="0">
      <pane ySplit="2" topLeftCell="A47" activePane="bottomLeft" state="frozen"/>
      <selection pane="bottomLeft" activeCell="I28" sqref="I28"/>
    </sheetView>
  </sheetViews>
  <sheetFormatPr defaultRowHeight="12.75" x14ac:dyDescent="0.2"/>
  <cols>
    <col min="1" max="1" width="5.33203125" style="154" customWidth="1"/>
    <col min="2" max="2" width="5.5" style="154" customWidth="1"/>
    <col min="3" max="3" width="40.83203125" style="154" customWidth="1"/>
    <col min="4" max="4" width="9.83203125" style="652" customWidth="1"/>
    <col min="5" max="5" width="13" style="154" customWidth="1"/>
    <col min="6" max="6" width="13.1640625" style="154" customWidth="1"/>
    <col min="7" max="7" width="12.33203125" style="154" customWidth="1"/>
    <col min="8" max="8" width="11.33203125" style="154" customWidth="1"/>
    <col min="9" max="9" width="11.83203125" style="154" customWidth="1"/>
    <col min="10" max="10" width="10.83203125" style="154" customWidth="1"/>
    <col min="11" max="11" width="13.1640625" style="154" customWidth="1"/>
    <col min="12" max="12" width="11.5" style="154" customWidth="1"/>
    <col min="13" max="14" width="12.33203125" style="154" customWidth="1"/>
    <col min="15" max="15" width="13.1640625" style="154" customWidth="1"/>
    <col min="16" max="16" width="7.33203125" style="154" customWidth="1"/>
    <col min="17" max="255" width="9.33203125" style="154"/>
    <col min="256" max="256" width="5.33203125" style="154" customWidth="1"/>
    <col min="257" max="257" width="5.5" style="154" customWidth="1"/>
    <col min="258" max="258" width="40.83203125" style="154" customWidth="1"/>
    <col min="259" max="259" width="9.83203125" style="154" customWidth="1"/>
    <col min="260" max="260" width="13" style="154" customWidth="1"/>
    <col min="261" max="261" width="13.1640625" style="154" customWidth="1"/>
    <col min="262" max="262" width="12.33203125" style="154" customWidth="1"/>
    <col min="263" max="263" width="11.33203125" style="154" customWidth="1"/>
    <col min="264" max="264" width="11.83203125" style="154" customWidth="1"/>
    <col min="265" max="265" width="10.83203125" style="154" customWidth="1"/>
    <col min="266" max="266" width="13.1640625" style="154" customWidth="1"/>
    <col min="267" max="267" width="11.5" style="154" customWidth="1"/>
    <col min="268" max="269" width="12.33203125" style="154" customWidth="1"/>
    <col min="270" max="270" width="13.1640625" style="154" customWidth="1"/>
    <col min="271" max="271" width="18.5" style="154" customWidth="1"/>
    <col min="272" max="272" width="7.33203125" style="154" customWidth="1"/>
    <col min="273" max="511" width="9.33203125" style="154"/>
    <col min="512" max="512" width="5.33203125" style="154" customWidth="1"/>
    <col min="513" max="513" width="5.5" style="154" customWidth="1"/>
    <col min="514" max="514" width="40.83203125" style="154" customWidth="1"/>
    <col min="515" max="515" width="9.83203125" style="154" customWidth="1"/>
    <col min="516" max="516" width="13" style="154" customWidth="1"/>
    <col min="517" max="517" width="13.1640625" style="154" customWidth="1"/>
    <col min="518" max="518" width="12.33203125" style="154" customWidth="1"/>
    <col min="519" max="519" width="11.33203125" style="154" customWidth="1"/>
    <col min="520" max="520" width="11.83203125" style="154" customWidth="1"/>
    <col min="521" max="521" width="10.83203125" style="154" customWidth="1"/>
    <col min="522" max="522" width="13.1640625" style="154" customWidth="1"/>
    <col min="523" max="523" width="11.5" style="154" customWidth="1"/>
    <col min="524" max="525" width="12.33203125" style="154" customWidth="1"/>
    <col min="526" max="526" width="13.1640625" style="154" customWidth="1"/>
    <col min="527" max="527" width="18.5" style="154" customWidth="1"/>
    <col min="528" max="528" width="7.33203125" style="154" customWidth="1"/>
    <col min="529" max="767" width="9.33203125" style="154"/>
    <col min="768" max="768" width="5.33203125" style="154" customWidth="1"/>
    <col min="769" max="769" width="5.5" style="154" customWidth="1"/>
    <col min="770" max="770" width="40.83203125" style="154" customWidth="1"/>
    <col min="771" max="771" width="9.83203125" style="154" customWidth="1"/>
    <col min="772" max="772" width="13" style="154" customWidth="1"/>
    <col min="773" max="773" width="13.1640625" style="154" customWidth="1"/>
    <col min="774" max="774" width="12.33203125" style="154" customWidth="1"/>
    <col min="775" max="775" width="11.33203125" style="154" customWidth="1"/>
    <col min="776" max="776" width="11.83203125" style="154" customWidth="1"/>
    <col min="777" max="777" width="10.83203125" style="154" customWidth="1"/>
    <col min="778" max="778" width="13.1640625" style="154" customWidth="1"/>
    <col min="779" max="779" width="11.5" style="154" customWidth="1"/>
    <col min="780" max="781" width="12.33203125" style="154" customWidth="1"/>
    <col min="782" max="782" width="13.1640625" style="154" customWidth="1"/>
    <col min="783" max="783" width="18.5" style="154" customWidth="1"/>
    <col min="784" max="784" width="7.33203125" style="154" customWidth="1"/>
    <col min="785" max="1023" width="9.33203125" style="154"/>
    <col min="1024" max="1024" width="5.33203125" style="154" customWidth="1"/>
    <col min="1025" max="1025" width="5.5" style="154" customWidth="1"/>
    <col min="1026" max="1026" width="40.83203125" style="154" customWidth="1"/>
    <col min="1027" max="1027" width="9.83203125" style="154" customWidth="1"/>
    <col min="1028" max="1028" width="13" style="154" customWidth="1"/>
    <col min="1029" max="1029" width="13.1640625" style="154" customWidth="1"/>
    <col min="1030" max="1030" width="12.33203125" style="154" customWidth="1"/>
    <col min="1031" max="1031" width="11.33203125" style="154" customWidth="1"/>
    <col min="1032" max="1032" width="11.83203125" style="154" customWidth="1"/>
    <col min="1033" max="1033" width="10.83203125" style="154" customWidth="1"/>
    <col min="1034" max="1034" width="13.1640625" style="154" customWidth="1"/>
    <col min="1035" max="1035" width="11.5" style="154" customWidth="1"/>
    <col min="1036" max="1037" width="12.33203125" style="154" customWidth="1"/>
    <col min="1038" max="1038" width="13.1640625" style="154" customWidth="1"/>
    <col min="1039" max="1039" width="18.5" style="154" customWidth="1"/>
    <col min="1040" max="1040" width="7.33203125" style="154" customWidth="1"/>
    <col min="1041" max="1279" width="9.33203125" style="154"/>
    <col min="1280" max="1280" width="5.33203125" style="154" customWidth="1"/>
    <col min="1281" max="1281" width="5.5" style="154" customWidth="1"/>
    <col min="1282" max="1282" width="40.83203125" style="154" customWidth="1"/>
    <col min="1283" max="1283" width="9.83203125" style="154" customWidth="1"/>
    <col min="1284" max="1284" width="13" style="154" customWidth="1"/>
    <col min="1285" max="1285" width="13.1640625" style="154" customWidth="1"/>
    <col min="1286" max="1286" width="12.33203125" style="154" customWidth="1"/>
    <col min="1287" max="1287" width="11.33203125" style="154" customWidth="1"/>
    <col min="1288" max="1288" width="11.83203125" style="154" customWidth="1"/>
    <col min="1289" max="1289" width="10.83203125" style="154" customWidth="1"/>
    <col min="1290" max="1290" width="13.1640625" style="154" customWidth="1"/>
    <col min="1291" max="1291" width="11.5" style="154" customWidth="1"/>
    <col min="1292" max="1293" width="12.33203125" style="154" customWidth="1"/>
    <col min="1294" max="1294" width="13.1640625" style="154" customWidth="1"/>
    <col min="1295" max="1295" width="18.5" style="154" customWidth="1"/>
    <col min="1296" max="1296" width="7.33203125" style="154" customWidth="1"/>
    <col min="1297" max="1535" width="9.33203125" style="154"/>
    <col min="1536" max="1536" width="5.33203125" style="154" customWidth="1"/>
    <col min="1537" max="1537" width="5.5" style="154" customWidth="1"/>
    <col min="1538" max="1538" width="40.83203125" style="154" customWidth="1"/>
    <col min="1539" max="1539" width="9.83203125" style="154" customWidth="1"/>
    <col min="1540" max="1540" width="13" style="154" customWidth="1"/>
    <col min="1541" max="1541" width="13.1640625" style="154" customWidth="1"/>
    <col min="1542" max="1542" width="12.33203125" style="154" customWidth="1"/>
    <col min="1543" max="1543" width="11.33203125" style="154" customWidth="1"/>
    <col min="1544" max="1544" width="11.83203125" style="154" customWidth="1"/>
    <col min="1545" max="1545" width="10.83203125" style="154" customWidth="1"/>
    <col min="1546" max="1546" width="13.1640625" style="154" customWidth="1"/>
    <col min="1547" max="1547" width="11.5" style="154" customWidth="1"/>
    <col min="1548" max="1549" width="12.33203125" style="154" customWidth="1"/>
    <col min="1550" max="1550" width="13.1640625" style="154" customWidth="1"/>
    <col min="1551" max="1551" width="18.5" style="154" customWidth="1"/>
    <col min="1552" max="1552" width="7.33203125" style="154" customWidth="1"/>
    <col min="1553" max="1791" width="9.33203125" style="154"/>
    <col min="1792" max="1792" width="5.33203125" style="154" customWidth="1"/>
    <col min="1793" max="1793" width="5.5" style="154" customWidth="1"/>
    <col min="1794" max="1794" width="40.83203125" style="154" customWidth="1"/>
    <col min="1795" max="1795" width="9.83203125" style="154" customWidth="1"/>
    <col min="1796" max="1796" width="13" style="154" customWidth="1"/>
    <col min="1797" max="1797" width="13.1640625" style="154" customWidth="1"/>
    <col min="1798" max="1798" width="12.33203125" style="154" customWidth="1"/>
    <col min="1799" max="1799" width="11.33203125" style="154" customWidth="1"/>
    <col min="1800" max="1800" width="11.83203125" style="154" customWidth="1"/>
    <col min="1801" max="1801" width="10.83203125" style="154" customWidth="1"/>
    <col min="1802" max="1802" width="13.1640625" style="154" customWidth="1"/>
    <col min="1803" max="1803" width="11.5" style="154" customWidth="1"/>
    <col min="1804" max="1805" width="12.33203125" style="154" customWidth="1"/>
    <col min="1806" max="1806" width="13.1640625" style="154" customWidth="1"/>
    <col min="1807" max="1807" width="18.5" style="154" customWidth="1"/>
    <col min="1808" max="1808" width="7.33203125" style="154" customWidth="1"/>
    <col min="1809" max="2047" width="9.33203125" style="154"/>
    <col min="2048" max="2048" width="5.33203125" style="154" customWidth="1"/>
    <col min="2049" max="2049" width="5.5" style="154" customWidth="1"/>
    <col min="2050" max="2050" width="40.83203125" style="154" customWidth="1"/>
    <col min="2051" max="2051" width="9.83203125" style="154" customWidth="1"/>
    <col min="2052" max="2052" width="13" style="154" customWidth="1"/>
    <col min="2053" max="2053" width="13.1640625" style="154" customWidth="1"/>
    <col min="2054" max="2054" width="12.33203125" style="154" customWidth="1"/>
    <col min="2055" max="2055" width="11.33203125" style="154" customWidth="1"/>
    <col min="2056" max="2056" width="11.83203125" style="154" customWidth="1"/>
    <col min="2057" max="2057" width="10.83203125" style="154" customWidth="1"/>
    <col min="2058" max="2058" width="13.1640625" style="154" customWidth="1"/>
    <col min="2059" max="2059" width="11.5" style="154" customWidth="1"/>
    <col min="2060" max="2061" width="12.33203125" style="154" customWidth="1"/>
    <col min="2062" max="2062" width="13.1640625" style="154" customWidth="1"/>
    <col min="2063" max="2063" width="18.5" style="154" customWidth="1"/>
    <col min="2064" max="2064" width="7.33203125" style="154" customWidth="1"/>
    <col min="2065" max="2303" width="9.33203125" style="154"/>
    <col min="2304" max="2304" width="5.33203125" style="154" customWidth="1"/>
    <col min="2305" max="2305" width="5.5" style="154" customWidth="1"/>
    <col min="2306" max="2306" width="40.83203125" style="154" customWidth="1"/>
    <col min="2307" max="2307" width="9.83203125" style="154" customWidth="1"/>
    <col min="2308" max="2308" width="13" style="154" customWidth="1"/>
    <col min="2309" max="2309" width="13.1640625" style="154" customWidth="1"/>
    <col min="2310" max="2310" width="12.33203125" style="154" customWidth="1"/>
    <col min="2311" max="2311" width="11.33203125" style="154" customWidth="1"/>
    <col min="2312" max="2312" width="11.83203125" style="154" customWidth="1"/>
    <col min="2313" max="2313" width="10.83203125" style="154" customWidth="1"/>
    <col min="2314" max="2314" width="13.1640625" style="154" customWidth="1"/>
    <col min="2315" max="2315" width="11.5" style="154" customWidth="1"/>
    <col min="2316" max="2317" width="12.33203125" style="154" customWidth="1"/>
    <col min="2318" max="2318" width="13.1640625" style="154" customWidth="1"/>
    <col min="2319" max="2319" width="18.5" style="154" customWidth="1"/>
    <col min="2320" max="2320" width="7.33203125" style="154" customWidth="1"/>
    <col min="2321" max="2559" width="9.33203125" style="154"/>
    <col min="2560" max="2560" width="5.33203125" style="154" customWidth="1"/>
    <col min="2561" max="2561" width="5.5" style="154" customWidth="1"/>
    <col min="2562" max="2562" width="40.83203125" style="154" customWidth="1"/>
    <col min="2563" max="2563" width="9.83203125" style="154" customWidth="1"/>
    <col min="2564" max="2564" width="13" style="154" customWidth="1"/>
    <col min="2565" max="2565" width="13.1640625" style="154" customWidth="1"/>
    <col min="2566" max="2566" width="12.33203125" style="154" customWidth="1"/>
    <col min="2567" max="2567" width="11.33203125" style="154" customWidth="1"/>
    <col min="2568" max="2568" width="11.83203125" style="154" customWidth="1"/>
    <col min="2569" max="2569" width="10.83203125" style="154" customWidth="1"/>
    <col min="2570" max="2570" width="13.1640625" style="154" customWidth="1"/>
    <col min="2571" max="2571" width="11.5" style="154" customWidth="1"/>
    <col min="2572" max="2573" width="12.33203125" style="154" customWidth="1"/>
    <col min="2574" max="2574" width="13.1640625" style="154" customWidth="1"/>
    <col min="2575" max="2575" width="18.5" style="154" customWidth="1"/>
    <col min="2576" max="2576" width="7.33203125" style="154" customWidth="1"/>
    <col min="2577" max="2815" width="9.33203125" style="154"/>
    <col min="2816" max="2816" width="5.33203125" style="154" customWidth="1"/>
    <col min="2817" max="2817" width="5.5" style="154" customWidth="1"/>
    <col min="2818" max="2818" width="40.83203125" style="154" customWidth="1"/>
    <col min="2819" max="2819" width="9.83203125" style="154" customWidth="1"/>
    <col min="2820" max="2820" width="13" style="154" customWidth="1"/>
    <col min="2821" max="2821" width="13.1640625" style="154" customWidth="1"/>
    <col min="2822" max="2822" width="12.33203125" style="154" customWidth="1"/>
    <col min="2823" max="2823" width="11.33203125" style="154" customWidth="1"/>
    <col min="2824" max="2824" width="11.83203125" style="154" customWidth="1"/>
    <col min="2825" max="2825" width="10.83203125" style="154" customWidth="1"/>
    <col min="2826" max="2826" width="13.1640625" style="154" customWidth="1"/>
    <col min="2827" max="2827" width="11.5" style="154" customWidth="1"/>
    <col min="2828" max="2829" width="12.33203125" style="154" customWidth="1"/>
    <col min="2830" max="2830" width="13.1640625" style="154" customWidth="1"/>
    <col min="2831" max="2831" width="18.5" style="154" customWidth="1"/>
    <col min="2832" max="2832" width="7.33203125" style="154" customWidth="1"/>
    <col min="2833" max="3071" width="9.33203125" style="154"/>
    <col min="3072" max="3072" width="5.33203125" style="154" customWidth="1"/>
    <col min="3073" max="3073" width="5.5" style="154" customWidth="1"/>
    <col min="3074" max="3074" width="40.83203125" style="154" customWidth="1"/>
    <col min="3075" max="3075" width="9.83203125" style="154" customWidth="1"/>
    <col min="3076" max="3076" width="13" style="154" customWidth="1"/>
    <col min="3077" max="3077" width="13.1640625" style="154" customWidth="1"/>
    <col min="3078" max="3078" width="12.33203125" style="154" customWidth="1"/>
    <col min="3079" max="3079" width="11.33203125" style="154" customWidth="1"/>
    <col min="3080" max="3080" width="11.83203125" style="154" customWidth="1"/>
    <col min="3081" max="3081" width="10.83203125" style="154" customWidth="1"/>
    <col min="3082" max="3082" width="13.1640625" style="154" customWidth="1"/>
    <col min="3083" max="3083" width="11.5" style="154" customWidth="1"/>
    <col min="3084" max="3085" width="12.33203125" style="154" customWidth="1"/>
    <col min="3086" max="3086" width="13.1640625" style="154" customWidth="1"/>
    <col min="3087" max="3087" width="18.5" style="154" customWidth="1"/>
    <col min="3088" max="3088" width="7.33203125" style="154" customWidth="1"/>
    <col min="3089" max="3327" width="9.33203125" style="154"/>
    <col min="3328" max="3328" width="5.33203125" style="154" customWidth="1"/>
    <col min="3329" max="3329" width="5.5" style="154" customWidth="1"/>
    <col min="3330" max="3330" width="40.83203125" style="154" customWidth="1"/>
    <col min="3331" max="3331" width="9.83203125" style="154" customWidth="1"/>
    <col min="3332" max="3332" width="13" style="154" customWidth="1"/>
    <col min="3333" max="3333" width="13.1640625" style="154" customWidth="1"/>
    <col min="3334" max="3334" width="12.33203125" style="154" customWidth="1"/>
    <col min="3335" max="3335" width="11.33203125" style="154" customWidth="1"/>
    <col min="3336" max="3336" width="11.83203125" style="154" customWidth="1"/>
    <col min="3337" max="3337" width="10.83203125" style="154" customWidth="1"/>
    <col min="3338" max="3338" width="13.1640625" style="154" customWidth="1"/>
    <col min="3339" max="3339" width="11.5" style="154" customWidth="1"/>
    <col min="3340" max="3341" width="12.33203125" style="154" customWidth="1"/>
    <col min="3342" max="3342" width="13.1640625" style="154" customWidth="1"/>
    <col min="3343" max="3343" width="18.5" style="154" customWidth="1"/>
    <col min="3344" max="3344" width="7.33203125" style="154" customWidth="1"/>
    <col min="3345" max="3583" width="9.33203125" style="154"/>
    <col min="3584" max="3584" width="5.33203125" style="154" customWidth="1"/>
    <col min="3585" max="3585" width="5.5" style="154" customWidth="1"/>
    <col min="3586" max="3586" width="40.83203125" style="154" customWidth="1"/>
    <col min="3587" max="3587" width="9.83203125" style="154" customWidth="1"/>
    <col min="3588" max="3588" width="13" style="154" customWidth="1"/>
    <col min="3589" max="3589" width="13.1640625" style="154" customWidth="1"/>
    <col min="3590" max="3590" width="12.33203125" style="154" customWidth="1"/>
    <col min="3591" max="3591" width="11.33203125" style="154" customWidth="1"/>
    <col min="3592" max="3592" width="11.83203125" style="154" customWidth="1"/>
    <col min="3593" max="3593" width="10.83203125" style="154" customWidth="1"/>
    <col min="3594" max="3594" width="13.1640625" style="154" customWidth="1"/>
    <col min="3595" max="3595" width="11.5" style="154" customWidth="1"/>
    <col min="3596" max="3597" width="12.33203125" style="154" customWidth="1"/>
    <col min="3598" max="3598" width="13.1640625" style="154" customWidth="1"/>
    <col min="3599" max="3599" width="18.5" style="154" customWidth="1"/>
    <col min="3600" max="3600" width="7.33203125" style="154" customWidth="1"/>
    <col min="3601" max="3839" width="9.33203125" style="154"/>
    <col min="3840" max="3840" width="5.33203125" style="154" customWidth="1"/>
    <col min="3841" max="3841" width="5.5" style="154" customWidth="1"/>
    <col min="3842" max="3842" width="40.83203125" style="154" customWidth="1"/>
    <col min="3843" max="3843" width="9.83203125" style="154" customWidth="1"/>
    <col min="3844" max="3844" width="13" style="154" customWidth="1"/>
    <col min="3845" max="3845" width="13.1640625" style="154" customWidth="1"/>
    <col min="3846" max="3846" width="12.33203125" style="154" customWidth="1"/>
    <col min="3847" max="3847" width="11.33203125" style="154" customWidth="1"/>
    <col min="3848" max="3848" width="11.83203125" style="154" customWidth="1"/>
    <col min="3849" max="3849" width="10.83203125" style="154" customWidth="1"/>
    <col min="3850" max="3850" width="13.1640625" style="154" customWidth="1"/>
    <col min="3851" max="3851" width="11.5" style="154" customWidth="1"/>
    <col min="3852" max="3853" width="12.33203125" style="154" customWidth="1"/>
    <col min="3854" max="3854" width="13.1640625" style="154" customWidth="1"/>
    <col min="3855" max="3855" width="18.5" style="154" customWidth="1"/>
    <col min="3856" max="3856" width="7.33203125" style="154" customWidth="1"/>
    <col min="3857" max="4095" width="9.33203125" style="154"/>
    <col min="4096" max="4096" width="5.33203125" style="154" customWidth="1"/>
    <col min="4097" max="4097" width="5.5" style="154" customWidth="1"/>
    <col min="4098" max="4098" width="40.83203125" style="154" customWidth="1"/>
    <col min="4099" max="4099" width="9.83203125" style="154" customWidth="1"/>
    <col min="4100" max="4100" width="13" style="154" customWidth="1"/>
    <col min="4101" max="4101" width="13.1640625" style="154" customWidth="1"/>
    <col min="4102" max="4102" width="12.33203125" style="154" customWidth="1"/>
    <col min="4103" max="4103" width="11.33203125" style="154" customWidth="1"/>
    <col min="4104" max="4104" width="11.83203125" style="154" customWidth="1"/>
    <col min="4105" max="4105" width="10.83203125" style="154" customWidth="1"/>
    <col min="4106" max="4106" width="13.1640625" style="154" customWidth="1"/>
    <col min="4107" max="4107" width="11.5" style="154" customWidth="1"/>
    <col min="4108" max="4109" width="12.33203125" style="154" customWidth="1"/>
    <col min="4110" max="4110" width="13.1640625" style="154" customWidth="1"/>
    <col min="4111" max="4111" width="18.5" style="154" customWidth="1"/>
    <col min="4112" max="4112" width="7.33203125" style="154" customWidth="1"/>
    <col min="4113" max="4351" width="9.33203125" style="154"/>
    <col min="4352" max="4352" width="5.33203125" style="154" customWidth="1"/>
    <col min="4353" max="4353" width="5.5" style="154" customWidth="1"/>
    <col min="4354" max="4354" width="40.83203125" style="154" customWidth="1"/>
    <col min="4355" max="4355" width="9.83203125" style="154" customWidth="1"/>
    <col min="4356" max="4356" width="13" style="154" customWidth="1"/>
    <col min="4357" max="4357" width="13.1640625" style="154" customWidth="1"/>
    <col min="4358" max="4358" width="12.33203125" style="154" customWidth="1"/>
    <col min="4359" max="4359" width="11.33203125" style="154" customWidth="1"/>
    <col min="4360" max="4360" width="11.83203125" style="154" customWidth="1"/>
    <col min="4361" max="4361" width="10.83203125" style="154" customWidth="1"/>
    <col min="4362" max="4362" width="13.1640625" style="154" customWidth="1"/>
    <col min="4363" max="4363" width="11.5" style="154" customWidth="1"/>
    <col min="4364" max="4365" width="12.33203125" style="154" customWidth="1"/>
    <col min="4366" max="4366" width="13.1640625" style="154" customWidth="1"/>
    <col min="4367" max="4367" width="18.5" style="154" customWidth="1"/>
    <col min="4368" max="4368" width="7.33203125" style="154" customWidth="1"/>
    <col min="4369" max="4607" width="9.33203125" style="154"/>
    <col min="4608" max="4608" width="5.33203125" style="154" customWidth="1"/>
    <col min="4609" max="4609" width="5.5" style="154" customWidth="1"/>
    <col min="4610" max="4610" width="40.83203125" style="154" customWidth="1"/>
    <col min="4611" max="4611" width="9.83203125" style="154" customWidth="1"/>
    <col min="4612" max="4612" width="13" style="154" customWidth="1"/>
    <col min="4613" max="4613" width="13.1640625" style="154" customWidth="1"/>
    <col min="4614" max="4614" width="12.33203125" style="154" customWidth="1"/>
    <col min="4615" max="4615" width="11.33203125" style="154" customWidth="1"/>
    <col min="4616" max="4616" width="11.83203125" style="154" customWidth="1"/>
    <col min="4617" max="4617" width="10.83203125" style="154" customWidth="1"/>
    <col min="4618" max="4618" width="13.1640625" style="154" customWidth="1"/>
    <col min="4619" max="4619" width="11.5" style="154" customWidth="1"/>
    <col min="4620" max="4621" width="12.33203125" style="154" customWidth="1"/>
    <col min="4622" max="4622" width="13.1640625" style="154" customWidth="1"/>
    <col min="4623" max="4623" width="18.5" style="154" customWidth="1"/>
    <col min="4624" max="4624" width="7.33203125" style="154" customWidth="1"/>
    <col min="4625" max="4863" width="9.33203125" style="154"/>
    <col min="4864" max="4864" width="5.33203125" style="154" customWidth="1"/>
    <col min="4865" max="4865" width="5.5" style="154" customWidth="1"/>
    <col min="4866" max="4866" width="40.83203125" style="154" customWidth="1"/>
    <col min="4867" max="4867" width="9.83203125" style="154" customWidth="1"/>
    <col min="4868" max="4868" width="13" style="154" customWidth="1"/>
    <col min="4869" max="4869" width="13.1640625" style="154" customWidth="1"/>
    <col min="4870" max="4870" width="12.33203125" style="154" customWidth="1"/>
    <col min="4871" max="4871" width="11.33203125" style="154" customWidth="1"/>
    <col min="4872" max="4872" width="11.83203125" style="154" customWidth="1"/>
    <col min="4873" max="4873" width="10.83203125" style="154" customWidth="1"/>
    <col min="4874" max="4874" width="13.1640625" style="154" customWidth="1"/>
    <col min="4875" max="4875" width="11.5" style="154" customWidth="1"/>
    <col min="4876" max="4877" width="12.33203125" style="154" customWidth="1"/>
    <col min="4878" max="4878" width="13.1640625" style="154" customWidth="1"/>
    <col min="4879" max="4879" width="18.5" style="154" customWidth="1"/>
    <col min="4880" max="4880" width="7.33203125" style="154" customWidth="1"/>
    <col min="4881" max="5119" width="9.33203125" style="154"/>
    <col min="5120" max="5120" width="5.33203125" style="154" customWidth="1"/>
    <col min="5121" max="5121" width="5.5" style="154" customWidth="1"/>
    <col min="5122" max="5122" width="40.83203125" style="154" customWidth="1"/>
    <col min="5123" max="5123" width="9.83203125" style="154" customWidth="1"/>
    <col min="5124" max="5124" width="13" style="154" customWidth="1"/>
    <col min="5125" max="5125" width="13.1640625" style="154" customWidth="1"/>
    <col min="5126" max="5126" width="12.33203125" style="154" customWidth="1"/>
    <col min="5127" max="5127" width="11.33203125" style="154" customWidth="1"/>
    <col min="5128" max="5128" width="11.83203125" style="154" customWidth="1"/>
    <col min="5129" max="5129" width="10.83203125" style="154" customWidth="1"/>
    <col min="5130" max="5130" width="13.1640625" style="154" customWidth="1"/>
    <col min="5131" max="5131" width="11.5" style="154" customWidth="1"/>
    <col min="5132" max="5133" width="12.33203125" style="154" customWidth="1"/>
    <col min="5134" max="5134" width="13.1640625" style="154" customWidth="1"/>
    <col min="5135" max="5135" width="18.5" style="154" customWidth="1"/>
    <col min="5136" max="5136" width="7.33203125" style="154" customWidth="1"/>
    <col min="5137" max="5375" width="9.33203125" style="154"/>
    <col min="5376" max="5376" width="5.33203125" style="154" customWidth="1"/>
    <col min="5377" max="5377" width="5.5" style="154" customWidth="1"/>
    <col min="5378" max="5378" width="40.83203125" style="154" customWidth="1"/>
    <col min="5379" max="5379" width="9.83203125" style="154" customWidth="1"/>
    <col min="5380" max="5380" width="13" style="154" customWidth="1"/>
    <col min="5381" max="5381" width="13.1640625" style="154" customWidth="1"/>
    <col min="5382" max="5382" width="12.33203125" style="154" customWidth="1"/>
    <col min="5383" max="5383" width="11.33203125" style="154" customWidth="1"/>
    <col min="5384" max="5384" width="11.83203125" style="154" customWidth="1"/>
    <col min="5385" max="5385" width="10.83203125" style="154" customWidth="1"/>
    <col min="5386" max="5386" width="13.1640625" style="154" customWidth="1"/>
    <col min="5387" max="5387" width="11.5" style="154" customWidth="1"/>
    <col min="5388" max="5389" width="12.33203125" style="154" customWidth="1"/>
    <col min="5390" max="5390" width="13.1640625" style="154" customWidth="1"/>
    <col min="5391" max="5391" width="18.5" style="154" customWidth="1"/>
    <col min="5392" max="5392" width="7.33203125" style="154" customWidth="1"/>
    <col min="5393" max="5631" width="9.33203125" style="154"/>
    <col min="5632" max="5632" width="5.33203125" style="154" customWidth="1"/>
    <col min="5633" max="5633" width="5.5" style="154" customWidth="1"/>
    <col min="5634" max="5634" width="40.83203125" style="154" customWidth="1"/>
    <col min="5635" max="5635" width="9.83203125" style="154" customWidth="1"/>
    <col min="5636" max="5636" width="13" style="154" customWidth="1"/>
    <col min="5637" max="5637" width="13.1640625" style="154" customWidth="1"/>
    <col min="5638" max="5638" width="12.33203125" style="154" customWidth="1"/>
    <col min="5639" max="5639" width="11.33203125" style="154" customWidth="1"/>
    <col min="5640" max="5640" width="11.83203125" style="154" customWidth="1"/>
    <col min="5641" max="5641" width="10.83203125" style="154" customWidth="1"/>
    <col min="5642" max="5642" width="13.1640625" style="154" customWidth="1"/>
    <col min="5643" max="5643" width="11.5" style="154" customWidth="1"/>
    <col min="5644" max="5645" width="12.33203125" style="154" customWidth="1"/>
    <col min="5646" max="5646" width="13.1640625" style="154" customWidth="1"/>
    <col min="5647" max="5647" width="18.5" style="154" customWidth="1"/>
    <col min="5648" max="5648" width="7.33203125" style="154" customWidth="1"/>
    <col min="5649" max="5887" width="9.33203125" style="154"/>
    <col min="5888" max="5888" width="5.33203125" style="154" customWidth="1"/>
    <col min="5889" max="5889" width="5.5" style="154" customWidth="1"/>
    <col min="5890" max="5890" width="40.83203125" style="154" customWidth="1"/>
    <col min="5891" max="5891" width="9.83203125" style="154" customWidth="1"/>
    <col min="5892" max="5892" width="13" style="154" customWidth="1"/>
    <col min="5893" max="5893" width="13.1640625" style="154" customWidth="1"/>
    <col min="5894" max="5894" width="12.33203125" style="154" customWidth="1"/>
    <col min="5895" max="5895" width="11.33203125" style="154" customWidth="1"/>
    <col min="5896" max="5896" width="11.83203125" style="154" customWidth="1"/>
    <col min="5897" max="5897" width="10.83203125" style="154" customWidth="1"/>
    <col min="5898" max="5898" width="13.1640625" style="154" customWidth="1"/>
    <col min="5899" max="5899" width="11.5" style="154" customWidth="1"/>
    <col min="5900" max="5901" width="12.33203125" style="154" customWidth="1"/>
    <col min="5902" max="5902" width="13.1640625" style="154" customWidth="1"/>
    <col min="5903" max="5903" width="18.5" style="154" customWidth="1"/>
    <col min="5904" max="5904" width="7.33203125" style="154" customWidth="1"/>
    <col min="5905" max="6143" width="9.33203125" style="154"/>
    <col min="6144" max="6144" width="5.33203125" style="154" customWidth="1"/>
    <col min="6145" max="6145" width="5.5" style="154" customWidth="1"/>
    <col min="6146" max="6146" width="40.83203125" style="154" customWidth="1"/>
    <col min="6147" max="6147" width="9.83203125" style="154" customWidth="1"/>
    <col min="6148" max="6148" width="13" style="154" customWidth="1"/>
    <col min="6149" max="6149" width="13.1640625" style="154" customWidth="1"/>
    <col min="6150" max="6150" width="12.33203125" style="154" customWidth="1"/>
    <col min="6151" max="6151" width="11.33203125" style="154" customWidth="1"/>
    <col min="6152" max="6152" width="11.83203125" style="154" customWidth="1"/>
    <col min="6153" max="6153" width="10.83203125" style="154" customWidth="1"/>
    <col min="6154" max="6154" width="13.1640625" style="154" customWidth="1"/>
    <col min="6155" max="6155" width="11.5" style="154" customWidth="1"/>
    <col min="6156" max="6157" width="12.33203125" style="154" customWidth="1"/>
    <col min="6158" max="6158" width="13.1640625" style="154" customWidth="1"/>
    <col min="6159" max="6159" width="18.5" style="154" customWidth="1"/>
    <col min="6160" max="6160" width="7.33203125" style="154" customWidth="1"/>
    <col min="6161" max="6399" width="9.33203125" style="154"/>
    <col min="6400" max="6400" width="5.33203125" style="154" customWidth="1"/>
    <col min="6401" max="6401" width="5.5" style="154" customWidth="1"/>
    <col min="6402" max="6402" width="40.83203125" style="154" customWidth="1"/>
    <col min="6403" max="6403" width="9.83203125" style="154" customWidth="1"/>
    <col min="6404" max="6404" width="13" style="154" customWidth="1"/>
    <col min="6405" max="6405" width="13.1640625" style="154" customWidth="1"/>
    <col min="6406" max="6406" width="12.33203125" style="154" customWidth="1"/>
    <col min="6407" max="6407" width="11.33203125" style="154" customWidth="1"/>
    <col min="6408" max="6408" width="11.83203125" style="154" customWidth="1"/>
    <col min="6409" max="6409" width="10.83203125" style="154" customWidth="1"/>
    <col min="6410" max="6410" width="13.1640625" style="154" customWidth="1"/>
    <col min="6411" max="6411" width="11.5" style="154" customWidth="1"/>
    <col min="6412" max="6413" width="12.33203125" style="154" customWidth="1"/>
    <col min="6414" max="6414" width="13.1640625" style="154" customWidth="1"/>
    <col min="6415" max="6415" width="18.5" style="154" customWidth="1"/>
    <col min="6416" max="6416" width="7.33203125" style="154" customWidth="1"/>
    <col min="6417" max="6655" width="9.33203125" style="154"/>
    <col min="6656" max="6656" width="5.33203125" style="154" customWidth="1"/>
    <col min="6657" max="6657" width="5.5" style="154" customWidth="1"/>
    <col min="6658" max="6658" width="40.83203125" style="154" customWidth="1"/>
    <col min="6659" max="6659" width="9.83203125" style="154" customWidth="1"/>
    <col min="6660" max="6660" width="13" style="154" customWidth="1"/>
    <col min="6661" max="6661" width="13.1640625" style="154" customWidth="1"/>
    <col min="6662" max="6662" width="12.33203125" style="154" customWidth="1"/>
    <col min="6663" max="6663" width="11.33203125" style="154" customWidth="1"/>
    <col min="6664" max="6664" width="11.83203125" style="154" customWidth="1"/>
    <col min="6665" max="6665" width="10.83203125" style="154" customWidth="1"/>
    <col min="6666" max="6666" width="13.1640625" style="154" customWidth="1"/>
    <col min="6667" max="6667" width="11.5" style="154" customWidth="1"/>
    <col min="6668" max="6669" width="12.33203125" style="154" customWidth="1"/>
    <col min="6670" max="6670" width="13.1640625" style="154" customWidth="1"/>
    <col min="6671" max="6671" width="18.5" style="154" customWidth="1"/>
    <col min="6672" max="6672" width="7.33203125" style="154" customWidth="1"/>
    <col min="6673" max="6911" width="9.33203125" style="154"/>
    <col min="6912" max="6912" width="5.33203125" style="154" customWidth="1"/>
    <col min="6913" max="6913" width="5.5" style="154" customWidth="1"/>
    <col min="6914" max="6914" width="40.83203125" style="154" customWidth="1"/>
    <col min="6915" max="6915" width="9.83203125" style="154" customWidth="1"/>
    <col min="6916" max="6916" width="13" style="154" customWidth="1"/>
    <col min="6917" max="6917" width="13.1640625" style="154" customWidth="1"/>
    <col min="6918" max="6918" width="12.33203125" style="154" customWidth="1"/>
    <col min="6919" max="6919" width="11.33203125" style="154" customWidth="1"/>
    <col min="6920" max="6920" width="11.83203125" style="154" customWidth="1"/>
    <col min="6921" max="6921" width="10.83203125" style="154" customWidth="1"/>
    <col min="6922" max="6922" width="13.1640625" style="154" customWidth="1"/>
    <col min="6923" max="6923" width="11.5" style="154" customWidth="1"/>
    <col min="6924" max="6925" width="12.33203125" style="154" customWidth="1"/>
    <col min="6926" max="6926" width="13.1640625" style="154" customWidth="1"/>
    <col min="6927" max="6927" width="18.5" style="154" customWidth="1"/>
    <col min="6928" max="6928" width="7.33203125" style="154" customWidth="1"/>
    <col min="6929" max="7167" width="9.33203125" style="154"/>
    <col min="7168" max="7168" width="5.33203125" style="154" customWidth="1"/>
    <col min="7169" max="7169" width="5.5" style="154" customWidth="1"/>
    <col min="7170" max="7170" width="40.83203125" style="154" customWidth="1"/>
    <col min="7171" max="7171" width="9.83203125" style="154" customWidth="1"/>
    <col min="7172" max="7172" width="13" style="154" customWidth="1"/>
    <col min="7173" max="7173" width="13.1640625" style="154" customWidth="1"/>
    <col min="7174" max="7174" width="12.33203125" style="154" customWidth="1"/>
    <col min="7175" max="7175" width="11.33203125" style="154" customWidth="1"/>
    <col min="7176" max="7176" width="11.83203125" style="154" customWidth="1"/>
    <col min="7177" max="7177" width="10.83203125" style="154" customWidth="1"/>
    <col min="7178" max="7178" width="13.1640625" style="154" customWidth="1"/>
    <col min="7179" max="7179" width="11.5" style="154" customWidth="1"/>
    <col min="7180" max="7181" width="12.33203125" style="154" customWidth="1"/>
    <col min="7182" max="7182" width="13.1640625" style="154" customWidth="1"/>
    <col min="7183" max="7183" width="18.5" style="154" customWidth="1"/>
    <col min="7184" max="7184" width="7.33203125" style="154" customWidth="1"/>
    <col min="7185" max="7423" width="9.33203125" style="154"/>
    <col min="7424" max="7424" width="5.33203125" style="154" customWidth="1"/>
    <col min="7425" max="7425" width="5.5" style="154" customWidth="1"/>
    <col min="7426" max="7426" width="40.83203125" style="154" customWidth="1"/>
    <col min="7427" max="7427" width="9.83203125" style="154" customWidth="1"/>
    <col min="7428" max="7428" width="13" style="154" customWidth="1"/>
    <col min="7429" max="7429" width="13.1640625" style="154" customWidth="1"/>
    <col min="7430" max="7430" width="12.33203125" style="154" customWidth="1"/>
    <col min="7431" max="7431" width="11.33203125" style="154" customWidth="1"/>
    <col min="7432" max="7432" width="11.83203125" style="154" customWidth="1"/>
    <col min="7433" max="7433" width="10.83203125" style="154" customWidth="1"/>
    <col min="7434" max="7434" width="13.1640625" style="154" customWidth="1"/>
    <col min="7435" max="7435" width="11.5" style="154" customWidth="1"/>
    <col min="7436" max="7437" width="12.33203125" style="154" customWidth="1"/>
    <col min="7438" max="7438" width="13.1640625" style="154" customWidth="1"/>
    <col min="7439" max="7439" width="18.5" style="154" customWidth="1"/>
    <col min="7440" max="7440" width="7.33203125" style="154" customWidth="1"/>
    <col min="7441" max="7679" width="9.33203125" style="154"/>
    <col min="7680" max="7680" width="5.33203125" style="154" customWidth="1"/>
    <col min="7681" max="7681" width="5.5" style="154" customWidth="1"/>
    <col min="7682" max="7682" width="40.83203125" style="154" customWidth="1"/>
    <col min="7683" max="7683" width="9.83203125" style="154" customWidth="1"/>
    <col min="7684" max="7684" width="13" style="154" customWidth="1"/>
    <col min="7685" max="7685" width="13.1640625" style="154" customWidth="1"/>
    <col min="7686" max="7686" width="12.33203125" style="154" customWidth="1"/>
    <col min="7687" max="7687" width="11.33203125" style="154" customWidth="1"/>
    <col min="7688" max="7688" width="11.83203125" style="154" customWidth="1"/>
    <col min="7689" max="7689" width="10.83203125" style="154" customWidth="1"/>
    <col min="7690" max="7690" width="13.1640625" style="154" customWidth="1"/>
    <col min="7691" max="7691" width="11.5" style="154" customWidth="1"/>
    <col min="7692" max="7693" width="12.33203125" style="154" customWidth="1"/>
    <col min="7694" max="7694" width="13.1640625" style="154" customWidth="1"/>
    <col min="7695" max="7695" width="18.5" style="154" customWidth="1"/>
    <col min="7696" max="7696" width="7.33203125" style="154" customWidth="1"/>
    <col min="7697" max="7935" width="9.33203125" style="154"/>
    <col min="7936" max="7936" width="5.33203125" style="154" customWidth="1"/>
    <col min="7937" max="7937" width="5.5" style="154" customWidth="1"/>
    <col min="7938" max="7938" width="40.83203125" style="154" customWidth="1"/>
    <col min="7939" max="7939" width="9.83203125" style="154" customWidth="1"/>
    <col min="7940" max="7940" width="13" style="154" customWidth="1"/>
    <col min="7941" max="7941" width="13.1640625" style="154" customWidth="1"/>
    <col min="7942" max="7942" width="12.33203125" style="154" customWidth="1"/>
    <col min="7943" max="7943" width="11.33203125" style="154" customWidth="1"/>
    <col min="7944" max="7944" width="11.83203125" style="154" customWidth="1"/>
    <col min="7945" max="7945" width="10.83203125" style="154" customWidth="1"/>
    <col min="7946" max="7946" width="13.1640625" style="154" customWidth="1"/>
    <col min="7947" max="7947" width="11.5" style="154" customWidth="1"/>
    <col min="7948" max="7949" width="12.33203125" style="154" customWidth="1"/>
    <col min="7950" max="7950" width="13.1640625" style="154" customWidth="1"/>
    <col min="7951" max="7951" width="18.5" style="154" customWidth="1"/>
    <col min="7952" max="7952" width="7.33203125" style="154" customWidth="1"/>
    <col min="7953" max="8191" width="9.33203125" style="154"/>
    <col min="8192" max="8192" width="5.33203125" style="154" customWidth="1"/>
    <col min="8193" max="8193" width="5.5" style="154" customWidth="1"/>
    <col min="8194" max="8194" width="40.83203125" style="154" customWidth="1"/>
    <col min="8195" max="8195" width="9.83203125" style="154" customWidth="1"/>
    <col min="8196" max="8196" width="13" style="154" customWidth="1"/>
    <col min="8197" max="8197" width="13.1640625" style="154" customWidth="1"/>
    <col min="8198" max="8198" width="12.33203125" style="154" customWidth="1"/>
    <col min="8199" max="8199" width="11.33203125" style="154" customWidth="1"/>
    <col min="8200" max="8200" width="11.83203125" style="154" customWidth="1"/>
    <col min="8201" max="8201" width="10.83203125" style="154" customWidth="1"/>
    <col min="8202" max="8202" width="13.1640625" style="154" customWidth="1"/>
    <col min="8203" max="8203" width="11.5" style="154" customWidth="1"/>
    <col min="8204" max="8205" width="12.33203125" style="154" customWidth="1"/>
    <col min="8206" max="8206" width="13.1640625" style="154" customWidth="1"/>
    <col min="8207" max="8207" width="18.5" style="154" customWidth="1"/>
    <col min="8208" max="8208" width="7.33203125" style="154" customWidth="1"/>
    <col min="8209" max="8447" width="9.33203125" style="154"/>
    <col min="8448" max="8448" width="5.33203125" style="154" customWidth="1"/>
    <col min="8449" max="8449" width="5.5" style="154" customWidth="1"/>
    <col min="8450" max="8450" width="40.83203125" style="154" customWidth="1"/>
    <col min="8451" max="8451" width="9.83203125" style="154" customWidth="1"/>
    <col min="8452" max="8452" width="13" style="154" customWidth="1"/>
    <col min="8453" max="8453" width="13.1640625" style="154" customWidth="1"/>
    <col min="8454" max="8454" width="12.33203125" style="154" customWidth="1"/>
    <col min="8455" max="8455" width="11.33203125" style="154" customWidth="1"/>
    <col min="8456" max="8456" width="11.83203125" style="154" customWidth="1"/>
    <col min="8457" max="8457" width="10.83203125" style="154" customWidth="1"/>
    <col min="8458" max="8458" width="13.1640625" style="154" customWidth="1"/>
    <col min="8459" max="8459" width="11.5" style="154" customWidth="1"/>
    <col min="8460" max="8461" width="12.33203125" style="154" customWidth="1"/>
    <col min="8462" max="8462" width="13.1640625" style="154" customWidth="1"/>
    <col min="8463" max="8463" width="18.5" style="154" customWidth="1"/>
    <col min="8464" max="8464" width="7.33203125" style="154" customWidth="1"/>
    <col min="8465" max="8703" width="9.33203125" style="154"/>
    <col min="8704" max="8704" width="5.33203125" style="154" customWidth="1"/>
    <col min="8705" max="8705" width="5.5" style="154" customWidth="1"/>
    <col min="8706" max="8706" width="40.83203125" style="154" customWidth="1"/>
    <col min="8707" max="8707" width="9.83203125" style="154" customWidth="1"/>
    <col min="8708" max="8708" width="13" style="154" customWidth="1"/>
    <col min="8709" max="8709" width="13.1640625" style="154" customWidth="1"/>
    <col min="8710" max="8710" width="12.33203125" style="154" customWidth="1"/>
    <col min="8711" max="8711" width="11.33203125" style="154" customWidth="1"/>
    <col min="8712" max="8712" width="11.83203125" style="154" customWidth="1"/>
    <col min="8713" max="8713" width="10.83203125" style="154" customWidth="1"/>
    <col min="8714" max="8714" width="13.1640625" style="154" customWidth="1"/>
    <col min="8715" max="8715" width="11.5" style="154" customWidth="1"/>
    <col min="8716" max="8717" width="12.33203125" style="154" customWidth="1"/>
    <col min="8718" max="8718" width="13.1640625" style="154" customWidth="1"/>
    <col min="8719" max="8719" width="18.5" style="154" customWidth="1"/>
    <col min="8720" max="8720" width="7.33203125" style="154" customWidth="1"/>
    <col min="8721" max="8959" width="9.33203125" style="154"/>
    <col min="8960" max="8960" width="5.33203125" style="154" customWidth="1"/>
    <col min="8961" max="8961" width="5.5" style="154" customWidth="1"/>
    <col min="8962" max="8962" width="40.83203125" style="154" customWidth="1"/>
    <col min="8963" max="8963" width="9.83203125" style="154" customWidth="1"/>
    <col min="8964" max="8964" width="13" style="154" customWidth="1"/>
    <col min="8965" max="8965" width="13.1640625" style="154" customWidth="1"/>
    <col min="8966" max="8966" width="12.33203125" style="154" customWidth="1"/>
    <col min="8967" max="8967" width="11.33203125" style="154" customWidth="1"/>
    <col min="8968" max="8968" width="11.83203125" style="154" customWidth="1"/>
    <col min="8969" max="8969" width="10.83203125" style="154" customWidth="1"/>
    <col min="8970" max="8970" width="13.1640625" style="154" customWidth="1"/>
    <col min="8971" max="8971" width="11.5" style="154" customWidth="1"/>
    <col min="8972" max="8973" width="12.33203125" style="154" customWidth="1"/>
    <col min="8974" max="8974" width="13.1640625" style="154" customWidth="1"/>
    <col min="8975" max="8975" width="18.5" style="154" customWidth="1"/>
    <col min="8976" max="8976" width="7.33203125" style="154" customWidth="1"/>
    <col min="8977" max="9215" width="9.33203125" style="154"/>
    <col min="9216" max="9216" width="5.33203125" style="154" customWidth="1"/>
    <col min="9217" max="9217" width="5.5" style="154" customWidth="1"/>
    <col min="9218" max="9218" width="40.83203125" style="154" customWidth="1"/>
    <col min="9219" max="9219" width="9.83203125" style="154" customWidth="1"/>
    <col min="9220" max="9220" width="13" style="154" customWidth="1"/>
    <col min="9221" max="9221" width="13.1640625" style="154" customWidth="1"/>
    <col min="9222" max="9222" width="12.33203125" style="154" customWidth="1"/>
    <col min="9223" max="9223" width="11.33203125" style="154" customWidth="1"/>
    <col min="9224" max="9224" width="11.83203125" style="154" customWidth="1"/>
    <col min="9225" max="9225" width="10.83203125" style="154" customWidth="1"/>
    <col min="9226" max="9226" width="13.1640625" style="154" customWidth="1"/>
    <col min="9227" max="9227" width="11.5" style="154" customWidth="1"/>
    <col min="9228" max="9229" width="12.33203125" style="154" customWidth="1"/>
    <col min="9230" max="9230" width="13.1640625" style="154" customWidth="1"/>
    <col min="9231" max="9231" width="18.5" style="154" customWidth="1"/>
    <col min="9232" max="9232" width="7.33203125" style="154" customWidth="1"/>
    <col min="9233" max="9471" width="9.33203125" style="154"/>
    <col min="9472" max="9472" width="5.33203125" style="154" customWidth="1"/>
    <col min="9473" max="9473" width="5.5" style="154" customWidth="1"/>
    <col min="9474" max="9474" width="40.83203125" style="154" customWidth="1"/>
    <col min="9475" max="9475" width="9.83203125" style="154" customWidth="1"/>
    <col min="9476" max="9476" width="13" style="154" customWidth="1"/>
    <col min="9477" max="9477" width="13.1640625" style="154" customWidth="1"/>
    <col min="9478" max="9478" width="12.33203125" style="154" customWidth="1"/>
    <col min="9479" max="9479" width="11.33203125" style="154" customWidth="1"/>
    <col min="9480" max="9480" width="11.83203125" style="154" customWidth="1"/>
    <col min="9481" max="9481" width="10.83203125" style="154" customWidth="1"/>
    <col min="9482" max="9482" width="13.1640625" style="154" customWidth="1"/>
    <col min="9483" max="9483" width="11.5" style="154" customWidth="1"/>
    <col min="9484" max="9485" width="12.33203125" style="154" customWidth="1"/>
    <col min="9486" max="9486" width="13.1640625" style="154" customWidth="1"/>
    <col min="9487" max="9487" width="18.5" style="154" customWidth="1"/>
    <col min="9488" max="9488" width="7.33203125" style="154" customWidth="1"/>
    <col min="9489" max="9727" width="9.33203125" style="154"/>
    <col min="9728" max="9728" width="5.33203125" style="154" customWidth="1"/>
    <col min="9729" max="9729" width="5.5" style="154" customWidth="1"/>
    <col min="9730" max="9730" width="40.83203125" style="154" customWidth="1"/>
    <col min="9731" max="9731" width="9.83203125" style="154" customWidth="1"/>
    <col min="9732" max="9732" width="13" style="154" customWidth="1"/>
    <col min="9733" max="9733" width="13.1640625" style="154" customWidth="1"/>
    <col min="9734" max="9734" width="12.33203125" style="154" customWidth="1"/>
    <col min="9735" max="9735" width="11.33203125" style="154" customWidth="1"/>
    <col min="9736" max="9736" width="11.83203125" style="154" customWidth="1"/>
    <col min="9737" max="9737" width="10.83203125" style="154" customWidth="1"/>
    <col min="9738" max="9738" width="13.1640625" style="154" customWidth="1"/>
    <col min="9739" max="9739" width="11.5" style="154" customWidth="1"/>
    <col min="9740" max="9741" width="12.33203125" style="154" customWidth="1"/>
    <col min="9742" max="9742" width="13.1640625" style="154" customWidth="1"/>
    <col min="9743" max="9743" width="18.5" style="154" customWidth="1"/>
    <col min="9744" max="9744" width="7.33203125" style="154" customWidth="1"/>
    <col min="9745" max="9983" width="9.33203125" style="154"/>
    <col min="9984" max="9984" width="5.33203125" style="154" customWidth="1"/>
    <col min="9985" max="9985" width="5.5" style="154" customWidth="1"/>
    <col min="9986" max="9986" width="40.83203125" style="154" customWidth="1"/>
    <col min="9987" max="9987" width="9.83203125" style="154" customWidth="1"/>
    <col min="9988" max="9988" width="13" style="154" customWidth="1"/>
    <col min="9989" max="9989" width="13.1640625" style="154" customWidth="1"/>
    <col min="9990" max="9990" width="12.33203125" style="154" customWidth="1"/>
    <col min="9991" max="9991" width="11.33203125" style="154" customWidth="1"/>
    <col min="9992" max="9992" width="11.83203125" style="154" customWidth="1"/>
    <col min="9993" max="9993" width="10.83203125" style="154" customWidth="1"/>
    <col min="9994" max="9994" width="13.1640625" style="154" customWidth="1"/>
    <col min="9995" max="9995" width="11.5" style="154" customWidth="1"/>
    <col min="9996" max="9997" width="12.33203125" style="154" customWidth="1"/>
    <col min="9998" max="9998" width="13.1640625" style="154" customWidth="1"/>
    <col min="9999" max="9999" width="18.5" style="154" customWidth="1"/>
    <col min="10000" max="10000" width="7.33203125" style="154" customWidth="1"/>
    <col min="10001" max="10239" width="9.33203125" style="154"/>
    <col min="10240" max="10240" width="5.33203125" style="154" customWidth="1"/>
    <col min="10241" max="10241" width="5.5" style="154" customWidth="1"/>
    <col min="10242" max="10242" width="40.83203125" style="154" customWidth="1"/>
    <col min="10243" max="10243" width="9.83203125" style="154" customWidth="1"/>
    <col min="10244" max="10244" width="13" style="154" customWidth="1"/>
    <col min="10245" max="10245" width="13.1640625" style="154" customWidth="1"/>
    <col min="10246" max="10246" width="12.33203125" style="154" customWidth="1"/>
    <col min="10247" max="10247" width="11.33203125" style="154" customWidth="1"/>
    <col min="10248" max="10248" width="11.83203125" style="154" customWidth="1"/>
    <col min="10249" max="10249" width="10.83203125" style="154" customWidth="1"/>
    <col min="10250" max="10250" width="13.1640625" style="154" customWidth="1"/>
    <col min="10251" max="10251" width="11.5" style="154" customWidth="1"/>
    <col min="10252" max="10253" width="12.33203125" style="154" customWidth="1"/>
    <col min="10254" max="10254" width="13.1640625" style="154" customWidth="1"/>
    <col min="10255" max="10255" width="18.5" style="154" customWidth="1"/>
    <col min="10256" max="10256" width="7.33203125" style="154" customWidth="1"/>
    <col min="10257" max="10495" width="9.33203125" style="154"/>
    <col min="10496" max="10496" width="5.33203125" style="154" customWidth="1"/>
    <col min="10497" max="10497" width="5.5" style="154" customWidth="1"/>
    <col min="10498" max="10498" width="40.83203125" style="154" customWidth="1"/>
    <col min="10499" max="10499" width="9.83203125" style="154" customWidth="1"/>
    <col min="10500" max="10500" width="13" style="154" customWidth="1"/>
    <col min="10501" max="10501" width="13.1640625" style="154" customWidth="1"/>
    <col min="10502" max="10502" width="12.33203125" style="154" customWidth="1"/>
    <col min="10503" max="10503" width="11.33203125" style="154" customWidth="1"/>
    <col min="10504" max="10504" width="11.83203125" style="154" customWidth="1"/>
    <col min="10505" max="10505" width="10.83203125" style="154" customWidth="1"/>
    <col min="10506" max="10506" width="13.1640625" style="154" customWidth="1"/>
    <col min="10507" max="10507" width="11.5" style="154" customWidth="1"/>
    <col min="10508" max="10509" width="12.33203125" style="154" customWidth="1"/>
    <col min="10510" max="10510" width="13.1640625" style="154" customWidth="1"/>
    <col min="10511" max="10511" width="18.5" style="154" customWidth="1"/>
    <col min="10512" max="10512" width="7.33203125" style="154" customWidth="1"/>
    <col min="10513" max="10751" width="9.33203125" style="154"/>
    <col min="10752" max="10752" width="5.33203125" style="154" customWidth="1"/>
    <col min="10753" max="10753" width="5.5" style="154" customWidth="1"/>
    <col min="10754" max="10754" width="40.83203125" style="154" customWidth="1"/>
    <col min="10755" max="10755" width="9.83203125" style="154" customWidth="1"/>
    <col min="10756" max="10756" width="13" style="154" customWidth="1"/>
    <col min="10757" max="10757" width="13.1640625" style="154" customWidth="1"/>
    <col min="10758" max="10758" width="12.33203125" style="154" customWidth="1"/>
    <col min="10759" max="10759" width="11.33203125" style="154" customWidth="1"/>
    <col min="10760" max="10760" width="11.83203125" style="154" customWidth="1"/>
    <col min="10761" max="10761" width="10.83203125" style="154" customWidth="1"/>
    <col min="10762" max="10762" width="13.1640625" style="154" customWidth="1"/>
    <col min="10763" max="10763" width="11.5" style="154" customWidth="1"/>
    <col min="10764" max="10765" width="12.33203125" style="154" customWidth="1"/>
    <col min="10766" max="10766" width="13.1640625" style="154" customWidth="1"/>
    <col min="10767" max="10767" width="18.5" style="154" customWidth="1"/>
    <col min="10768" max="10768" width="7.33203125" style="154" customWidth="1"/>
    <col min="10769" max="11007" width="9.33203125" style="154"/>
    <col min="11008" max="11008" width="5.33203125" style="154" customWidth="1"/>
    <col min="11009" max="11009" width="5.5" style="154" customWidth="1"/>
    <col min="11010" max="11010" width="40.83203125" style="154" customWidth="1"/>
    <col min="11011" max="11011" width="9.83203125" style="154" customWidth="1"/>
    <col min="11012" max="11012" width="13" style="154" customWidth="1"/>
    <col min="11013" max="11013" width="13.1640625" style="154" customWidth="1"/>
    <col min="11014" max="11014" width="12.33203125" style="154" customWidth="1"/>
    <col min="11015" max="11015" width="11.33203125" style="154" customWidth="1"/>
    <col min="11016" max="11016" width="11.83203125" style="154" customWidth="1"/>
    <col min="11017" max="11017" width="10.83203125" style="154" customWidth="1"/>
    <col min="11018" max="11018" width="13.1640625" style="154" customWidth="1"/>
    <col min="11019" max="11019" width="11.5" style="154" customWidth="1"/>
    <col min="11020" max="11021" width="12.33203125" style="154" customWidth="1"/>
    <col min="11022" max="11022" width="13.1640625" style="154" customWidth="1"/>
    <col min="11023" max="11023" width="18.5" style="154" customWidth="1"/>
    <col min="11024" max="11024" width="7.33203125" style="154" customWidth="1"/>
    <col min="11025" max="11263" width="9.33203125" style="154"/>
    <col min="11264" max="11264" width="5.33203125" style="154" customWidth="1"/>
    <col min="11265" max="11265" width="5.5" style="154" customWidth="1"/>
    <col min="11266" max="11266" width="40.83203125" style="154" customWidth="1"/>
    <col min="11267" max="11267" width="9.83203125" style="154" customWidth="1"/>
    <col min="11268" max="11268" width="13" style="154" customWidth="1"/>
    <col min="11269" max="11269" width="13.1640625" style="154" customWidth="1"/>
    <col min="11270" max="11270" width="12.33203125" style="154" customWidth="1"/>
    <col min="11271" max="11271" width="11.33203125" style="154" customWidth="1"/>
    <col min="11272" max="11272" width="11.83203125" style="154" customWidth="1"/>
    <col min="11273" max="11273" width="10.83203125" style="154" customWidth="1"/>
    <col min="11274" max="11274" width="13.1640625" style="154" customWidth="1"/>
    <col min="11275" max="11275" width="11.5" style="154" customWidth="1"/>
    <col min="11276" max="11277" width="12.33203125" style="154" customWidth="1"/>
    <col min="11278" max="11278" width="13.1640625" style="154" customWidth="1"/>
    <col min="11279" max="11279" width="18.5" style="154" customWidth="1"/>
    <col min="11280" max="11280" width="7.33203125" style="154" customWidth="1"/>
    <col min="11281" max="11519" width="9.33203125" style="154"/>
    <col min="11520" max="11520" width="5.33203125" style="154" customWidth="1"/>
    <col min="11521" max="11521" width="5.5" style="154" customWidth="1"/>
    <col min="11522" max="11522" width="40.83203125" style="154" customWidth="1"/>
    <col min="11523" max="11523" width="9.83203125" style="154" customWidth="1"/>
    <col min="11524" max="11524" width="13" style="154" customWidth="1"/>
    <col min="11525" max="11525" width="13.1640625" style="154" customWidth="1"/>
    <col min="11526" max="11526" width="12.33203125" style="154" customWidth="1"/>
    <col min="11527" max="11527" width="11.33203125" style="154" customWidth="1"/>
    <col min="11528" max="11528" width="11.83203125" style="154" customWidth="1"/>
    <col min="11529" max="11529" width="10.83203125" style="154" customWidth="1"/>
    <col min="11530" max="11530" width="13.1640625" style="154" customWidth="1"/>
    <col min="11531" max="11531" width="11.5" style="154" customWidth="1"/>
    <col min="11532" max="11533" width="12.33203125" style="154" customWidth="1"/>
    <col min="11534" max="11534" width="13.1640625" style="154" customWidth="1"/>
    <col min="11535" max="11535" width="18.5" style="154" customWidth="1"/>
    <col min="11536" max="11536" width="7.33203125" style="154" customWidth="1"/>
    <col min="11537" max="11775" width="9.33203125" style="154"/>
    <col min="11776" max="11776" width="5.33203125" style="154" customWidth="1"/>
    <col min="11777" max="11777" width="5.5" style="154" customWidth="1"/>
    <col min="11778" max="11778" width="40.83203125" style="154" customWidth="1"/>
    <col min="11779" max="11779" width="9.83203125" style="154" customWidth="1"/>
    <col min="11780" max="11780" width="13" style="154" customWidth="1"/>
    <col min="11781" max="11781" width="13.1640625" style="154" customWidth="1"/>
    <col min="11782" max="11782" width="12.33203125" style="154" customWidth="1"/>
    <col min="11783" max="11783" width="11.33203125" style="154" customWidth="1"/>
    <col min="11784" max="11784" width="11.83203125" style="154" customWidth="1"/>
    <col min="11785" max="11785" width="10.83203125" style="154" customWidth="1"/>
    <col min="11786" max="11786" width="13.1640625" style="154" customWidth="1"/>
    <col min="11787" max="11787" width="11.5" style="154" customWidth="1"/>
    <col min="11788" max="11789" width="12.33203125" style="154" customWidth="1"/>
    <col min="11790" max="11790" width="13.1640625" style="154" customWidth="1"/>
    <col min="11791" max="11791" width="18.5" style="154" customWidth="1"/>
    <col min="11792" max="11792" width="7.33203125" style="154" customWidth="1"/>
    <col min="11793" max="12031" width="9.33203125" style="154"/>
    <col min="12032" max="12032" width="5.33203125" style="154" customWidth="1"/>
    <col min="12033" max="12033" width="5.5" style="154" customWidth="1"/>
    <col min="12034" max="12034" width="40.83203125" style="154" customWidth="1"/>
    <col min="12035" max="12035" width="9.83203125" style="154" customWidth="1"/>
    <col min="12036" max="12036" width="13" style="154" customWidth="1"/>
    <col min="12037" max="12037" width="13.1640625" style="154" customWidth="1"/>
    <col min="12038" max="12038" width="12.33203125" style="154" customWidth="1"/>
    <col min="12039" max="12039" width="11.33203125" style="154" customWidth="1"/>
    <col min="12040" max="12040" width="11.83203125" style="154" customWidth="1"/>
    <col min="12041" max="12041" width="10.83203125" style="154" customWidth="1"/>
    <col min="12042" max="12042" width="13.1640625" style="154" customWidth="1"/>
    <col min="12043" max="12043" width="11.5" style="154" customWidth="1"/>
    <col min="12044" max="12045" width="12.33203125" style="154" customWidth="1"/>
    <col min="12046" max="12046" width="13.1640625" style="154" customWidth="1"/>
    <col min="12047" max="12047" width="18.5" style="154" customWidth="1"/>
    <col min="12048" max="12048" width="7.33203125" style="154" customWidth="1"/>
    <col min="12049" max="12287" width="9.33203125" style="154"/>
    <col min="12288" max="12288" width="5.33203125" style="154" customWidth="1"/>
    <col min="12289" max="12289" width="5.5" style="154" customWidth="1"/>
    <col min="12290" max="12290" width="40.83203125" style="154" customWidth="1"/>
    <col min="12291" max="12291" width="9.83203125" style="154" customWidth="1"/>
    <col min="12292" max="12292" width="13" style="154" customWidth="1"/>
    <col min="12293" max="12293" width="13.1640625" style="154" customWidth="1"/>
    <col min="12294" max="12294" width="12.33203125" style="154" customWidth="1"/>
    <col min="12295" max="12295" width="11.33203125" style="154" customWidth="1"/>
    <col min="12296" max="12296" width="11.83203125" style="154" customWidth="1"/>
    <col min="12297" max="12297" width="10.83203125" style="154" customWidth="1"/>
    <col min="12298" max="12298" width="13.1640625" style="154" customWidth="1"/>
    <col min="12299" max="12299" width="11.5" style="154" customWidth="1"/>
    <col min="12300" max="12301" width="12.33203125" style="154" customWidth="1"/>
    <col min="12302" max="12302" width="13.1640625" style="154" customWidth="1"/>
    <col min="12303" max="12303" width="18.5" style="154" customWidth="1"/>
    <col min="12304" max="12304" width="7.33203125" style="154" customWidth="1"/>
    <col min="12305" max="12543" width="9.33203125" style="154"/>
    <col min="12544" max="12544" width="5.33203125" style="154" customWidth="1"/>
    <col min="12545" max="12545" width="5.5" style="154" customWidth="1"/>
    <col min="12546" max="12546" width="40.83203125" style="154" customWidth="1"/>
    <col min="12547" max="12547" width="9.83203125" style="154" customWidth="1"/>
    <col min="12548" max="12548" width="13" style="154" customWidth="1"/>
    <col min="12549" max="12549" width="13.1640625" style="154" customWidth="1"/>
    <col min="12550" max="12550" width="12.33203125" style="154" customWidth="1"/>
    <col min="12551" max="12551" width="11.33203125" style="154" customWidth="1"/>
    <col min="12552" max="12552" width="11.83203125" style="154" customWidth="1"/>
    <col min="12553" max="12553" width="10.83203125" style="154" customWidth="1"/>
    <col min="12554" max="12554" width="13.1640625" style="154" customWidth="1"/>
    <col min="12555" max="12555" width="11.5" style="154" customWidth="1"/>
    <col min="12556" max="12557" width="12.33203125" style="154" customWidth="1"/>
    <col min="12558" max="12558" width="13.1640625" style="154" customWidth="1"/>
    <col min="12559" max="12559" width="18.5" style="154" customWidth="1"/>
    <col min="12560" max="12560" width="7.33203125" style="154" customWidth="1"/>
    <col min="12561" max="12799" width="9.33203125" style="154"/>
    <col min="12800" max="12800" width="5.33203125" style="154" customWidth="1"/>
    <col min="12801" max="12801" width="5.5" style="154" customWidth="1"/>
    <col min="12802" max="12802" width="40.83203125" style="154" customWidth="1"/>
    <col min="12803" max="12803" width="9.83203125" style="154" customWidth="1"/>
    <col min="12804" max="12804" width="13" style="154" customWidth="1"/>
    <col min="12805" max="12805" width="13.1640625" style="154" customWidth="1"/>
    <col min="12806" max="12806" width="12.33203125" style="154" customWidth="1"/>
    <col min="12807" max="12807" width="11.33203125" style="154" customWidth="1"/>
    <col min="12808" max="12808" width="11.83203125" style="154" customWidth="1"/>
    <col min="12809" max="12809" width="10.83203125" style="154" customWidth="1"/>
    <col min="12810" max="12810" width="13.1640625" style="154" customWidth="1"/>
    <col min="12811" max="12811" width="11.5" style="154" customWidth="1"/>
    <col min="12812" max="12813" width="12.33203125" style="154" customWidth="1"/>
    <col min="12814" max="12814" width="13.1640625" style="154" customWidth="1"/>
    <col min="12815" max="12815" width="18.5" style="154" customWidth="1"/>
    <col min="12816" max="12816" width="7.33203125" style="154" customWidth="1"/>
    <col min="12817" max="13055" width="9.33203125" style="154"/>
    <col min="13056" max="13056" width="5.33203125" style="154" customWidth="1"/>
    <col min="13057" max="13057" width="5.5" style="154" customWidth="1"/>
    <col min="13058" max="13058" width="40.83203125" style="154" customWidth="1"/>
    <col min="13059" max="13059" width="9.83203125" style="154" customWidth="1"/>
    <col min="13060" max="13060" width="13" style="154" customWidth="1"/>
    <col min="13061" max="13061" width="13.1640625" style="154" customWidth="1"/>
    <col min="13062" max="13062" width="12.33203125" style="154" customWidth="1"/>
    <col min="13063" max="13063" width="11.33203125" style="154" customWidth="1"/>
    <col min="13064" max="13064" width="11.83203125" style="154" customWidth="1"/>
    <col min="13065" max="13065" width="10.83203125" style="154" customWidth="1"/>
    <col min="13066" max="13066" width="13.1640625" style="154" customWidth="1"/>
    <col min="13067" max="13067" width="11.5" style="154" customWidth="1"/>
    <col min="13068" max="13069" width="12.33203125" style="154" customWidth="1"/>
    <col min="13070" max="13070" width="13.1640625" style="154" customWidth="1"/>
    <col min="13071" max="13071" width="18.5" style="154" customWidth="1"/>
    <col min="13072" max="13072" width="7.33203125" style="154" customWidth="1"/>
    <col min="13073" max="13311" width="9.33203125" style="154"/>
    <col min="13312" max="13312" width="5.33203125" style="154" customWidth="1"/>
    <col min="13313" max="13313" width="5.5" style="154" customWidth="1"/>
    <col min="13314" max="13314" width="40.83203125" style="154" customWidth="1"/>
    <col min="13315" max="13315" width="9.83203125" style="154" customWidth="1"/>
    <col min="13316" max="13316" width="13" style="154" customWidth="1"/>
    <col min="13317" max="13317" width="13.1640625" style="154" customWidth="1"/>
    <col min="13318" max="13318" width="12.33203125" style="154" customWidth="1"/>
    <col min="13319" max="13319" width="11.33203125" style="154" customWidth="1"/>
    <col min="13320" max="13320" width="11.83203125" style="154" customWidth="1"/>
    <col min="13321" max="13321" width="10.83203125" style="154" customWidth="1"/>
    <col min="13322" max="13322" width="13.1640625" style="154" customWidth="1"/>
    <col min="13323" max="13323" width="11.5" style="154" customWidth="1"/>
    <col min="13324" max="13325" width="12.33203125" style="154" customWidth="1"/>
    <col min="13326" max="13326" width="13.1640625" style="154" customWidth="1"/>
    <col min="13327" max="13327" width="18.5" style="154" customWidth="1"/>
    <col min="13328" max="13328" width="7.33203125" style="154" customWidth="1"/>
    <col min="13329" max="13567" width="9.33203125" style="154"/>
    <col min="13568" max="13568" width="5.33203125" style="154" customWidth="1"/>
    <col min="13569" max="13569" width="5.5" style="154" customWidth="1"/>
    <col min="13570" max="13570" width="40.83203125" style="154" customWidth="1"/>
    <col min="13571" max="13571" width="9.83203125" style="154" customWidth="1"/>
    <col min="13572" max="13572" width="13" style="154" customWidth="1"/>
    <col min="13573" max="13573" width="13.1640625" style="154" customWidth="1"/>
    <col min="13574" max="13574" width="12.33203125" style="154" customWidth="1"/>
    <col min="13575" max="13575" width="11.33203125" style="154" customWidth="1"/>
    <col min="13576" max="13576" width="11.83203125" style="154" customWidth="1"/>
    <col min="13577" max="13577" width="10.83203125" style="154" customWidth="1"/>
    <col min="13578" max="13578" width="13.1640625" style="154" customWidth="1"/>
    <col min="13579" max="13579" width="11.5" style="154" customWidth="1"/>
    <col min="13580" max="13581" width="12.33203125" style="154" customWidth="1"/>
    <col min="13582" max="13582" width="13.1640625" style="154" customWidth="1"/>
    <col min="13583" max="13583" width="18.5" style="154" customWidth="1"/>
    <col min="13584" max="13584" width="7.33203125" style="154" customWidth="1"/>
    <col min="13585" max="13823" width="9.33203125" style="154"/>
    <col min="13824" max="13824" width="5.33203125" style="154" customWidth="1"/>
    <col min="13825" max="13825" width="5.5" style="154" customWidth="1"/>
    <col min="13826" max="13826" width="40.83203125" style="154" customWidth="1"/>
    <col min="13827" max="13827" width="9.83203125" style="154" customWidth="1"/>
    <col min="13828" max="13828" width="13" style="154" customWidth="1"/>
    <col min="13829" max="13829" width="13.1640625" style="154" customWidth="1"/>
    <col min="13830" max="13830" width="12.33203125" style="154" customWidth="1"/>
    <col min="13831" max="13831" width="11.33203125" style="154" customWidth="1"/>
    <col min="13832" max="13832" width="11.83203125" style="154" customWidth="1"/>
    <col min="13833" max="13833" width="10.83203125" style="154" customWidth="1"/>
    <col min="13834" max="13834" width="13.1640625" style="154" customWidth="1"/>
    <col min="13835" max="13835" width="11.5" style="154" customWidth="1"/>
    <col min="13836" max="13837" width="12.33203125" style="154" customWidth="1"/>
    <col min="13838" max="13838" width="13.1640625" style="154" customWidth="1"/>
    <col min="13839" max="13839" width="18.5" style="154" customWidth="1"/>
    <col min="13840" max="13840" width="7.33203125" style="154" customWidth="1"/>
    <col min="13841" max="14079" width="9.33203125" style="154"/>
    <col min="14080" max="14080" width="5.33203125" style="154" customWidth="1"/>
    <col min="14081" max="14081" width="5.5" style="154" customWidth="1"/>
    <col min="14082" max="14082" width="40.83203125" style="154" customWidth="1"/>
    <col min="14083" max="14083" width="9.83203125" style="154" customWidth="1"/>
    <col min="14084" max="14084" width="13" style="154" customWidth="1"/>
    <col min="14085" max="14085" width="13.1640625" style="154" customWidth="1"/>
    <col min="14086" max="14086" width="12.33203125" style="154" customWidth="1"/>
    <col min="14087" max="14087" width="11.33203125" style="154" customWidth="1"/>
    <col min="14088" max="14088" width="11.83203125" style="154" customWidth="1"/>
    <col min="14089" max="14089" width="10.83203125" style="154" customWidth="1"/>
    <col min="14090" max="14090" width="13.1640625" style="154" customWidth="1"/>
    <col min="14091" max="14091" width="11.5" style="154" customWidth="1"/>
    <col min="14092" max="14093" width="12.33203125" style="154" customWidth="1"/>
    <col min="14094" max="14094" width="13.1640625" style="154" customWidth="1"/>
    <col min="14095" max="14095" width="18.5" style="154" customWidth="1"/>
    <col min="14096" max="14096" width="7.33203125" style="154" customWidth="1"/>
    <col min="14097" max="14335" width="9.33203125" style="154"/>
    <col min="14336" max="14336" width="5.33203125" style="154" customWidth="1"/>
    <col min="14337" max="14337" width="5.5" style="154" customWidth="1"/>
    <col min="14338" max="14338" width="40.83203125" style="154" customWidth="1"/>
    <col min="14339" max="14339" width="9.83203125" style="154" customWidth="1"/>
    <col min="14340" max="14340" width="13" style="154" customWidth="1"/>
    <col min="14341" max="14341" width="13.1640625" style="154" customWidth="1"/>
    <col min="14342" max="14342" width="12.33203125" style="154" customWidth="1"/>
    <col min="14343" max="14343" width="11.33203125" style="154" customWidth="1"/>
    <col min="14344" max="14344" width="11.83203125" style="154" customWidth="1"/>
    <col min="14345" max="14345" width="10.83203125" style="154" customWidth="1"/>
    <col min="14346" max="14346" width="13.1640625" style="154" customWidth="1"/>
    <col min="14347" max="14347" width="11.5" style="154" customWidth="1"/>
    <col min="14348" max="14349" width="12.33203125" style="154" customWidth="1"/>
    <col min="14350" max="14350" width="13.1640625" style="154" customWidth="1"/>
    <col min="14351" max="14351" width="18.5" style="154" customWidth="1"/>
    <col min="14352" max="14352" width="7.33203125" style="154" customWidth="1"/>
    <col min="14353" max="14591" width="9.33203125" style="154"/>
    <col min="14592" max="14592" width="5.33203125" style="154" customWidth="1"/>
    <col min="14593" max="14593" width="5.5" style="154" customWidth="1"/>
    <col min="14594" max="14594" width="40.83203125" style="154" customWidth="1"/>
    <col min="14595" max="14595" width="9.83203125" style="154" customWidth="1"/>
    <col min="14596" max="14596" width="13" style="154" customWidth="1"/>
    <col min="14597" max="14597" width="13.1640625" style="154" customWidth="1"/>
    <col min="14598" max="14598" width="12.33203125" style="154" customWidth="1"/>
    <col min="14599" max="14599" width="11.33203125" style="154" customWidth="1"/>
    <col min="14600" max="14600" width="11.83203125" style="154" customWidth="1"/>
    <col min="14601" max="14601" width="10.83203125" style="154" customWidth="1"/>
    <col min="14602" max="14602" width="13.1640625" style="154" customWidth="1"/>
    <col min="14603" max="14603" width="11.5" style="154" customWidth="1"/>
    <col min="14604" max="14605" width="12.33203125" style="154" customWidth="1"/>
    <col min="14606" max="14606" width="13.1640625" style="154" customWidth="1"/>
    <col min="14607" max="14607" width="18.5" style="154" customWidth="1"/>
    <col min="14608" max="14608" width="7.33203125" style="154" customWidth="1"/>
    <col min="14609" max="14847" width="9.33203125" style="154"/>
    <col min="14848" max="14848" width="5.33203125" style="154" customWidth="1"/>
    <col min="14849" max="14849" width="5.5" style="154" customWidth="1"/>
    <col min="14850" max="14850" width="40.83203125" style="154" customWidth="1"/>
    <col min="14851" max="14851" width="9.83203125" style="154" customWidth="1"/>
    <col min="14852" max="14852" width="13" style="154" customWidth="1"/>
    <col min="14853" max="14853" width="13.1640625" style="154" customWidth="1"/>
    <col min="14854" max="14854" width="12.33203125" style="154" customWidth="1"/>
    <col min="14855" max="14855" width="11.33203125" style="154" customWidth="1"/>
    <col min="14856" max="14856" width="11.83203125" style="154" customWidth="1"/>
    <col min="14857" max="14857" width="10.83203125" style="154" customWidth="1"/>
    <col min="14858" max="14858" width="13.1640625" style="154" customWidth="1"/>
    <col min="14859" max="14859" width="11.5" style="154" customWidth="1"/>
    <col min="14860" max="14861" width="12.33203125" style="154" customWidth="1"/>
    <col min="14862" max="14862" width="13.1640625" style="154" customWidth="1"/>
    <col min="14863" max="14863" width="18.5" style="154" customWidth="1"/>
    <col min="14864" max="14864" width="7.33203125" style="154" customWidth="1"/>
    <col min="14865" max="15103" width="9.33203125" style="154"/>
    <col min="15104" max="15104" width="5.33203125" style="154" customWidth="1"/>
    <col min="15105" max="15105" width="5.5" style="154" customWidth="1"/>
    <col min="15106" max="15106" width="40.83203125" style="154" customWidth="1"/>
    <col min="15107" max="15107" width="9.83203125" style="154" customWidth="1"/>
    <col min="15108" max="15108" width="13" style="154" customWidth="1"/>
    <col min="15109" max="15109" width="13.1640625" style="154" customWidth="1"/>
    <col min="15110" max="15110" width="12.33203125" style="154" customWidth="1"/>
    <col min="15111" max="15111" width="11.33203125" style="154" customWidth="1"/>
    <col min="15112" max="15112" width="11.83203125" style="154" customWidth="1"/>
    <col min="15113" max="15113" width="10.83203125" style="154" customWidth="1"/>
    <col min="15114" max="15114" width="13.1640625" style="154" customWidth="1"/>
    <col min="15115" max="15115" width="11.5" style="154" customWidth="1"/>
    <col min="15116" max="15117" width="12.33203125" style="154" customWidth="1"/>
    <col min="15118" max="15118" width="13.1640625" style="154" customWidth="1"/>
    <col min="15119" max="15119" width="18.5" style="154" customWidth="1"/>
    <col min="15120" max="15120" width="7.33203125" style="154" customWidth="1"/>
    <col min="15121" max="15359" width="9.33203125" style="154"/>
    <col min="15360" max="15360" width="5.33203125" style="154" customWidth="1"/>
    <col min="15361" max="15361" width="5.5" style="154" customWidth="1"/>
    <col min="15362" max="15362" width="40.83203125" style="154" customWidth="1"/>
    <col min="15363" max="15363" width="9.83203125" style="154" customWidth="1"/>
    <col min="15364" max="15364" width="13" style="154" customWidth="1"/>
    <col min="15365" max="15365" width="13.1640625" style="154" customWidth="1"/>
    <col min="15366" max="15366" width="12.33203125" style="154" customWidth="1"/>
    <col min="15367" max="15367" width="11.33203125" style="154" customWidth="1"/>
    <col min="15368" max="15368" width="11.83203125" style="154" customWidth="1"/>
    <col min="15369" max="15369" width="10.83203125" style="154" customWidth="1"/>
    <col min="15370" max="15370" width="13.1640625" style="154" customWidth="1"/>
    <col min="15371" max="15371" width="11.5" style="154" customWidth="1"/>
    <col min="15372" max="15373" width="12.33203125" style="154" customWidth="1"/>
    <col min="15374" max="15374" width="13.1640625" style="154" customWidth="1"/>
    <col min="15375" max="15375" width="18.5" style="154" customWidth="1"/>
    <col min="15376" max="15376" width="7.33203125" style="154" customWidth="1"/>
    <col min="15377" max="15615" width="9.33203125" style="154"/>
    <col min="15616" max="15616" width="5.33203125" style="154" customWidth="1"/>
    <col min="15617" max="15617" width="5.5" style="154" customWidth="1"/>
    <col min="15618" max="15618" width="40.83203125" style="154" customWidth="1"/>
    <col min="15619" max="15619" width="9.83203125" style="154" customWidth="1"/>
    <col min="15620" max="15620" width="13" style="154" customWidth="1"/>
    <col min="15621" max="15621" width="13.1640625" style="154" customWidth="1"/>
    <col min="15622" max="15622" width="12.33203125" style="154" customWidth="1"/>
    <col min="15623" max="15623" width="11.33203125" style="154" customWidth="1"/>
    <col min="15624" max="15624" width="11.83203125" style="154" customWidth="1"/>
    <col min="15625" max="15625" width="10.83203125" style="154" customWidth="1"/>
    <col min="15626" max="15626" width="13.1640625" style="154" customWidth="1"/>
    <col min="15627" max="15627" width="11.5" style="154" customWidth="1"/>
    <col min="15628" max="15629" width="12.33203125" style="154" customWidth="1"/>
    <col min="15630" max="15630" width="13.1640625" style="154" customWidth="1"/>
    <col min="15631" max="15631" width="18.5" style="154" customWidth="1"/>
    <col min="15632" max="15632" width="7.33203125" style="154" customWidth="1"/>
    <col min="15633" max="15871" width="9.33203125" style="154"/>
    <col min="15872" max="15872" width="5.33203125" style="154" customWidth="1"/>
    <col min="15873" max="15873" width="5.5" style="154" customWidth="1"/>
    <col min="15874" max="15874" width="40.83203125" style="154" customWidth="1"/>
    <col min="15875" max="15875" width="9.83203125" style="154" customWidth="1"/>
    <col min="15876" max="15876" width="13" style="154" customWidth="1"/>
    <col min="15877" max="15877" width="13.1640625" style="154" customWidth="1"/>
    <col min="15878" max="15878" width="12.33203125" style="154" customWidth="1"/>
    <col min="15879" max="15879" width="11.33203125" style="154" customWidth="1"/>
    <col min="15880" max="15880" width="11.83203125" style="154" customWidth="1"/>
    <col min="15881" max="15881" width="10.83203125" style="154" customWidth="1"/>
    <col min="15882" max="15882" width="13.1640625" style="154" customWidth="1"/>
    <col min="15883" max="15883" width="11.5" style="154" customWidth="1"/>
    <col min="15884" max="15885" width="12.33203125" style="154" customWidth="1"/>
    <col min="15886" max="15886" width="13.1640625" style="154" customWidth="1"/>
    <col min="15887" max="15887" width="18.5" style="154" customWidth="1"/>
    <col min="15888" max="15888" width="7.33203125" style="154" customWidth="1"/>
    <col min="15889" max="16127" width="9.33203125" style="154"/>
    <col min="16128" max="16128" width="5.33203125" style="154" customWidth="1"/>
    <col min="16129" max="16129" width="5.5" style="154" customWidth="1"/>
    <col min="16130" max="16130" width="40.83203125" style="154" customWidth="1"/>
    <col min="16131" max="16131" width="9.83203125" style="154" customWidth="1"/>
    <col min="16132" max="16132" width="13" style="154" customWidth="1"/>
    <col min="16133" max="16133" width="13.1640625" style="154" customWidth="1"/>
    <col min="16134" max="16134" width="12.33203125" style="154" customWidth="1"/>
    <col min="16135" max="16135" width="11.33203125" style="154" customWidth="1"/>
    <col min="16136" max="16136" width="11.83203125" style="154" customWidth="1"/>
    <col min="16137" max="16137" width="10.83203125" style="154" customWidth="1"/>
    <col min="16138" max="16138" width="13.1640625" style="154" customWidth="1"/>
    <col min="16139" max="16139" width="11.5" style="154" customWidth="1"/>
    <col min="16140" max="16141" width="12.33203125" style="154" customWidth="1"/>
    <col min="16142" max="16142" width="13.1640625" style="154" customWidth="1"/>
    <col min="16143" max="16143" width="18.5" style="154" customWidth="1"/>
    <col min="16144" max="16144" width="7.33203125" style="154" customWidth="1"/>
    <col min="16145" max="16384" width="9.33203125" style="154"/>
  </cols>
  <sheetData>
    <row r="1" spans="1:15" ht="13.5" x14ac:dyDescent="0.25">
      <c r="A1" s="936" t="s">
        <v>122</v>
      </c>
      <c r="B1" s="936" t="s">
        <v>123</v>
      </c>
      <c r="C1" s="934" t="s">
        <v>176</v>
      </c>
      <c r="D1" s="936" t="s">
        <v>332</v>
      </c>
      <c r="E1" s="938" t="s">
        <v>183</v>
      </c>
      <c r="F1" s="938"/>
      <c r="G1" s="938"/>
      <c r="H1" s="938"/>
      <c r="I1" s="938"/>
      <c r="J1" s="938"/>
      <c r="K1" s="938"/>
      <c r="L1" s="939" t="s">
        <v>254</v>
      </c>
      <c r="M1" s="939"/>
      <c r="N1" s="939"/>
      <c r="O1" s="934" t="s">
        <v>22</v>
      </c>
    </row>
    <row r="2" spans="1:15" s="158" customFormat="1" ht="65.25" customHeight="1" x14ac:dyDescent="0.2">
      <c r="A2" s="936"/>
      <c r="B2" s="936"/>
      <c r="C2" s="934"/>
      <c r="D2" s="937"/>
      <c r="E2" s="155" t="s">
        <v>23</v>
      </c>
      <c r="F2" s="155" t="s">
        <v>24</v>
      </c>
      <c r="G2" s="653" t="s">
        <v>25</v>
      </c>
      <c r="H2" s="157" t="s">
        <v>250</v>
      </c>
      <c r="I2" s="653" t="s">
        <v>251</v>
      </c>
      <c r="J2" s="653" t="s">
        <v>252</v>
      </c>
      <c r="K2" s="653" t="s">
        <v>253</v>
      </c>
      <c r="L2" s="653" t="s">
        <v>184</v>
      </c>
      <c r="M2" s="653" t="s">
        <v>185</v>
      </c>
      <c r="N2" s="653" t="s">
        <v>187</v>
      </c>
      <c r="O2" s="934"/>
    </row>
    <row r="3" spans="1:15" s="158" customFormat="1" ht="12.95" customHeight="1" x14ac:dyDescent="0.2">
      <c r="A3" s="159">
        <v>1</v>
      </c>
      <c r="B3" s="159"/>
      <c r="C3" s="465" t="s">
        <v>236</v>
      </c>
      <c r="D3" s="466"/>
      <c r="E3" s="467"/>
      <c r="F3" s="467"/>
      <c r="G3" s="467"/>
      <c r="H3" s="467"/>
      <c r="I3" s="467"/>
      <c r="J3" s="467"/>
      <c r="K3" s="467"/>
      <c r="L3" s="467"/>
      <c r="M3" s="467"/>
      <c r="N3" s="467"/>
      <c r="O3" s="467"/>
    </row>
    <row r="4" spans="1:15" s="158" customFormat="1" ht="12.95" customHeight="1" x14ac:dyDescent="0.2">
      <c r="A4" s="160">
        <v>1</v>
      </c>
      <c r="B4" s="160">
        <v>1</v>
      </c>
      <c r="C4" s="468" t="s">
        <v>12</v>
      </c>
      <c r="D4" s="469"/>
      <c r="E4" s="470"/>
      <c r="F4" s="470"/>
      <c r="G4" s="470"/>
      <c r="H4" s="470"/>
      <c r="I4" s="470"/>
      <c r="J4" s="470"/>
      <c r="K4" s="470"/>
      <c r="L4" s="470"/>
      <c r="M4" s="470"/>
      <c r="N4" s="470"/>
      <c r="O4" s="470"/>
    </row>
    <row r="5" spans="1:15" s="163" customFormat="1" ht="13.5" customHeight="1" x14ac:dyDescent="0.2">
      <c r="A5" s="162">
        <v>1</v>
      </c>
      <c r="B5" s="162">
        <v>12</v>
      </c>
      <c r="C5" s="471" t="s">
        <v>143</v>
      </c>
      <c r="D5" s="472"/>
      <c r="E5" s="473"/>
      <c r="F5" s="473"/>
      <c r="G5" s="474"/>
      <c r="H5" s="474"/>
      <c r="I5" s="474"/>
      <c r="J5" s="474"/>
      <c r="K5" s="474"/>
      <c r="L5" s="474"/>
      <c r="M5" s="474"/>
      <c r="N5" s="474"/>
      <c r="O5" s="474"/>
    </row>
    <row r="6" spans="1:15" s="163" customFormat="1" ht="24.95" hidden="1" customHeight="1" x14ac:dyDescent="0.2">
      <c r="A6" s="162"/>
      <c r="B6" s="162"/>
      <c r="C6" s="475" t="s">
        <v>333</v>
      </c>
      <c r="D6" s="476"/>
      <c r="E6" s="473"/>
      <c r="F6" s="473"/>
      <c r="G6" s="474"/>
      <c r="H6" s="474"/>
      <c r="I6" s="474"/>
      <c r="J6" s="474"/>
      <c r="K6" s="474"/>
      <c r="L6" s="474"/>
      <c r="M6" s="474"/>
      <c r="N6" s="474"/>
      <c r="O6" s="474"/>
    </row>
    <row r="7" spans="1:15" s="163" customFormat="1" ht="17.100000000000001" hidden="1" customHeight="1" x14ac:dyDescent="0.2">
      <c r="A7" s="160"/>
      <c r="B7" s="160"/>
      <c r="C7" s="477" t="s">
        <v>334</v>
      </c>
      <c r="D7" s="478" t="s">
        <v>335</v>
      </c>
      <c r="E7" s="474"/>
      <c r="F7" s="474"/>
      <c r="G7" s="474"/>
      <c r="H7" s="474"/>
      <c r="I7" s="474"/>
      <c r="J7" s="474"/>
      <c r="K7" s="474"/>
      <c r="L7" s="474"/>
      <c r="M7" s="474"/>
      <c r="N7" s="474"/>
      <c r="O7" s="474">
        <f>SUM(H7:N7)</f>
        <v>0</v>
      </c>
    </row>
    <row r="8" spans="1:15" s="163" customFormat="1" ht="13.5" customHeight="1" x14ac:dyDescent="0.2">
      <c r="A8" s="164"/>
      <c r="B8" s="164"/>
      <c r="C8" s="479" t="s">
        <v>336</v>
      </c>
      <c r="D8" s="480"/>
      <c r="E8" s="480">
        <f t="shared" ref="E8:K8" si="0">SUM(E5:E7)</f>
        <v>0</v>
      </c>
      <c r="F8" s="480">
        <f t="shared" si="0"/>
        <v>0</v>
      </c>
      <c r="G8" s="480">
        <f t="shared" si="0"/>
        <v>0</v>
      </c>
      <c r="H8" s="480">
        <f t="shared" si="0"/>
        <v>0</v>
      </c>
      <c r="I8" s="480">
        <f t="shared" si="0"/>
        <v>0</v>
      </c>
      <c r="J8" s="480">
        <f t="shared" si="0"/>
        <v>0</v>
      </c>
      <c r="K8" s="480">
        <f t="shared" si="0"/>
        <v>0</v>
      </c>
      <c r="L8" s="480"/>
      <c r="M8" s="480"/>
      <c r="N8" s="480">
        <f>SUM(N7:N7)</f>
        <v>0</v>
      </c>
      <c r="O8" s="480">
        <f>SUM(O7:O7)</f>
        <v>0</v>
      </c>
    </row>
    <row r="9" spans="1:15" s="163" customFormat="1" ht="13.5" customHeight="1" x14ac:dyDescent="0.2">
      <c r="A9" s="161">
        <v>1</v>
      </c>
      <c r="B9" s="161">
        <v>13</v>
      </c>
      <c r="C9" s="471" t="s">
        <v>144</v>
      </c>
      <c r="D9" s="478"/>
      <c r="E9" s="481"/>
      <c r="F9" s="482"/>
      <c r="G9" s="482"/>
      <c r="H9" s="482"/>
      <c r="I9" s="482"/>
      <c r="J9" s="482"/>
      <c r="K9" s="482"/>
      <c r="L9" s="482"/>
      <c r="M9" s="482"/>
      <c r="N9" s="482"/>
      <c r="O9" s="482"/>
    </row>
    <row r="10" spans="1:15" s="163" customFormat="1" ht="13.5" hidden="1" customHeight="1" x14ac:dyDescent="0.2">
      <c r="A10" s="161"/>
      <c r="B10" s="161"/>
      <c r="C10" s="475" t="s">
        <v>337</v>
      </c>
      <c r="D10" s="478"/>
      <c r="E10" s="474"/>
      <c r="F10" s="474"/>
      <c r="G10" s="474"/>
      <c r="H10" s="474"/>
      <c r="I10" s="474"/>
      <c r="J10" s="474"/>
      <c r="K10" s="474"/>
      <c r="L10" s="474"/>
      <c r="M10" s="474"/>
      <c r="N10" s="474"/>
      <c r="O10" s="474"/>
    </row>
    <row r="11" spans="1:15" s="163" customFormat="1" ht="24.95" hidden="1" customHeight="1" x14ac:dyDescent="0.2">
      <c r="A11" s="161"/>
      <c r="B11" s="161"/>
      <c r="C11" s="475" t="s">
        <v>338</v>
      </c>
      <c r="D11" s="657">
        <v>131705</v>
      </c>
      <c r="E11" s="474"/>
      <c r="F11" s="474"/>
      <c r="G11" s="474"/>
      <c r="H11" s="474"/>
      <c r="I11" s="474"/>
      <c r="J11" s="474"/>
      <c r="K11" s="474"/>
      <c r="L11" s="474"/>
      <c r="M11" s="474"/>
      <c r="N11" s="474"/>
      <c r="O11" s="474">
        <f>SUM(E11:N11)</f>
        <v>0</v>
      </c>
    </row>
    <row r="12" spans="1:15" s="163" customFormat="1" ht="24.95" hidden="1" customHeight="1" x14ac:dyDescent="0.2">
      <c r="A12" s="161"/>
      <c r="B12" s="161"/>
      <c r="C12" s="483" t="s">
        <v>339</v>
      </c>
      <c r="D12" s="478" t="s">
        <v>121</v>
      </c>
      <c r="E12" s="474"/>
      <c r="F12" s="474"/>
      <c r="G12" s="474"/>
      <c r="H12" s="474"/>
      <c r="I12" s="474"/>
      <c r="J12" s="474"/>
      <c r="K12" s="474"/>
      <c r="L12" s="474"/>
      <c r="M12" s="474"/>
      <c r="N12" s="474"/>
      <c r="O12" s="484"/>
    </row>
    <row r="13" spans="1:15" s="163" customFormat="1" ht="24.95" hidden="1" customHeight="1" x14ac:dyDescent="0.2">
      <c r="A13" s="161"/>
      <c r="B13" s="161"/>
      <c r="C13" s="483" t="s">
        <v>340</v>
      </c>
      <c r="D13" s="657">
        <v>131703</v>
      </c>
      <c r="E13" s="474"/>
      <c r="F13" s="474"/>
      <c r="G13" s="474"/>
      <c r="H13" s="474"/>
      <c r="I13" s="474"/>
      <c r="J13" s="474"/>
      <c r="K13" s="474"/>
      <c r="L13" s="474"/>
      <c r="M13" s="474"/>
      <c r="N13" s="474"/>
      <c r="O13" s="474">
        <f>SUM(E13:N13)</f>
        <v>0</v>
      </c>
    </row>
    <row r="14" spans="1:15" s="163" customFormat="1" ht="24.95" hidden="1" customHeight="1" x14ac:dyDescent="0.2">
      <c r="A14" s="704"/>
      <c r="B14" s="704"/>
      <c r="C14" s="710" t="s">
        <v>1437</v>
      </c>
      <c r="D14" s="785"/>
      <c r="E14" s="700"/>
      <c r="F14" s="700"/>
      <c r="G14" s="700"/>
      <c r="H14" s="700"/>
      <c r="I14" s="700"/>
      <c r="J14" s="700"/>
      <c r="K14" s="700"/>
      <c r="L14" s="700"/>
      <c r="M14" s="700"/>
      <c r="N14" s="700"/>
      <c r="O14" s="474"/>
    </row>
    <row r="15" spans="1:15" s="163" customFormat="1" ht="12.75" hidden="1" customHeight="1" x14ac:dyDescent="0.2">
      <c r="A15" s="704"/>
      <c r="B15" s="704"/>
      <c r="C15" s="710" t="s">
        <v>1414</v>
      </c>
      <c r="D15" s="786">
        <v>131716</v>
      </c>
      <c r="E15" s="700"/>
      <c r="F15" s="700"/>
      <c r="G15" s="700"/>
      <c r="H15" s="700"/>
      <c r="I15" s="700"/>
      <c r="J15" s="700"/>
      <c r="K15" s="700"/>
      <c r="L15" s="700"/>
      <c r="M15" s="700"/>
      <c r="N15" s="700"/>
      <c r="O15" s="474">
        <f t="shared" ref="O15:O19" si="1">SUM(E15:N15)</f>
        <v>0</v>
      </c>
    </row>
    <row r="16" spans="1:15" s="163" customFormat="1" ht="24.95" hidden="1" customHeight="1" x14ac:dyDescent="0.2">
      <c r="A16" s="704"/>
      <c r="B16" s="704"/>
      <c r="C16" s="710" t="s">
        <v>486</v>
      </c>
      <c r="D16" s="785"/>
      <c r="E16" s="700"/>
      <c r="F16" s="700"/>
      <c r="G16" s="700"/>
      <c r="H16" s="700"/>
      <c r="I16" s="700"/>
      <c r="J16" s="700"/>
      <c r="K16" s="700"/>
      <c r="L16" s="700"/>
      <c r="M16" s="700"/>
      <c r="N16" s="700"/>
      <c r="O16" s="474"/>
    </row>
    <row r="17" spans="1:15" s="163" customFormat="1" ht="14.25" hidden="1" customHeight="1" x14ac:dyDescent="0.2">
      <c r="A17" s="704"/>
      <c r="B17" s="704"/>
      <c r="C17" s="784" t="s">
        <v>1438</v>
      </c>
      <c r="D17" s="787">
        <v>131845</v>
      </c>
      <c r="E17" s="700"/>
      <c r="F17" s="700"/>
      <c r="G17" s="700"/>
      <c r="H17" s="700"/>
      <c r="I17" s="700"/>
      <c r="J17" s="700"/>
      <c r="K17" s="700"/>
      <c r="L17" s="700"/>
      <c r="M17" s="700"/>
      <c r="N17" s="700"/>
      <c r="O17" s="474">
        <f t="shared" si="1"/>
        <v>0</v>
      </c>
    </row>
    <row r="18" spans="1:15" s="163" customFormat="1" ht="22.5" customHeight="1" x14ac:dyDescent="0.2">
      <c r="A18" s="828"/>
      <c r="B18" s="828"/>
      <c r="C18" s="832" t="s">
        <v>570</v>
      </c>
      <c r="D18" s="829"/>
      <c r="E18" s="830"/>
      <c r="F18" s="830"/>
      <c r="G18" s="830"/>
      <c r="H18" s="830"/>
      <c r="I18" s="830"/>
      <c r="J18" s="830"/>
      <c r="K18" s="830"/>
      <c r="L18" s="830"/>
      <c r="M18" s="830"/>
      <c r="N18" s="830"/>
      <c r="O18" s="474"/>
    </row>
    <row r="19" spans="1:15" s="163" customFormat="1" ht="14.25" customHeight="1" x14ac:dyDescent="0.2">
      <c r="A19" s="828"/>
      <c r="B19" s="828"/>
      <c r="C19" s="831" t="s">
        <v>571</v>
      </c>
      <c r="D19" s="829">
        <v>131803</v>
      </c>
      <c r="E19" s="830"/>
      <c r="F19" s="830"/>
      <c r="G19" s="830"/>
      <c r="H19" s="830"/>
      <c r="I19" s="830"/>
      <c r="J19" s="830">
        <v>356</v>
      </c>
      <c r="K19" s="830"/>
      <c r="L19" s="830"/>
      <c r="M19" s="830"/>
      <c r="N19" s="830"/>
      <c r="O19" s="474">
        <f t="shared" si="1"/>
        <v>356</v>
      </c>
    </row>
    <row r="20" spans="1:15" s="163" customFormat="1" ht="13.5" customHeight="1" x14ac:dyDescent="0.2">
      <c r="A20" s="164"/>
      <c r="B20" s="164"/>
      <c r="C20" s="479" t="s">
        <v>341</v>
      </c>
      <c r="D20" s="485"/>
      <c r="E20" s="480">
        <f>SUM(E11:E19)</f>
        <v>0</v>
      </c>
      <c r="F20" s="480">
        <f t="shared" ref="F20:O20" si="2">SUM(F11:F19)</f>
        <v>0</v>
      </c>
      <c r="G20" s="480">
        <f t="shared" si="2"/>
        <v>0</v>
      </c>
      <c r="H20" s="480">
        <f t="shared" si="2"/>
        <v>0</v>
      </c>
      <c r="I20" s="480">
        <f t="shared" si="2"/>
        <v>0</v>
      </c>
      <c r="J20" s="480">
        <f t="shared" si="2"/>
        <v>356</v>
      </c>
      <c r="K20" s="480">
        <f t="shared" si="2"/>
        <v>0</v>
      </c>
      <c r="L20" s="480">
        <f t="shared" si="2"/>
        <v>0</v>
      </c>
      <c r="M20" s="480">
        <f t="shared" si="2"/>
        <v>0</v>
      </c>
      <c r="N20" s="480">
        <f t="shared" si="2"/>
        <v>0</v>
      </c>
      <c r="O20" s="480">
        <f t="shared" si="2"/>
        <v>356</v>
      </c>
    </row>
    <row r="21" spans="1:15" s="163" customFormat="1" ht="13.5" customHeight="1" x14ac:dyDescent="0.2">
      <c r="A21" s="166">
        <v>1</v>
      </c>
      <c r="B21" s="166">
        <v>14</v>
      </c>
      <c r="C21" s="486" t="s">
        <v>238</v>
      </c>
      <c r="D21" s="487"/>
      <c r="E21" s="482"/>
      <c r="F21" s="482"/>
      <c r="G21" s="482"/>
      <c r="H21" s="482"/>
      <c r="I21" s="482"/>
      <c r="J21" s="482"/>
      <c r="K21" s="482"/>
      <c r="L21" s="482"/>
      <c r="M21" s="482"/>
      <c r="N21" s="482"/>
      <c r="O21" s="482"/>
    </row>
    <row r="22" spans="1:15" s="163" customFormat="1" ht="26.25" hidden="1" customHeight="1" x14ac:dyDescent="0.2">
      <c r="A22" s="161"/>
      <c r="B22" s="161"/>
      <c r="C22" s="488" t="s">
        <v>342</v>
      </c>
      <c r="D22" s="489"/>
      <c r="E22" s="482"/>
      <c r="F22" s="482"/>
      <c r="G22" s="482"/>
      <c r="H22" s="482"/>
      <c r="I22" s="482"/>
      <c r="J22" s="482"/>
      <c r="K22" s="482"/>
      <c r="L22" s="482"/>
      <c r="M22" s="482"/>
      <c r="N22" s="482"/>
      <c r="O22" s="482"/>
    </row>
    <row r="23" spans="1:15" s="163" customFormat="1" ht="23.25" hidden="1" customHeight="1" x14ac:dyDescent="0.2">
      <c r="A23" s="161"/>
      <c r="B23" s="161"/>
      <c r="C23" s="490" t="s">
        <v>343</v>
      </c>
      <c r="D23" s="491">
        <v>171967</v>
      </c>
      <c r="E23" s="482"/>
      <c r="F23" s="482"/>
      <c r="G23" s="482"/>
      <c r="H23" s="474"/>
      <c r="I23" s="482"/>
      <c r="J23" s="482"/>
      <c r="K23" s="482"/>
      <c r="L23" s="482"/>
      <c r="M23" s="482"/>
      <c r="N23" s="482"/>
      <c r="O23" s="474">
        <f>SUM(E23:N23)</f>
        <v>0</v>
      </c>
    </row>
    <row r="24" spans="1:15" s="163" customFormat="1" ht="13.5" customHeight="1" x14ac:dyDescent="0.2">
      <c r="A24" s="164"/>
      <c r="B24" s="164"/>
      <c r="C24" s="479" t="s">
        <v>344</v>
      </c>
      <c r="D24" s="485"/>
      <c r="E24" s="480"/>
      <c r="F24" s="480"/>
      <c r="G24" s="480"/>
      <c r="H24" s="480">
        <f>SUM(H23:H23)</f>
        <v>0</v>
      </c>
      <c r="I24" s="480"/>
      <c r="J24" s="480"/>
      <c r="K24" s="480"/>
      <c r="L24" s="480"/>
      <c r="M24" s="480"/>
      <c r="N24" s="480"/>
      <c r="O24" s="480">
        <f>SUM(O23:O23)</f>
        <v>0</v>
      </c>
    </row>
    <row r="25" spans="1:15" s="158" customFormat="1" ht="13.5" customHeight="1" x14ac:dyDescent="0.2">
      <c r="A25" s="160">
        <v>1</v>
      </c>
      <c r="B25" s="160">
        <v>15</v>
      </c>
      <c r="C25" s="468" t="s">
        <v>179</v>
      </c>
      <c r="D25" s="492"/>
      <c r="E25" s="474"/>
      <c r="F25" s="474"/>
      <c r="G25" s="474"/>
      <c r="H25" s="474"/>
      <c r="I25" s="474"/>
      <c r="J25" s="474"/>
      <c r="K25" s="474"/>
      <c r="L25" s="474"/>
      <c r="M25" s="474"/>
      <c r="N25" s="474"/>
      <c r="O25" s="474"/>
    </row>
    <row r="26" spans="1:15" s="158" customFormat="1" ht="24.95" customHeight="1" x14ac:dyDescent="0.2">
      <c r="A26" s="160"/>
      <c r="B26" s="160"/>
      <c r="C26" s="493" t="s">
        <v>345</v>
      </c>
      <c r="D26" s="494"/>
      <c r="E26" s="481"/>
      <c r="F26" s="474"/>
      <c r="G26" s="474"/>
      <c r="H26" s="474"/>
      <c r="I26" s="474"/>
      <c r="J26" s="474"/>
      <c r="K26" s="474"/>
      <c r="L26" s="474"/>
      <c r="M26" s="474"/>
      <c r="N26" s="474"/>
      <c r="O26" s="474"/>
    </row>
    <row r="27" spans="1:15" s="158" customFormat="1" ht="24.95" hidden="1" customHeight="1" x14ac:dyDescent="0.2">
      <c r="A27" s="160"/>
      <c r="B27" s="160"/>
      <c r="C27" s="490" t="s">
        <v>346</v>
      </c>
      <c r="D27" s="494">
        <v>151906</v>
      </c>
      <c r="E27" s="474"/>
      <c r="F27" s="474"/>
      <c r="G27" s="474"/>
      <c r="H27" s="474"/>
      <c r="I27" s="474"/>
      <c r="J27" s="474"/>
      <c r="K27" s="474"/>
      <c r="L27" s="474"/>
      <c r="M27" s="474"/>
      <c r="N27" s="474"/>
      <c r="O27" s="474">
        <f>SUM(E27:N27)</f>
        <v>0</v>
      </c>
    </row>
    <row r="28" spans="1:15" s="158" customFormat="1" ht="15" customHeight="1" x14ac:dyDescent="0.2">
      <c r="A28" s="160"/>
      <c r="B28" s="160"/>
      <c r="C28" s="477" t="s">
        <v>347</v>
      </c>
      <c r="D28" s="495" t="s">
        <v>348</v>
      </c>
      <c r="E28" s="474"/>
      <c r="F28" s="474"/>
      <c r="G28" s="474"/>
      <c r="H28" s="474">
        <v>-10160</v>
      </c>
      <c r="I28" s="474"/>
      <c r="J28" s="474"/>
      <c r="K28" s="474"/>
      <c r="L28" s="474"/>
      <c r="M28" s="474"/>
      <c r="N28" s="474"/>
      <c r="O28" s="474">
        <f>SUM(E28:N28)</f>
        <v>-10160</v>
      </c>
    </row>
    <row r="29" spans="1:15" s="158" customFormat="1" ht="15" hidden="1" customHeight="1" x14ac:dyDescent="0.2">
      <c r="A29" s="160"/>
      <c r="B29" s="160"/>
      <c r="C29" s="477" t="s">
        <v>349</v>
      </c>
      <c r="D29" s="495" t="s">
        <v>350</v>
      </c>
      <c r="E29" s="474"/>
      <c r="F29" s="474"/>
      <c r="G29" s="474"/>
      <c r="H29" s="474"/>
      <c r="I29" s="474"/>
      <c r="J29" s="474"/>
      <c r="K29" s="474"/>
      <c r="L29" s="474"/>
      <c r="M29" s="474"/>
      <c r="N29" s="474"/>
      <c r="O29" s="474">
        <f>SUM(E29:N29)</f>
        <v>0</v>
      </c>
    </row>
    <row r="30" spans="1:15" s="158" customFormat="1" ht="15" customHeight="1" x14ac:dyDescent="0.2">
      <c r="A30" s="160"/>
      <c r="B30" s="160"/>
      <c r="C30" s="496" t="s">
        <v>351</v>
      </c>
      <c r="D30" s="497"/>
      <c r="E30" s="474"/>
      <c r="F30" s="474"/>
      <c r="G30" s="474"/>
      <c r="H30" s="474"/>
      <c r="I30" s="474"/>
      <c r="J30" s="474"/>
      <c r="K30" s="474"/>
      <c r="L30" s="474"/>
      <c r="M30" s="474"/>
      <c r="N30" s="474"/>
      <c r="O30" s="474"/>
    </row>
    <row r="31" spans="1:15" s="158" customFormat="1" ht="15" customHeight="1" x14ac:dyDescent="0.2">
      <c r="A31" s="160"/>
      <c r="B31" s="160"/>
      <c r="C31" s="477" t="s">
        <v>352</v>
      </c>
      <c r="D31" s="495" t="s">
        <v>353</v>
      </c>
      <c r="E31" s="474"/>
      <c r="F31" s="474"/>
      <c r="G31" s="474"/>
      <c r="H31" s="474">
        <v>2841</v>
      </c>
      <c r="I31" s="474"/>
      <c r="J31" s="474"/>
      <c r="K31" s="474"/>
      <c r="L31" s="474"/>
      <c r="M31" s="474"/>
      <c r="N31" s="474"/>
      <c r="O31" s="474">
        <f>SUM(E31:N31)</f>
        <v>2841</v>
      </c>
    </row>
    <row r="32" spans="1:15" s="158" customFormat="1" ht="15" hidden="1" customHeight="1" x14ac:dyDescent="0.2">
      <c r="A32" s="160"/>
      <c r="B32" s="160"/>
      <c r="C32" s="498" t="s">
        <v>354</v>
      </c>
      <c r="D32" s="495" t="s">
        <v>355</v>
      </c>
      <c r="E32" s="474"/>
      <c r="F32" s="474"/>
      <c r="G32" s="474"/>
      <c r="H32" s="474"/>
      <c r="I32" s="474"/>
      <c r="J32" s="474"/>
      <c r="K32" s="474"/>
      <c r="L32" s="474"/>
      <c r="M32" s="474"/>
      <c r="N32" s="474"/>
      <c r="O32" s="474">
        <f>SUM(E32:N32)</f>
        <v>0</v>
      </c>
    </row>
    <row r="33" spans="1:15" s="158" customFormat="1" ht="24.75" customHeight="1" x14ac:dyDescent="0.2">
      <c r="A33" s="833"/>
      <c r="B33" s="833"/>
      <c r="C33" s="835" t="s">
        <v>705</v>
      </c>
      <c r="D33" s="836" t="s">
        <v>1463</v>
      </c>
      <c r="E33" s="830"/>
      <c r="F33" s="830"/>
      <c r="G33" s="830"/>
      <c r="H33" s="830">
        <v>21336</v>
      </c>
      <c r="I33" s="830"/>
      <c r="J33" s="830"/>
      <c r="K33" s="830"/>
      <c r="L33" s="830"/>
      <c r="M33" s="830"/>
      <c r="N33" s="830"/>
      <c r="O33" s="474">
        <f>SUM(E33:N33)</f>
        <v>21336</v>
      </c>
    </row>
    <row r="34" spans="1:15" s="158" customFormat="1" ht="24.95" customHeight="1" x14ac:dyDescent="0.2">
      <c r="A34" s="160"/>
      <c r="B34" s="160"/>
      <c r="C34" s="493" t="s">
        <v>356</v>
      </c>
      <c r="D34" s="499"/>
      <c r="E34" s="474"/>
      <c r="F34" s="474"/>
      <c r="G34" s="474"/>
      <c r="H34" s="474"/>
      <c r="I34" s="474"/>
      <c r="J34" s="474"/>
      <c r="K34" s="474"/>
      <c r="L34" s="474"/>
      <c r="M34" s="474"/>
      <c r="N34" s="474"/>
      <c r="O34" s="474"/>
    </row>
    <row r="35" spans="1:15" s="158" customFormat="1" ht="27" hidden="1" customHeight="1" x14ac:dyDescent="0.2">
      <c r="A35" s="160"/>
      <c r="B35" s="160"/>
      <c r="C35" s="490" t="s">
        <v>357</v>
      </c>
      <c r="D35" s="501">
        <v>151701</v>
      </c>
      <c r="E35" s="474"/>
      <c r="F35" s="474"/>
      <c r="G35" s="474"/>
      <c r="H35" s="474"/>
      <c r="I35" s="474"/>
      <c r="J35" s="474"/>
      <c r="K35" s="474"/>
      <c r="L35" s="474"/>
      <c r="M35" s="474"/>
      <c r="N35" s="474"/>
      <c r="O35" s="474">
        <f>SUM(E35:N35)</f>
        <v>0</v>
      </c>
    </row>
    <row r="36" spans="1:15" s="158" customFormat="1" ht="27" hidden="1" customHeight="1" x14ac:dyDescent="0.2">
      <c r="A36" s="160"/>
      <c r="B36" s="160"/>
      <c r="C36" s="500" t="s">
        <v>358</v>
      </c>
      <c r="D36" s="501" t="s">
        <v>359</v>
      </c>
      <c r="E36" s="474"/>
      <c r="F36" s="474"/>
      <c r="G36" s="474"/>
      <c r="H36" s="474"/>
      <c r="I36" s="474"/>
      <c r="J36" s="474"/>
      <c r="K36" s="474"/>
      <c r="L36" s="474"/>
      <c r="M36" s="474"/>
      <c r="N36" s="474"/>
      <c r="O36" s="474">
        <f>SUM(E36:N36)</f>
        <v>0</v>
      </c>
    </row>
    <row r="37" spans="1:15" s="158" customFormat="1" ht="27" customHeight="1" x14ac:dyDescent="0.2">
      <c r="A37" s="901"/>
      <c r="B37" s="901"/>
      <c r="C37" s="903" t="s">
        <v>1488</v>
      </c>
      <c r="D37" s="606">
        <v>152572</v>
      </c>
      <c r="E37" s="902"/>
      <c r="F37" s="902">
        <v>7000</v>
      </c>
      <c r="G37" s="902"/>
      <c r="H37" s="902"/>
      <c r="I37" s="902"/>
      <c r="J37" s="902"/>
      <c r="K37" s="902"/>
      <c r="L37" s="902"/>
      <c r="M37" s="902"/>
      <c r="N37" s="902"/>
      <c r="O37" s="474">
        <f>SUM(E37:N37)</f>
        <v>7000</v>
      </c>
    </row>
    <row r="38" spans="1:15" s="158" customFormat="1" ht="20.25" customHeight="1" x14ac:dyDescent="0.2">
      <c r="A38" s="833"/>
      <c r="B38" s="833"/>
      <c r="C38" s="912" t="s">
        <v>1493</v>
      </c>
      <c r="D38" s="913" t="s">
        <v>1494</v>
      </c>
      <c r="E38" s="830"/>
      <c r="F38" s="830"/>
      <c r="G38" s="830"/>
      <c r="H38" s="830">
        <v>8255</v>
      </c>
      <c r="I38" s="830"/>
      <c r="J38" s="830"/>
      <c r="K38" s="830"/>
      <c r="L38" s="830"/>
      <c r="M38" s="830"/>
      <c r="N38" s="830"/>
      <c r="O38" s="474">
        <f>SUM(E38:N38)</f>
        <v>8255</v>
      </c>
    </row>
    <row r="39" spans="1:15" s="158" customFormat="1" ht="26.25" hidden="1" customHeight="1" x14ac:dyDescent="0.2">
      <c r="A39" s="160"/>
      <c r="B39" s="160"/>
      <c r="C39" s="490" t="s">
        <v>360</v>
      </c>
      <c r="D39" s="501"/>
      <c r="E39" s="502"/>
      <c r="F39" s="502"/>
      <c r="G39" s="474"/>
      <c r="H39" s="474"/>
      <c r="I39" s="474"/>
      <c r="J39" s="474"/>
      <c r="K39" s="474"/>
      <c r="L39" s="474"/>
      <c r="M39" s="474"/>
      <c r="N39" s="474"/>
      <c r="O39" s="474"/>
    </row>
    <row r="40" spans="1:15" s="158" customFormat="1" ht="24.95" hidden="1" customHeight="1" x14ac:dyDescent="0.2">
      <c r="A40" s="160"/>
      <c r="B40" s="160"/>
      <c r="C40" s="475" t="s">
        <v>361</v>
      </c>
      <c r="D40" s="499" t="s">
        <v>362</v>
      </c>
      <c r="E40" s="502"/>
      <c r="F40" s="502"/>
      <c r="G40" s="474"/>
      <c r="H40" s="474"/>
      <c r="I40" s="474"/>
      <c r="J40" s="474"/>
      <c r="K40" s="474"/>
      <c r="L40" s="474"/>
      <c r="M40" s="474"/>
      <c r="N40" s="474"/>
      <c r="O40" s="474">
        <f>SUM(E40:N40)</f>
        <v>0</v>
      </c>
    </row>
    <row r="41" spans="1:15" s="158" customFormat="1" ht="16.5" customHeight="1" x14ac:dyDescent="0.2">
      <c r="A41" s="833"/>
      <c r="B41" s="833"/>
      <c r="C41" s="837" t="s">
        <v>724</v>
      </c>
      <c r="D41" s="838"/>
      <c r="E41" s="842"/>
      <c r="F41" s="842"/>
      <c r="G41" s="830"/>
      <c r="H41" s="830"/>
      <c r="I41" s="830"/>
      <c r="J41" s="830"/>
      <c r="K41" s="830"/>
      <c r="L41" s="830"/>
      <c r="M41" s="830"/>
      <c r="N41" s="830"/>
      <c r="O41" s="474"/>
    </row>
    <row r="42" spans="1:15" s="158" customFormat="1" ht="16.5" customHeight="1" x14ac:dyDescent="0.2">
      <c r="A42" s="833"/>
      <c r="B42" s="833"/>
      <c r="C42" s="837" t="s">
        <v>726</v>
      </c>
      <c r="D42" s="838" t="s">
        <v>1464</v>
      </c>
      <c r="E42" s="842"/>
      <c r="F42" s="842"/>
      <c r="G42" s="830"/>
      <c r="H42" s="830">
        <v>83</v>
      </c>
      <c r="I42" s="830"/>
      <c r="J42" s="830"/>
      <c r="K42" s="830"/>
      <c r="L42" s="830"/>
      <c r="M42" s="830"/>
      <c r="N42" s="830"/>
      <c r="O42" s="474">
        <f t="shared" ref="O42:O48" si="3">SUM(E42:N42)</f>
        <v>83</v>
      </c>
    </row>
    <row r="43" spans="1:15" s="158" customFormat="1" ht="17.25" customHeight="1" x14ac:dyDescent="0.2">
      <c r="A43" s="833"/>
      <c r="B43" s="833"/>
      <c r="C43" s="839" t="s">
        <v>1465</v>
      </c>
      <c r="D43" s="838" t="s">
        <v>1466</v>
      </c>
      <c r="E43" s="842"/>
      <c r="F43" s="842"/>
      <c r="G43" s="830"/>
      <c r="H43" s="830"/>
      <c r="I43" s="830"/>
      <c r="J43" s="830"/>
      <c r="K43" s="830">
        <v>500</v>
      </c>
      <c r="L43" s="830"/>
      <c r="M43" s="830"/>
      <c r="N43" s="830"/>
      <c r="O43" s="474">
        <f t="shared" si="3"/>
        <v>500</v>
      </c>
    </row>
    <row r="44" spans="1:15" s="158" customFormat="1" ht="24.95" customHeight="1" x14ac:dyDescent="0.2">
      <c r="A44" s="833"/>
      <c r="B44" s="833"/>
      <c r="C44" s="840" t="s">
        <v>1049</v>
      </c>
      <c r="D44" s="838" t="s">
        <v>1467</v>
      </c>
      <c r="E44" s="842"/>
      <c r="F44" s="842"/>
      <c r="G44" s="830"/>
      <c r="H44" s="830">
        <v>3302</v>
      </c>
      <c r="I44" s="830"/>
      <c r="J44" s="830"/>
      <c r="K44" s="830"/>
      <c r="L44" s="830"/>
      <c r="M44" s="830"/>
      <c r="N44" s="830"/>
      <c r="O44" s="474">
        <f t="shared" si="3"/>
        <v>3302</v>
      </c>
    </row>
    <row r="45" spans="1:15" s="158" customFormat="1" ht="17.25" customHeight="1" x14ac:dyDescent="0.2">
      <c r="A45" s="833"/>
      <c r="B45" s="833"/>
      <c r="C45" s="841" t="s">
        <v>790</v>
      </c>
      <c r="D45" s="838"/>
      <c r="E45" s="842"/>
      <c r="F45" s="842"/>
      <c r="G45" s="830"/>
      <c r="H45" s="830"/>
      <c r="I45" s="830"/>
      <c r="J45" s="830"/>
      <c r="K45" s="830"/>
      <c r="L45" s="830"/>
      <c r="M45" s="830"/>
      <c r="N45" s="830"/>
      <c r="O45" s="474"/>
    </row>
    <row r="46" spans="1:15" s="158" customFormat="1" ht="16.5" customHeight="1" x14ac:dyDescent="0.2">
      <c r="A46" s="833"/>
      <c r="B46" s="833"/>
      <c r="C46" s="841" t="s">
        <v>791</v>
      </c>
      <c r="D46" s="838" t="s">
        <v>1468</v>
      </c>
      <c r="E46" s="842"/>
      <c r="F46" s="842"/>
      <c r="G46" s="830"/>
      <c r="H46" s="830">
        <v>265</v>
      </c>
      <c r="I46" s="830"/>
      <c r="J46" s="830"/>
      <c r="K46" s="830"/>
      <c r="L46" s="830"/>
      <c r="M46" s="830"/>
      <c r="N46" s="830"/>
      <c r="O46" s="474">
        <f t="shared" si="3"/>
        <v>265</v>
      </c>
    </row>
    <row r="47" spans="1:15" s="158" customFormat="1" ht="16.5" customHeight="1" x14ac:dyDescent="0.2">
      <c r="A47" s="833"/>
      <c r="B47" s="833"/>
      <c r="C47" s="841" t="s">
        <v>793</v>
      </c>
      <c r="D47" s="838" t="s">
        <v>1469</v>
      </c>
      <c r="E47" s="842"/>
      <c r="F47" s="842"/>
      <c r="G47" s="830"/>
      <c r="H47" s="830">
        <v>608</v>
      </c>
      <c r="I47" s="830"/>
      <c r="J47" s="830"/>
      <c r="K47" s="830"/>
      <c r="L47" s="830"/>
      <c r="M47" s="830"/>
      <c r="N47" s="830"/>
      <c r="O47" s="474">
        <f t="shared" si="3"/>
        <v>608</v>
      </c>
    </row>
    <row r="48" spans="1:15" s="158" customFormat="1" ht="17.25" customHeight="1" x14ac:dyDescent="0.2">
      <c r="A48" s="833"/>
      <c r="B48" s="833"/>
      <c r="C48" s="841" t="s">
        <v>796</v>
      </c>
      <c r="D48" s="838" t="s">
        <v>1470</v>
      </c>
      <c r="E48" s="842"/>
      <c r="F48" s="842"/>
      <c r="G48" s="830"/>
      <c r="H48" s="830">
        <v>772</v>
      </c>
      <c r="I48" s="830"/>
      <c r="J48" s="830"/>
      <c r="K48" s="830"/>
      <c r="L48" s="830"/>
      <c r="M48" s="830"/>
      <c r="N48" s="830"/>
      <c r="O48" s="474">
        <f t="shared" si="3"/>
        <v>772</v>
      </c>
    </row>
    <row r="49" spans="1:15" s="158" customFormat="1" ht="12.95" customHeight="1" x14ac:dyDescent="0.2">
      <c r="A49" s="164"/>
      <c r="B49" s="164"/>
      <c r="C49" s="503" t="s">
        <v>363</v>
      </c>
      <c r="D49" s="504"/>
      <c r="E49" s="480">
        <f>SUM(E26:E48)</f>
        <v>0</v>
      </c>
      <c r="F49" s="480">
        <f t="shared" ref="F49:O49" si="4">SUM(F26:F48)</f>
        <v>7000</v>
      </c>
      <c r="G49" s="480">
        <f t="shared" si="4"/>
        <v>0</v>
      </c>
      <c r="H49" s="480">
        <f t="shared" si="4"/>
        <v>27302</v>
      </c>
      <c r="I49" s="480">
        <f t="shared" si="4"/>
        <v>0</v>
      </c>
      <c r="J49" s="480">
        <f t="shared" si="4"/>
        <v>0</v>
      </c>
      <c r="K49" s="480">
        <f t="shared" si="4"/>
        <v>500</v>
      </c>
      <c r="L49" s="480">
        <f t="shared" si="4"/>
        <v>0</v>
      </c>
      <c r="M49" s="480">
        <f t="shared" si="4"/>
        <v>0</v>
      </c>
      <c r="N49" s="480">
        <f t="shared" si="4"/>
        <v>0</v>
      </c>
      <c r="O49" s="480">
        <f t="shared" si="4"/>
        <v>34802</v>
      </c>
    </row>
    <row r="50" spans="1:15" s="158" customFormat="1" ht="12.95" customHeight="1" x14ac:dyDescent="0.2">
      <c r="A50" s="160">
        <v>1</v>
      </c>
      <c r="B50" s="160" t="s">
        <v>119</v>
      </c>
      <c r="C50" s="468" t="s">
        <v>164</v>
      </c>
      <c r="D50" s="469"/>
      <c r="E50" s="474"/>
      <c r="F50" s="474"/>
      <c r="G50" s="474"/>
      <c r="H50" s="474"/>
      <c r="I50" s="474"/>
      <c r="J50" s="474"/>
      <c r="K50" s="474"/>
      <c r="L50" s="474"/>
      <c r="M50" s="474"/>
      <c r="N50" s="474"/>
      <c r="O50" s="474"/>
    </row>
    <row r="51" spans="1:15" s="158" customFormat="1" ht="27" customHeight="1" x14ac:dyDescent="0.2">
      <c r="A51" s="160"/>
      <c r="B51" s="160"/>
      <c r="C51" s="490" t="s">
        <v>364</v>
      </c>
      <c r="D51" s="505"/>
      <c r="E51" s="506"/>
      <c r="F51" s="474"/>
      <c r="G51" s="474"/>
      <c r="H51" s="474"/>
      <c r="I51" s="474"/>
      <c r="J51" s="474"/>
      <c r="K51" s="474"/>
      <c r="L51" s="474"/>
      <c r="M51" s="474"/>
      <c r="N51" s="474"/>
      <c r="O51" s="474"/>
    </row>
    <row r="52" spans="1:15" s="158" customFormat="1" ht="26.25" customHeight="1" x14ac:dyDescent="0.2">
      <c r="A52" s="160"/>
      <c r="B52" s="160"/>
      <c r="C52" s="475" t="s">
        <v>1384</v>
      </c>
      <c r="D52" s="507">
        <v>161909</v>
      </c>
      <c r="E52" s="502"/>
      <c r="F52" s="502"/>
      <c r="G52" s="474"/>
      <c r="H52" s="474">
        <v>36713</v>
      </c>
      <c r="I52" s="474"/>
      <c r="J52" s="474"/>
      <c r="K52" s="474"/>
      <c r="L52" s="474"/>
      <c r="M52" s="474"/>
      <c r="N52" s="474"/>
      <c r="O52" s="474">
        <f>SUM(E52:N52)</f>
        <v>36713</v>
      </c>
    </row>
    <row r="53" spans="1:15" s="158" customFormat="1" ht="23.25" hidden="1" customHeight="1" x14ac:dyDescent="0.2">
      <c r="A53" s="160"/>
      <c r="B53" s="160"/>
      <c r="C53" s="475" t="s">
        <v>1357</v>
      </c>
      <c r="D53" s="507">
        <v>164106</v>
      </c>
      <c r="E53" s="502"/>
      <c r="F53" s="502"/>
      <c r="G53" s="474"/>
      <c r="H53" s="474"/>
      <c r="I53" s="474"/>
      <c r="J53" s="474"/>
      <c r="K53" s="474"/>
      <c r="L53" s="474"/>
      <c r="M53" s="474"/>
      <c r="N53" s="474"/>
      <c r="O53" s="474">
        <f>SUM(E53:N53)</f>
        <v>0</v>
      </c>
    </row>
    <row r="54" spans="1:15" s="158" customFormat="1" ht="24" hidden="1" customHeight="1" x14ac:dyDescent="0.2">
      <c r="A54" s="160"/>
      <c r="B54" s="160"/>
      <c r="C54" s="475" t="s">
        <v>1358</v>
      </c>
      <c r="D54" s="507">
        <v>164204</v>
      </c>
      <c r="E54" s="502"/>
      <c r="F54" s="502"/>
      <c r="G54" s="474"/>
      <c r="H54" s="474"/>
      <c r="I54" s="474"/>
      <c r="J54" s="474"/>
      <c r="K54" s="474"/>
      <c r="L54" s="474"/>
      <c r="M54" s="474"/>
      <c r="N54" s="474"/>
      <c r="O54" s="474">
        <f>SUM(E54:N54)</f>
        <v>0</v>
      </c>
    </row>
    <row r="55" spans="1:15" s="158" customFormat="1" ht="35.25" hidden="1" customHeight="1" x14ac:dyDescent="0.2">
      <c r="A55" s="160"/>
      <c r="B55" s="160"/>
      <c r="C55" s="508" t="s">
        <v>365</v>
      </c>
      <c r="D55" s="507">
        <v>164205</v>
      </c>
      <c r="E55" s="502"/>
      <c r="F55" s="502"/>
      <c r="G55" s="474"/>
      <c r="H55" s="474"/>
      <c r="I55" s="474"/>
      <c r="J55" s="474"/>
      <c r="K55" s="474"/>
      <c r="L55" s="474"/>
      <c r="M55" s="474"/>
      <c r="N55" s="474"/>
      <c r="O55" s="474">
        <f>SUM(E55:N55)</f>
        <v>0</v>
      </c>
    </row>
    <row r="56" spans="1:15" s="158" customFormat="1" ht="35.25" hidden="1" customHeight="1" x14ac:dyDescent="0.2">
      <c r="A56" s="160"/>
      <c r="B56" s="160"/>
      <c r="C56" s="508" t="s">
        <v>366</v>
      </c>
      <c r="D56" s="507">
        <v>164206</v>
      </c>
      <c r="E56" s="502"/>
      <c r="F56" s="502"/>
      <c r="G56" s="474"/>
      <c r="H56" s="474"/>
      <c r="I56" s="474"/>
      <c r="J56" s="474"/>
      <c r="K56" s="474"/>
      <c r="L56" s="474"/>
      <c r="M56" s="474"/>
      <c r="N56" s="474"/>
      <c r="O56" s="474">
        <f>SUM(E56:N56)</f>
        <v>0</v>
      </c>
    </row>
    <row r="57" spans="1:15" s="158" customFormat="1" ht="27" hidden="1" customHeight="1" x14ac:dyDescent="0.2">
      <c r="A57" s="160"/>
      <c r="B57" s="160"/>
      <c r="C57" s="496" t="s">
        <v>367</v>
      </c>
      <c r="D57" s="509"/>
      <c r="E57" s="502"/>
      <c r="F57" s="502"/>
      <c r="G57" s="474"/>
      <c r="H57" s="474"/>
      <c r="I57" s="474"/>
      <c r="J57" s="474"/>
      <c r="K57" s="474"/>
      <c r="L57" s="474"/>
      <c r="M57" s="474"/>
      <c r="N57" s="474"/>
      <c r="O57" s="474"/>
    </row>
    <row r="58" spans="1:15" s="158" customFormat="1" ht="27" hidden="1" customHeight="1" x14ac:dyDescent="0.2">
      <c r="A58" s="160"/>
      <c r="B58" s="160"/>
      <c r="C58" s="496" t="s">
        <v>368</v>
      </c>
      <c r="D58" s="509">
        <v>163700</v>
      </c>
      <c r="E58" s="502"/>
      <c r="F58" s="502"/>
      <c r="G58" s="474"/>
      <c r="H58" s="474"/>
      <c r="I58" s="474"/>
      <c r="J58" s="474"/>
      <c r="K58" s="474"/>
      <c r="L58" s="474"/>
      <c r="M58" s="474"/>
      <c r="N58" s="474"/>
      <c r="O58" s="474">
        <f>SUM(E58:N58)</f>
        <v>0</v>
      </c>
    </row>
    <row r="59" spans="1:15" s="158" customFormat="1" ht="25.5" hidden="1" customHeight="1" x14ac:dyDescent="0.2">
      <c r="A59" s="160"/>
      <c r="B59" s="160"/>
      <c r="C59" s="490" t="s">
        <v>369</v>
      </c>
      <c r="D59" s="510"/>
      <c r="E59" s="474"/>
      <c r="F59" s="474"/>
      <c r="G59" s="474"/>
      <c r="H59" s="474"/>
      <c r="I59" s="474"/>
      <c r="J59" s="474"/>
      <c r="K59" s="474"/>
      <c r="L59" s="474"/>
      <c r="M59" s="474"/>
      <c r="N59" s="474"/>
      <c r="O59" s="474"/>
    </row>
    <row r="60" spans="1:15" s="158" customFormat="1" ht="25.5" hidden="1" customHeight="1" x14ac:dyDescent="0.2">
      <c r="A60" s="160"/>
      <c r="B60" s="160"/>
      <c r="C60" s="496" t="s">
        <v>370</v>
      </c>
      <c r="D60" s="509">
        <v>162695</v>
      </c>
      <c r="E60" s="474"/>
      <c r="F60" s="474"/>
      <c r="G60" s="474"/>
      <c r="H60" s="474"/>
      <c r="I60" s="474"/>
      <c r="J60" s="474"/>
      <c r="K60" s="474"/>
      <c r="L60" s="474"/>
      <c r="M60" s="474"/>
      <c r="N60" s="474"/>
      <c r="O60" s="474">
        <f t="shared" ref="O60:O103" si="5">SUM(E60:N60)</f>
        <v>0</v>
      </c>
    </row>
    <row r="61" spans="1:15" s="158" customFormat="1" ht="19.5" hidden="1" customHeight="1" x14ac:dyDescent="0.2">
      <c r="A61" s="160"/>
      <c r="B61" s="160"/>
      <c r="C61" s="511" t="s">
        <v>371</v>
      </c>
      <c r="D61" s="512">
        <v>162607</v>
      </c>
      <c r="E61" s="513"/>
      <c r="F61" s="513"/>
      <c r="G61" s="514"/>
      <c r="H61" s="514"/>
      <c r="I61" s="514"/>
      <c r="J61" s="514"/>
      <c r="K61" s="514"/>
      <c r="L61" s="514"/>
      <c r="M61" s="514"/>
      <c r="N61" s="514"/>
      <c r="O61" s="514">
        <f t="shared" si="5"/>
        <v>0</v>
      </c>
    </row>
    <row r="62" spans="1:15" s="158" customFormat="1" ht="25.5" hidden="1" customHeight="1" x14ac:dyDescent="0.2">
      <c r="A62" s="168"/>
      <c r="B62" s="168"/>
      <c r="C62" s="515" t="s">
        <v>372</v>
      </c>
      <c r="D62" s="512">
        <v>162640</v>
      </c>
      <c r="E62" s="514"/>
      <c r="F62" s="514"/>
      <c r="G62" s="514"/>
      <c r="H62" s="514"/>
      <c r="I62" s="514"/>
      <c r="J62" s="514"/>
      <c r="K62" s="514"/>
      <c r="L62" s="514"/>
      <c r="M62" s="514"/>
      <c r="N62" s="514"/>
      <c r="O62" s="514">
        <f t="shared" si="5"/>
        <v>0</v>
      </c>
    </row>
    <row r="63" spans="1:15" s="158" customFormat="1" ht="37.5" hidden="1" customHeight="1" x14ac:dyDescent="0.2">
      <c r="A63" s="168"/>
      <c r="B63" s="168"/>
      <c r="C63" s="516" t="s">
        <v>373</v>
      </c>
      <c r="D63" s="512">
        <v>163636</v>
      </c>
      <c r="E63" s="514"/>
      <c r="F63" s="514"/>
      <c r="G63" s="514"/>
      <c r="H63" s="514"/>
      <c r="I63" s="514"/>
      <c r="J63" s="514"/>
      <c r="K63" s="514"/>
      <c r="L63" s="514"/>
      <c r="M63" s="514"/>
      <c r="N63" s="514"/>
      <c r="O63" s="514">
        <f t="shared" si="5"/>
        <v>0</v>
      </c>
    </row>
    <row r="64" spans="1:15" s="158" customFormat="1" ht="37.5" hidden="1" customHeight="1" x14ac:dyDescent="0.2">
      <c r="A64" s="168"/>
      <c r="B64" s="168"/>
      <c r="C64" s="517" t="s">
        <v>374</v>
      </c>
      <c r="D64" s="423">
        <v>163601</v>
      </c>
      <c r="E64" s="514"/>
      <c r="F64" s="514"/>
      <c r="G64" s="514"/>
      <c r="H64" s="514"/>
      <c r="I64" s="514"/>
      <c r="J64" s="514"/>
      <c r="K64" s="514"/>
      <c r="L64" s="514"/>
      <c r="M64" s="385"/>
      <c r="N64" s="514"/>
      <c r="O64" s="514">
        <f t="shared" si="5"/>
        <v>0</v>
      </c>
    </row>
    <row r="65" spans="1:15" s="158" customFormat="1" ht="37.5" hidden="1" customHeight="1" x14ac:dyDescent="0.2">
      <c r="A65" s="168"/>
      <c r="B65" s="168"/>
      <c r="C65" s="517" t="s">
        <v>375</v>
      </c>
      <c r="D65" s="423">
        <v>163603</v>
      </c>
      <c r="E65" s="514"/>
      <c r="F65" s="514"/>
      <c r="G65" s="514"/>
      <c r="H65" s="514"/>
      <c r="I65" s="514"/>
      <c r="J65" s="514"/>
      <c r="K65" s="514"/>
      <c r="L65" s="514"/>
      <c r="M65" s="385"/>
      <c r="N65" s="514"/>
      <c r="O65" s="514">
        <f t="shared" si="5"/>
        <v>0</v>
      </c>
    </row>
    <row r="66" spans="1:15" s="158" customFormat="1" ht="37.5" hidden="1" customHeight="1" x14ac:dyDescent="0.2">
      <c r="A66" s="168"/>
      <c r="B66" s="168"/>
      <c r="C66" s="518" t="s">
        <v>376</v>
      </c>
      <c r="D66" s="423">
        <v>163604</v>
      </c>
      <c r="E66" s="514"/>
      <c r="F66" s="514"/>
      <c r="G66" s="514"/>
      <c r="H66" s="514"/>
      <c r="I66" s="514"/>
      <c r="J66" s="514"/>
      <c r="K66" s="514"/>
      <c r="L66" s="514"/>
      <c r="M66" s="385"/>
      <c r="N66" s="514"/>
      <c r="O66" s="514">
        <f t="shared" si="5"/>
        <v>0</v>
      </c>
    </row>
    <row r="67" spans="1:15" s="158" customFormat="1" ht="37.5" hidden="1" customHeight="1" x14ac:dyDescent="0.2">
      <c r="A67" s="168"/>
      <c r="B67" s="168"/>
      <c r="C67" s="518" t="s">
        <v>377</v>
      </c>
      <c r="D67" s="423">
        <v>163606</v>
      </c>
      <c r="E67" s="514"/>
      <c r="F67" s="514"/>
      <c r="G67" s="514"/>
      <c r="H67" s="514"/>
      <c r="I67" s="514"/>
      <c r="J67" s="514"/>
      <c r="K67" s="514"/>
      <c r="L67" s="514"/>
      <c r="M67" s="385"/>
      <c r="N67" s="514"/>
      <c r="O67" s="514">
        <f t="shared" si="5"/>
        <v>0</v>
      </c>
    </row>
    <row r="68" spans="1:15" s="158" customFormat="1" ht="77.25" hidden="1" customHeight="1" x14ac:dyDescent="0.2">
      <c r="A68" s="168"/>
      <c r="B68" s="168"/>
      <c r="C68" s="517" t="s">
        <v>378</v>
      </c>
      <c r="D68" s="423">
        <v>163607</v>
      </c>
      <c r="E68" s="514"/>
      <c r="F68" s="514"/>
      <c r="G68" s="514"/>
      <c r="H68" s="514"/>
      <c r="I68" s="514"/>
      <c r="J68" s="514"/>
      <c r="K68" s="514"/>
      <c r="L68" s="514"/>
      <c r="M68" s="385"/>
      <c r="N68" s="514"/>
      <c r="O68" s="514">
        <f t="shared" si="5"/>
        <v>0</v>
      </c>
    </row>
    <row r="69" spans="1:15" s="158" customFormat="1" ht="37.5" hidden="1" customHeight="1" x14ac:dyDescent="0.2">
      <c r="A69" s="168"/>
      <c r="B69" s="168"/>
      <c r="C69" s="517" t="s">
        <v>379</v>
      </c>
      <c r="D69" s="423">
        <v>163608</v>
      </c>
      <c r="E69" s="514"/>
      <c r="F69" s="514"/>
      <c r="G69" s="514"/>
      <c r="H69" s="514"/>
      <c r="I69" s="514"/>
      <c r="J69" s="514"/>
      <c r="K69" s="514"/>
      <c r="L69" s="514"/>
      <c r="M69" s="385"/>
      <c r="N69" s="514"/>
      <c r="O69" s="514">
        <f t="shared" si="5"/>
        <v>0</v>
      </c>
    </row>
    <row r="70" spans="1:15" s="158" customFormat="1" ht="37.5" hidden="1" customHeight="1" x14ac:dyDescent="0.2">
      <c r="A70" s="168"/>
      <c r="B70" s="168"/>
      <c r="C70" s="517" t="s">
        <v>380</v>
      </c>
      <c r="D70" s="423">
        <v>163609</v>
      </c>
      <c r="E70" s="514"/>
      <c r="F70" s="514"/>
      <c r="G70" s="514"/>
      <c r="H70" s="514"/>
      <c r="I70" s="514"/>
      <c r="J70" s="514"/>
      <c r="K70" s="514"/>
      <c r="L70" s="514"/>
      <c r="M70" s="385"/>
      <c r="N70" s="514"/>
      <c r="O70" s="514">
        <f t="shared" si="5"/>
        <v>0</v>
      </c>
    </row>
    <row r="71" spans="1:15" s="158" customFormat="1" ht="37.5" hidden="1" customHeight="1" x14ac:dyDescent="0.2">
      <c r="A71" s="168"/>
      <c r="B71" s="168"/>
      <c r="C71" s="519" t="s">
        <v>381</v>
      </c>
      <c r="D71" s="423">
        <v>163611</v>
      </c>
      <c r="E71" s="514"/>
      <c r="F71" s="514"/>
      <c r="G71" s="514"/>
      <c r="H71" s="514"/>
      <c r="I71" s="514"/>
      <c r="J71" s="514"/>
      <c r="K71" s="514"/>
      <c r="L71" s="514"/>
      <c r="M71" s="385"/>
      <c r="N71" s="514"/>
      <c r="O71" s="514">
        <f t="shared" si="5"/>
        <v>0</v>
      </c>
    </row>
    <row r="72" spans="1:15" s="158" customFormat="1" ht="37.5" customHeight="1" x14ac:dyDescent="0.2">
      <c r="A72" s="168"/>
      <c r="B72" s="168"/>
      <c r="C72" s="520" t="s">
        <v>382</v>
      </c>
      <c r="D72" s="423">
        <v>163612</v>
      </c>
      <c r="E72" s="514"/>
      <c r="F72" s="514"/>
      <c r="G72" s="514"/>
      <c r="H72" s="514">
        <v>5077</v>
      </c>
      <c r="I72" s="514"/>
      <c r="J72" s="514"/>
      <c r="K72" s="514"/>
      <c r="L72" s="514"/>
      <c r="M72" s="385"/>
      <c r="N72" s="514"/>
      <c r="O72" s="514">
        <f t="shared" si="5"/>
        <v>5077</v>
      </c>
    </row>
    <row r="73" spans="1:15" s="158" customFormat="1" ht="37.5" customHeight="1" x14ac:dyDescent="0.2">
      <c r="A73" s="168"/>
      <c r="B73" s="168"/>
      <c r="C73" s="520" t="s">
        <v>383</v>
      </c>
      <c r="D73" s="423">
        <v>163613</v>
      </c>
      <c r="E73" s="514"/>
      <c r="F73" s="514">
        <v>89974</v>
      </c>
      <c r="G73" s="514"/>
      <c r="H73" s="514">
        <v>24293</v>
      </c>
      <c r="I73" s="514"/>
      <c r="J73" s="514"/>
      <c r="K73" s="514"/>
      <c r="L73" s="514"/>
      <c r="M73" s="385"/>
      <c r="N73" s="514"/>
      <c r="O73" s="514">
        <f t="shared" si="5"/>
        <v>114267</v>
      </c>
    </row>
    <row r="74" spans="1:15" s="158" customFormat="1" ht="37.5" hidden="1" customHeight="1" x14ac:dyDescent="0.2">
      <c r="A74" s="168"/>
      <c r="B74" s="168"/>
      <c r="C74" s="520" t="s">
        <v>384</v>
      </c>
      <c r="D74" s="423">
        <v>163614</v>
      </c>
      <c r="E74" s="514"/>
      <c r="F74" s="514"/>
      <c r="G74" s="514"/>
      <c r="H74" s="514"/>
      <c r="I74" s="514"/>
      <c r="J74" s="514"/>
      <c r="K74" s="514"/>
      <c r="L74" s="514"/>
      <c r="M74" s="385"/>
      <c r="N74" s="514"/>
      <c r="O74" s="514">
        <f t="shared" si="5"/>
        <v>0</v>
      </c>
    </row>
    <row r="75" spans="1:15" s="158" customFormat="1" ht="37.5" hidden="1" customHeight="1" x14ac:dyDescent="0.2">
      <c r="A75" s="168"/>
      <c r="B75" s="168"/>
      <c r="C75" s="520" t="s">
        <v>385</v>
      </c>
      <c r="D75" s="423">
        <v>163615</v>
      </c>
      <c r="E75" s="514"/>
      <c r="F75" s="514"/>
      <c r="G75" s="514"/>
      <c r="H75" s="514"/>
      <c r="I75" s="514"/>
      <c r="J75" s="514"/>
      <c r="K75" s="514"/>
      <c r="L75" s="514"/>
      <c r="M75" s="385"/>
      <c r="N75" s="514"/>
      <c r="O75" s="514">
        <f t="shared" si="5"/>
        <v>0</v>
      </c>
    </row>
    <row r="76" spans="1:15" s="158" customFormat="1" ht="37.5" hidden="1" customHeight="1" x14ac:dyDescent="0.2">
      <c r="A76" s="168"/>
      <c r="B76" s="168"/>
      <c r="C76" s="520" t="s">
        <v>386</v>
      </c>
      <c r="D76" s="423">
        <v>163616</v>
      </c>
      <c r="E76" s="514"/>
      <c r="F76" s="514"/>
      <c r="G76" s="514"/>
      <c r="H76" s="514"/>
      <c r="I76" s="514"/>
      <c r="J76" s="514"/>
      <c r="K76" s="514"/>
      <c r="L76" s="514"/>
      <c r="M76" s="385"/>
      <c r="N76" s="514"/>
      <c r="O76" s="514">
        <f t="shared" si="5"/>
        <v>0</v>
      </c>
    </row>
    <row r="77" spans="1:15" s="158" customFormat="1" ht="37.5" hidden="1" customHeight="1" x14ac:dyDescent="0.2">
      <c r="A77" s="168"/>
      <c r="B77" s="168"/>
      <c r="C77" s="520" t="s">
        <v>387</v>
      </c>
      <c r="D77" s="423">
        <v>163617</v>
      </c>
      <c r="E77" s="514"/>
      <c r="F77" s="514"/>
      <c r="G77" s="514"/>
      <c r="H77" s="514"/>
      <c r="I77" s="514"/>
      <c r="J77" s="514"/>
      <c r="K77" s="514"/>
      <c r="L77" s="514"/>
      <c r="M77" s="385"/>
      <c r="N77" s="514"/>
      <c r="O77" s="514">
        <f t="shared" si="5"/>
        <v>0</v>
      </c>
    </row>
    <row r="78" spans="1:15" s="158" customFormat="1" ht="37.5" hidden="1" customHeight="1" x14ac:dyDescent="0.2">
      <c r="A78" s="168"/>
      <c r="B78" s="168"/>
      <c r="C78" s="520" t="s">
        <v>388</v>
      </c>
      <c r="D78" s="512">
        <v>163622</v>
      </c>
      <c r="E78" s="514"/>
      <c r="F78" s="514"/>
      <c r="G78" s="514"/>
      <c r="H78" s="514"/>
      <c r="I78" s="514"/>
      <c r="J78" s="514"/>
      <c r="K78" s="514"/>
      <c r="L78" s="514"/>
      <c r="M78" s="514"/>
      <c r="N78" s="514"/>
      <c r="O78" s="514">
        <f t="shared" si="5"/>
        <v>0</v>
      </c>
    </row>
    <row r="79" spans="1:15" s="158" customFormat="1" ht="37.5" hidden="1" customHeight="1" x14ac:dyDescent="0.2">
      <c r="A79" s="168"/>
      <c r="B79" s="168"/>
      <c r="C79" s="520" t="s">
        <v>389</v>
      </c>
      <c r="D79" s="512">
        <v>163623</v>
      </c>
      <c r="E79" s="514"/>
      <c r="F79" s="514"/>
      <c r="G79" s="514"/>
      <c r="H79" s="514"/>
      <c r="I79" s="514"/>
      <c r="J79" s="514"/>
      <c r="K79" s="514"/>
      <c r="L79" s="514"/>
      <c r="M79" s="514"/>
      <c r="N79" s="514"/>
      <c r="O79" s="514">
        <f t="shared" si="5"/>
        <v>0</v>
      </c>
    </row>
    <row r="80" spans="1:15" s="158" customFormat="1" ht="22.5" hidden="1" customHeight="1" x14ac:dyDescent="0.2">
      <c r="A80" s="168"/>
      <c r="B80" s="168"/>
      <c r="C80" s="521" t="s">
        <v>390</v>
      </c>
      <c r="D80" s="512">
        <v>163625</v>
      </c>
      <c r="E80" s="514"/>
      <c r="F80" s="514"/>
      <c r="G80" s="514"/>
      <c r="H80" s="514"/>
      <c r="I80" s="514"/>
      <c r="J80" s="514"/>
      <c r="K80" s="514"/>
      <c r="L80" s="514"/>
      <c r="M80" s="514"/>
      <c r="N80" s="514"/>
      <c r="O80" s="514">
        <f t="shared" si="5"/>
        <v>0</v>
      </c>
    </row>
    <row r="81" spans="1:15" s="158" customFormat="1" ht="22.5" hidden="1" customHeight="1" x14ac:dyDescent="0.2">
      <c r="A81" s="168"/>
      <c r="B81" s="168"/>
      <c r="C81" s="515" t="s">
        <v>391</v>
      </c>
      <c r="D81" s="512">
        <v>163626</v>
      </c>
      <c r="E81" s="514"/>
      <c r="F81" s="514"/>
      <c r="G81" s="514"/>
      <c r="H81" s="514"/>
      <c r="I81" s="514"/>
      <c r="J81" s="514"/>
      <c r="K81" s="514"/>
      <c r="L81" s="514"/>
      <c r="M81" s="514"/>
      <c r="N81" s="514"/>
      <c r="O81" s="514">
        <f t="shared" si="5"/>
        <v>0</v>
      </c>
    </row>
    <row r="82" spans="1:15" s="158" customFormat="1" ht="37.5" hidden="1" customHeight="1" x14ac:dyDescent="0.2">
      <c r="A82" s="168"/>
      <c r="B82" s="168"/>
      <c r="C82" s="522" t="s">
        <v>392</v>
      </c>
      <c r="D82" s="512">
        <v>163627</v>
      </c>
      <c r="E82" s="514"/>
      <c r="F82" s="514"/>
      <c r="G82" s="514"/>
      <c r="H82" s="514"/>
      <c r="I82" s="514"/>
      <c r="J82" s="514"/>
      <c r="K82" s="514"/>
      <c r="L82" s="514"/>
      <c r="M82" s="514"/>
      <c r="N82" s="514"/>
      <c r="O82" s="514">
        <f t="shared" si="5"/>
        <v>0</v>
      </c>
    </row>
    <row r="83" spans="1:15" s="158" customFormat="1" ht="27" hidden="1" customHeight="1" x14ac:dyDescent="0.2">
      <c r="A83" s="168"/>
      <c r="B83" s="168"/>
      <c r="C83" s="522" t="s">
        <v>393</v>
      </c>
      <c r="D83" s="512">
        <v>163629</v>
      </c>
      <c r="E83" s="514"/>
      <c r="F83" s="514"/>
      <c r="G83" s="514"/>
      <c r="H83" s="514"/>
      <c r="I83" s="514"/>
      <c r="J83" s="514"/>
      <c r="K83" s="514"/>
      <c r="L83" s="514"/>
      <c r="M83" s="514"/>
      <c r="N83" s="514"/>
      <c r="O83" s="514">
        <f t="shared" si="5"/>
        <v>0</v>
      </c>
    </row>
    <row r="84" spans="1:15" s="158" customFormat="1" ht="41.25" hidden="1" customHeight="1" x14ac:dyDescent="0.2">
      <c r="A84" s="168"/>
      <c r="B84" s="168"/>
      <c r="C84" s="523" t="s">
        <v>394</v>
      </c>
      <c r="D84" s="512">
        <v>163628</v>
      </c>
      <c r="E84" s="514"/>
      <c r="F84" s="514"/>
      <c r="G84" s="514"/>
      <c r="H84" s="514"/>
      <c r="I84" s="514"/>
      <c r="J84" s="514"/>
      <c r="K84" s="514"/>
      <c r="L84" s="514"/>
      <c r="M84" s="514"/>
      <c r="N84" s="514"/>
      <c r="O84" s="514">
        <f t="shared" si="5"/>
        <v>0</v>
      </c>
    </row>
    <row r="85" spans="1:15" s="158" customFormat="1" ht="41.25" hidden="1" customHeight="1" x14ac:dyDescent="0.2">
      <c r="A85" s="168"/>
      <c r="B85" s="168"/>
      <c r="C85" s="524" t="s">
        <v>395</v>
      </c>
      <c r="D85" s="512">
        <v>163633</v>
      </c>
      <c r="E85" s="514"/>
      <c r="F85" s="514"/>
      <c r="G85" s="514"/>
      <c r="H85" s="514"/>
      <c r="I85" s="514"/>
      <c r="J85" s="514"/>
      <c r="K85" s="514"/>
      <c r="L85" s="514"/>
      <c r="M85" s="514"/>
      <c r="N85" s="514"/>
      <c r="O85" s="514">
        <f t="shared" si="5"/>
        <v>0</v>
      </c>
    </row>
    <row r="86" spans="1:15" s="158" customFormat="1" ht="41.25" hidden="1" customHeight="1" x14ac:dyDescent="0.2">
      <c r="A86" s="168"/>
      <c r="B86" s="168"/>
      <c r="C86" s="525" t="s">
        <v>396</v>
      </c>
      <c r="D86" s="512">
        <v>163646</v>
      </c>
      <c r="E86" s="514"/>
      <c r="F86" s="514"/>
      <c r="G86" s="514"/>
      <c r="H86" s="514"/>
      <c r="I86" s="514"/>
      <c r="J86" s="514"/>
      <c r="K86" s="514"/>
      <c r="L86" s="514"/>
      <c r="M86" s="514"/>
      <c r="N86" s="514"/>
      <c r="O86" s="514">
        <f t="shared" si="5"/>
        <v>0</v>
      </c>
    </row>
    <row r="87" spans="1:15" s="158" customFormat="1" ht="50.25" customHeight="1" x14ac:dyDescent="0.2">
      <c r="A87" s="168"/>
      <c r="B87" s="168"/>
      <c r="C87" s="515" t="s">
        <v>397</v>
      </c>
      <c r="D87" s="512">
        <v>163637</v>
      </c>
      <c r="E87" s="514"/>
      <c r="F87" s="514">
        <v>145747</v>
      </c>
      <c r="G87" s="514"/>
      <c r="H87" s="514">
        <v>39352</v>
      </c>
      <c r="I87" s="514"/>
      <c r="J87" s="514"/>
      <c r="K87" s="514"/>
      <c r="L87" s="514"/>
      <c r="M87" s="514"/>
      <c r="N87" s="514"/>
      <c r="O87" s="514">
        <f t="shared" si="5"/>
        <v>185099</v>
      </c>
    </row>
    <row r="88" spans="1:15" s="158" customFormat="1" ht="30" hidden="1" customHeight="1" x14ac:dyDescent="0.2">
      <c r="A88" s="168"/>
      <c r="B88" s="168"/>
      <c r="C88" s="524" t="s">
        <v>398</v>
      </c>
      <c r="D88" s="512">
        <v>163638</v>
      </c>
      <c r="E88" s="514"/>
      <c r="F88" s="514"/>
      <c r="G88" s="514"/>
      <c r="H88" s="514"/>
      <c r="I88" s="514"/>
      <c r="J88" s="514"/>
      <c r="K88" s="514"/>
      <c r="L88" s="514"/>
      <c r="M88" s="514"/>
      <c r="N88" s="514"/>
      <c r="O88" s="514">
        <f t="shared" si="5"/>
        <v>0</v>
      </c>
    </row>
    <row r="89" spans="1:15" s="158" customFormat="1" ht="28.5" customHeight="1" x14ac:dyDescent="0.2">
      <c r="A89" s="168"/>
      <c r="B89" s="168"/>
      <c r="C89" s="524" t="s">
        <v>399</v>
      </c>
      <c r="D89" s="512">
        <v>163639</v>
      </c>
      <c r="E89" s="514"/>
      <c r="F89" s="514">
        <v>79341</v>
      </c>
      <c r="G89" s="514"/>
      <c r="H89" s="514"/>
      <c r="I89" s="514"/>
      <c r="J89" s="514"/>
      <c r="K89" s="514"/>
      <c r="L89" s="514">
        <v>-54888</v>
      </c>
      <c r="M89" s="514"/>
      <c r="N89" s="514"/>
      <c r="O89" s="514">
        <f t="shared" si="5"/>
        <v>24453</v>
      </c>
    </row>
    <row r="90" spans="1:15" s="158" customFormat="1" ht="28.5" hidden="1" customHeight="1" x14ac:dyDescent="0.2">
      <c r="A90" s="168"/>
      <c r="B90" s="168"/>
      <c r="C90" s="524" t="s">
        <v>400</v>
      </c>
      <c r="D90" s="512">
        <v>163640</v>
      </c>
      <c r="E90" s="514"/>
      <c r="F90" s="514"/>
      <c r="G90" s="514"/>
      <c r="H90" s="514"/>
      <c r="I90" s="514"/>
      <c r="J90" s="514"/>
      <c r="K90" s="514"/>
      <c r="L90" s="514"/>
      <c r="M90" s="514"/>
      <c r="N90" s="514"/>
      <c r="O90" s="514">
        <f t="shared" si="5"/>
        <v>0</v>
      </c>
    </row>
    <row r="91" spans="1:15" s="158" customFormat="1" ht="28.5" customHeight="1" x14ac:dyDescent="0.2">
      <c r="A91" s="833"/>
      <c r="B91" s="833"/>
      <c r="C91" s="840" t="s">
        <v>1471</v>
      </c>
      <c r="D91" s="843">
        <v>163648</v>
      </c>
      <c r="E91" s="830">
        <v>150</v>
      </c>
      <c r="F91" s="830">
        <v>9850</v>
      </c>
      <c r="G91" s="830"/>
      <c r="H91" s="830"/>
      <c r="I91" s="830"/>
      <c r="J91" s="830"/>
      <c r="K91" s="830"/>
      <c r="L91" s="830"/>
      <c r="M91" s="830"/>
      <c r="N91" s="830"/>
      <c r="O91" s="514">
        <f t="shared" si="5"/>
        <v>10000</v>
      </c>
    </row>
    <row r="92" spans="1:15" s="158" customFormat="1" ht="38.25" hidden="1" x14ac:dyDescent="0.2">
      <c r="A92" s="168"/>
      <c r="B92" s="168"/>
      <c r="C92" s="511" t="s">
        <v>401</v>
      </c>
      <c r="D92" s="512">
        <v>163621</v>
      </c>
      <c r="E92" s="513"/>
      <c r="F92" s="513"/>
      <c r="G92" s="514"/>
      <c r="H92" s="514"/>
      <c r="I92" s="514"/>
      <c r="J92" s="514"/>
      <c r="K92" s="514"/>
      <c r="L92" s="514"/>
      <c r="M92" s="514"/>
      <c r="N92" s="514"/>
      <c r="O92" s="514">
        <f t="shared" si="5"/>
        <v>0</v>
      </c>
    </row>
    <row r="93" spans="1:15" s="158" customFormat="1" ht="28.5" hidden="1" customHeight="1" x14ac:dyDescent="0.2">
      <c r="A93" s="168"/>
      <c r="B93" s="168"/>
      <c r="C93" s="526" t="s">
        <v>402</v>
      </c>
      <c r="D93" s="512">
        <v>162687</v>
      </c>
      <c r="E93" s="513"/>
      <c r="F93" s="513"/>
      <c r="G93" s="514"/>
      <c r="H93" s="514"/>
      <c r="I93" s="514"/>
      <c r="J93" s="514"/>
      <c r="K93" s="514"/>
      <c r="L93" s="514"/>
      <c r="M93" s="514"/>
      <c r="N93" s="514"/>
      <c r="O93" s="514">
        <f t="shared" si="5"/>
        <v>0</v>
      </c>
    </row>
    <row r="94" spans="1:15" s="158" customFormat="1" ht="29.25" customHeight="1" x14ac:dyDescent="0.2">
      <c r="A94" s="168"/>
      <c r="B94" s="168"/>
      <c r="C94" s="515" t="s">
        <v>403</v>
      </c>
      <c r="D94" s="512">
        <v>163702</v>
      </c>
      <c r="E94" s="513"/>
      <c r="F94" s="513"/>
      <c r="G94" s="514"/>
      <c r="H94" s="514">
        <v>935</v>
      </c>
      <c r="I94" s="514"/>
      <c r="J94" s="514"/>
      <c r="K94" s="514"/>
      <c r="L94" s="514"/>
      <c r="M94" s="514"/>
      <c r="N94" s="514"/>
      <c r="O94" s="514">
        <f t="shared" si="5"/>
        <v>935</v>
      </c>
    </row>
    <row r="95" spans="1:15" s="158" customFormat="1" ht="29.25" hidden="1" customHeight="1" x14ac:dyDescent="0.2">
      <c r="A95" s="168"/>
      <c r="B95" s="168"/>
      <c r="C95" s="515" t="s">
        <v>404</v>
      </c>
      <c r="D95" s="512">
        <v>162677</v>
      </c>
      <c r="E95" s="513"/>
      <c r="F95" s="513"/>
      <c r="G95" s="514"/>
      <c r="H95" s="514"/>
      <c r="I95" s="514"/>
      <c r="J95" s="514"/>
      <c r="K95" s="514"/>
      <c r="L95" s="514"/>
      <c r="M95" s="514"/>
      <c r="N95" s="514"/>
      <c r="O95" s="514">
        <f t="shared" si="5"/>
        <v>0</v>
      </c>
    </row>
    <row r="96" spans="1:15" s="158" customFormat="1" ht="29.25" hidden="1" customHeight="1" x14ac:dyDescent="0.2">
      <c r="A96" s="168"/>
      <c r="B96" s="168"/>
      <c r="C96" s="515" t="s">
        <v>405</v>
      </c>
      <c r="D96" s="512">
        <v>163641</v>
      </c>
      <c r="E96" s="513"/>
      <c r="F96" s="513"/>
      <c r="G96" s="514"/>
      <c r="H96" s="514"/>
      <c r="I96" s="514"/>
      <c r="J96" s="514"/>
      <c r="K96" s="514"/>
      <c r="L96" s="514"/>
      <c r="M96" s="514"/>
      <c r="N96" s="514"/>
      <c r="O96" s="514">
        <f t="shared" si="5"/>
        <v>0</v>
      </c>
    </row>
    <row r="97" spans="1:15" s="158" customFormat="1" ht="29.25" hidden="1" customHeight="1" x14ac:dyDescent="0.2">
      <c r="A97" s="168"/>
      <c r="B97" s="168"/>
      <c r="C97" s="527" t="s">
        <v>406</v>
      </c>
      <c r="D97" s="512">
        <v>163644</v>
      </c>
      <c r="E97" s="513"/>
      <c r="F97" s="513"/>
      <c r="G97" s="514"/>
      <c r="H97" s="514"/>
      <c r="I97" s="514"/>
      <c r="J97" s="514"/>
      <c r="K97" s="514"/>
      <c r="L97" s="514"/>
      <c r="M97" s="514"/>
      <c r="N97" s="514"/>
      <c r="O97" s="514">
        <f t="shared" si="5"/>
        <v>0</v>
      </c>
    </row>
    <row r="98" spans="1:15" s="158" customFormat="1" ht="29.25" hidden="1" customHeight="1" x14ac:dyDescent="0.2">
      <c r="A98" s="168"/>
      <c r="B98" s="168"/>
      <c r="C98" s="515" t="s">
        <v>407</v>
      </c>
      <c r="D98" s="512">
        <v>163643</v>
      </c>
      <c r="E98" s="513"/>
      <c r="F98" s="513"/>
      <c r="G98" s="514"/>
      <c r="H98" s="514"/>
      <c r="I98" s="514"/>
      <c r="J98" s="514"/>
      <c r="K98" s="514"/>
      <c r="L98" s="514"/>
      <c r="M98" s="514"/>
      <c r="N98" s="514"/>
      <c r="O98" s="514">
        <f t="shared" si="5"/>
        <v>0</v>
      </c>
    </row>
    <row r="99" spans="1:15" s="158" customFormat="1" ht="48" hidden="1" customHeight="1" x14ac:dyDescent="0.2">
      <c r="A99" s="168"/>
      <c r="B99" s="168"/>
      <c r="C99" s="515" t="s">
        <v>408</v>
      </c>
      <c r="D99" s="512">
        <v>163645</v>
      </c>
      <c r="E99" s="513"/>
      <c r="F99" s="513"/>
      <c r="G99" s="514"/>
      <c r="H99" s="514"/>
      <c r="I99" s="514"/>
      <c r="J99" s="514"/>
      <c r="K99" s="514"/>
      <c r="L99" s="514"/>
      <c r="M99" s="514"/>
      <c r="N99" s="514"/>
      <c r="O99" s="514">
        <f t="shared" si="5"/>
        <v>0</v>
      </c>
    </row>
    <row r="100" spans="1:15" s="158" customFormat="1" ht="36.75" hidden="1" customHeight="1" x14ac:dyDescent="0.2">
      <c r="A100" s="168"/>
      <c r="B100" s="168"/>
      <c r="C100" s="528" t="s">
        <v>409</v>
      </c>
      <c r="D100" s="512">
        <v>182906</v>
      </c>
      <c r="E100" s="513"/>
      <c r="F100" s="513"/>
      <c r="G100" s="514"/>
      <c r="H100" s="514"/>
      <c r="I100" s="514"/>
      <c r="J100" s="514"/>
      <c r="K100" s="514"/>
      <c r="L100" s="514"/>
      <c r="M100" s="514"/>
      <c r="N100" s="514"/>
      <c r="O100" s="514">
        <f t="shared" si="5"/>
        <v>0</v>
      </c>
    </row>
    <row r="101" spans="1:15" s="158" customFormat="1" ht="25.5" customHeight="1" x14ac:dyDescent="0.2">
      <c r="A101" s="168"/>
      <c r="B101" s="168"/>
      <c r="C101" s="529" t="s">
        <v>410</v>
      </c>
      <c r="D101" s="512">
        <v>162630</v>
      </c>
      <c r="E101" s="513"/>
      <c r="F101" s="513"/>
      <c r="G101" s="514"/>
      <c r="H101" s="514">
        <v>1594</v>
      </c>
      <c r="I101" s="514"/>
      <c r="J101" s="514"/>
      <c r="K101" s="514"/>
      <c r="L101" s="514"/>
      <c r="M101" s="514"/>
      <c r="N101" s="514"/>
      <c r="O101" s="514">
        <f t="shared" si="5"/>
        <v>1594</v>
      </c>
    </row>
    <row r="102" spans="1:15" s="158" customFormat="1" ht="15" customHeight="1" x14ac:dyDescent="0.2">
      <c r="A102" s="701"/>
      <c r="B102" s="701"/>
      <c r="C102" s="790" t="s">
        <v>1439</v>
      </c>
      <c r="D102" s="816">
        <v>162964</v>
      </c>
      <c r="E102" s="789">
        <v>1511</v>
      </c>
      <c r="F102" s="789">
        <v>5489</v>
      </c>
      <c r="G102" s="700"/>
      <c r="H102" s="700"/>
      <c r="I102" s="700"/>
      <c r="J102" s="700"/>
      <c r="K102" s="700"/>
      <c r="L102" s="700"/>
      <c r="M102" s="700"/>
      <c r="N102" s="700"/>
      <c r="O102" s="514">
        <f t="shared" si="5"/>
        <v>7000</v>
      </c>
    </row>
    <row r="103" spans="1:15" s="158" customFormat="1" ht="62.25" customHeight="1" x14ac:dyDescent="0.2">
      <c r="A103" s="833"/>
      <c r="B103" s="833"/>
      <c r="C103" s="909" t="s">
        <v>1503</v>
      </c>
      <c r="D103" s="970">
        <v>163649</v>
      </c>
      <c r="E103" s="842"/>
      <c r="F103" s="842"/>
      <c r="G103" s="830"/>
      <c r="H103" s="830"/>
      <c r="I103" s="830"/>
      <c r="J103" s="830"/>
      <c r="K103" s="830"/>
      <c r="L103" s="830"/>
      <c r="M103" s="830"/>
      <c r="N103" s="830">
        <v>163413</v>
      </c>
      <c r="O103" s="514">
        <f t="shared" si="5"/>
        <v>163413</v>
      </c>
    </row>
    <row r="104" spans="1:15" s="158" customFormat="1" ht="12.95" customHeight="1" x14ac:dyDescent="0.2">
      <c r="A104" s="174"/>
      <c r="B104" s="174"/>
      <c r="C104" s="530" t="s">
        <v>411</v>
      </c>
      <c r="D104" s="531"/>
      <c r="E104" s="532">
        <f>SUM(E51:E103)</f>
        <v>1661</v>
      </c>
      <c r="F104" s="532">
        <f t="shared" ref="F104:O104" si="6">SUM(F51:F103)</f>
        <v>330401</v>
      </c>
      <c r="G104" s="532">
        <f t="shared" si="6"/>
        <v>0</v>
      </c>
      <c r="H104" s="532">
        <f t="shared" si="6"/>
        <v>107964</v>
      </c>
      <c r="I104" s="532">
        <f t="shared" si="6"/>
        <v>0</v>
      </c>
      <c r="J104" s="532">
        <f t="shared" si="6"/>
        <v>0</v>
      </c>
      <c r="K104" s="532">
        <f t="shared" si="6"/>
        <v>0</v>
      </c>
      <c r="L104" s="532">
        <f t="shared" si="6"/>
        <v>-54888</v>
      </c>
      <c r="M104" s="532">
        <f t="shared" si="6"/>
        <v>0</v>
      </c>
      <c r="N104" s="532">
        <f t="shared" si="6"/>
        <v>163413</v>
      </c>
      <c r="O104" s="532">
        <f t="shared" si="6"/>
        <v>548551</v>
      </c>
    </row>
    <row r="105" spans="1:15" s="158" customFormat="1" ht="12.95" customHeight="1" x14ac:dyDescent="0.2">
      <c r="A105" s="168">
        <v>1</v>
      </c>
      <c r="B105" s="168">
        <v>17</v>
      </c>
      <c r="C105" s="533" t="s">
        <v>180</v>
      </c>
      <c r="D105" s="534"/>
      <c r="E105" s="514"/>
      <c r="F105" s="514"/>
      <c r="G105" s="514"/>
      <c r="H105" s="514"/>
      <c r="I105" s="514"/>
      <c r="J105" s="514"/>
      <c r="K105" s="514"/>
      <c r="L105" s="514"/>
      <c r="M105" s="514"/>
      <c r="N105" s="514"/>
      <c r="O105" s="514"/>
    </row>
    <row r="106" spans="1:15" s="158" customFormat="1" ht="24" hidden="1" customHeight="1" x14ac:dyDescent="0.2">
      <c r="A106" s="168"/>
      <c r="B106" s="168"/>
      <c r="C106" s="528" t="s">
        <v>369</v>
      </c>
      <c r="D106" s="535"/>
      <c r="E106" s="536"/>
      <c r="F106" s="514"/>
      <c r="G106" s="514"/>
      <c r="H106" s="514"/>
      <c r="I106" s="514"/>
      <c r="J106" s="514"/>
      <c r="K106" s="514"/>
      <c r="L106" s="514"/>
      <c r="M106" s="514"/>
      <c r="N106" s="514"/>
      <c r="O106" s="514"/>
    </row>
    <row r="107" spans="1:15" s="158" customFormat="1" ht="14.1" hidden="1" customHeight="1" x14ac:dyDescent="0.2">
      <c r="A107" s="168"/>
      <c r="B107" s="168"/>
      <c r="C107" s="537" t="s">
        <v>412</v>
      </c>
      <c r="D107" s="538">
        <v>171907</v>
      </c>
      <c r="E107" s="514"/>
      <c r="F107" s="514"/>
      <c r="G107" s="514"/>
      <c r="H107" s="514"/>
      <c r="I107" s="514"/>
      <c r="J107" s="514"/>
      <c r="K107" s="514"/>
      <c r="L107" s="514"/>
      <c r="M107" s="514"/>
      <c r="N107" s="514"/>
      <c r="O107" s="514">
        <f>SUM(E107:N107)</f>
        <v>0</v>
      </c>
    </row>
    <row r="108" spans="1:15" s="158" customFormat="1" ht="25.5" customHeight="1" x14ac:dyDescent="0.2">
      <c r="A108" s="168"/>
      <c r="B108" s="168"/>
      <c r="C108" s="539" t="s">
        <v>413</v>
      </c>
      <c r="D108" s="540"/>
      <c r="E108" s="514"/>
      <c r="F108" s="514"/>
      <c r="G108" s="514"/>
      <c r="H108" s="514"/>
      <c r="I108" s="514"/>
      <c r="J108" s="514"/>
      <c r="K108" s="514"/>
      <c r="L108" s="514"/>
      <c r="M108" s="514"/>
      <c r="N108" s="514"/>
      <c r="O108" s="514"/>
    </row>
    <row r="109" spans="1:15" s="158" customFormat="1" ht="14.1" customHeight="1" x14ac:dyDescent="0.2">
      <c r="A109" s="168"/>
      <c r="B109" s="168"/>
      <c r="C109" s="541" t="s">
        <v>414</v>
      </c>
      <c r="D109" s="542">
        <v>171980</v>
      </c>
      <c r="E109" s="514"/>
      <c r="F109" s="514"/>
      <c r="G109" s="514"/>
      <c r="H109" s="514">
        <v>6350</v>
      </c>
      <c r="I109" s="514"/>
      <c r="J109" s="514"/>
      <c r="K109" s="514"/>
      <c r="L109" s="514"/>
      <c r="M109" s="514"/>
      <c r="N109" s="514"/>
      <c r="O109" s="514">
        <f>SUM(E109:N109)</f>
        <v>6350</v>
      </c>
    </row>
    <row r="110" spans="1:15" s="158" customFormat="1" ht="26.25" customHeight="1" x14ac:dyDescent="0.2">
      <c r="A110" s="178"/>
      <c r="B110" s="178"/>
      <c r="C110" s="528" t="s">
        <v>369</v>
      </c>
      <c r="D110" s="535"/>
      <c r="E110" s="514"/>
      <c r="F110" s="514"/>
      <c r="G110" s="514"/>
      <c r="H110" s="514"/>
      <c r="I110" s="514"/>
      <c r="J110" s="514"/>
      <c r="K110" s="514"/>
      <c r="L110" s="514"/>
      <c r="M110" s="514"/>
      <c r="N110" s="514"/>
      <c r="O110" s="514"/>
    </row>
    <row r="111" spans="1:15" s="158" customFormat="1" ht="29.25" hidden="1" customHeight="1" x14ac:dyDescent="0.2">
      <c r="A111" s="168"/>
      <c r="B111" s="168"/>
      <c r="C111" s="543" t="s">
        <v>415</v>
      </c>
      <c r="D111" s="538">
        <v>171905</v>
      </c>
      <c r="E111" s="514"/>
      <c r="F111" s="514"/>
      <c r="G111" s="514"/>
      <c r="H111" s="514"/>
      <c r="I111" s="514"/>
      <c r="J111" s="514"/>
      <c r="K111" s="514"/>
      <c r="L111" s="514"/>
      <c r="M111" s="514"/>
      <c r="N111" s="514"/>
      <c r="O111" s="514">
        <f t="shared" ref="O111:O119" si="7">SUM(E111:N111)</f>
        <v>0</v>
      </c>
    </row>
    <row r="112" spans="1:15" s="158" customFormat="1" ht="14.1" hidden="1" customHeight="1" x14ac:dyDescent="0.2">
      <c r="A112" s="159"/>
      <c r="B112" s="159"/>
      <c r="C112" s="544" t="s">
        <v>416</v>
      </c>
      <c r="D112" s="538">
        <v>171909</v>
      </c>
      <c r="E112" s="514"/>
      <c r="F112" s="514"/>
      <c r="G112" s="514"/>
      <c r="H112" s="514"/>
      <c r="I112" s="514"/>
      <c r="J112" s="514"/>
      <c r="K112" s="514"/>
      <c r="L112" s="514"/>
      <c r="M112" s="514"/>
      <c r="N112" s="514"/>
      <c r="O112" s="514">
        <f t="shared" si="7"/>
        <v>0</v>
      </c>
    </row>
    <row r="113" spans="1:15" s="158" customFormat="1" ht="14.1" hidden="1" customHeight="1" x14ac:dyDescent="0.2">
      <c r="A113" s="159"/>
      <c r="B113" s="159"/>
      <c r="C113" s="544" t="s">
        <v>417</v>
      </c>
      <c r="D113" s="538">
        <v>171904</v>
      </c>
      <c r="E113" s="514"/>
      <c r="F113" s="514"/>
      <c r="G113" s="514"/>
      <c r="H113" s="514"/>
      <c r="I113" s="514"/>
      <c r="J113" s="514"/>
      <c r="K113" s="514"/>
      <c r="L113" s="514"/>
      <c r="M113" s="514"/>
      <c r="N113" s="514"/>
      <c r="O113" s="514">
        <f t="shared" si="7"/>
        <v>0</v>
      </c>
    </row>
    <row r="114" spans="1:15" s="158" customFormat="1" ht="14.1" hidden="1" customHeight="1" x14ac:dyDescent="0.2">
      <c r="A114" s="159"/>
      <c r="B114" s="159"/>
      <c r="C114" s="544" t="s">
        <v>418</v>
      </c>
      <c r="D114" s="538">
        <v>172909</v>
      </c>
      <c r="E114" s="514"/>
      <c r="F114" s="514"/>
      <c r="G114" s="514"/>
      <c r="H114" s="514"/>
      <c r="I114" s="514"/>
      <c r="J114" s="514"/>
      <c r="K114" s="514"/>
      <c r="L114" s="514"/>
      <c r="M114" s="514"/>
      <c r="N114" s="514"/>
      <c r="O114" s="514">
        <f t="shared" si="7"/>
        <v>0</v>
      </c>
    </row>
    <row r="115" spans="1:15" s="158" customFormat="1" ht="14.1" hidden="1" customHeight="1" x14ac:dyDescent="0.2">
      <c r="A115" s="159"/>
      <c r="B115" s="159"/>
      <c r="C115" s="544" t="s">
        <v>419</v>
      </c>
      <c r="D115" s="538">
        <v>162674</v>
      </c>
      <c r="E115" s="514"/>
      <c r="F115" s="514"/>
      <c r="G115" s="514"/>
      <c r="H115" s="514"/>
      <c r="I115" s="514"/>
      <c r="J115" s="514"/>
      <c r="K115" s="514"/>
      <c r="L115" s="514"/>
      <c r="M115" s="514"/>
      <c r="N115" s="514"/>
      <c r="O115" s="514">
        <f t="shared" si="7"/>
        <v>0</v>
      </c>
    </row>
    <row r="116" spans="1:15" s="158" customFormat="1" ht="14.1" customHeight="1" x14ac:dyDescent="0.2">
      <c r="A116" s="159"/>
      <c r="B116" s="159"/>
      <c r="C116" s="544" t="s">
        <v>420</v>
      </c>
      <c r="D116" s="538">
        <v>172920</v>
      </c>
      <c r="E116" s="514"/>
      <c r="F116" s="514"/>
      <c r="G116" s="514"/>
      <c r="H116" s="514">
        <v>1602</v>
      </c>
      <c r="I116" s="514"/>
      <c r="J116" s="514"/>
      <c r="K116" s="514"/>
      <c r="L116" s="514"/>
      <c r="M116" s="514"/>
      <c r="N116" s="514"/>
      <c r="O116" s="514">
        <f t="shared" si="7"/>
        <v>1602</v>
      </c>
    </row>
    <row r="117" spans="1:15" s="158" customFormat="1" ht="14.1" hidden="1" customHeight="1" x14ac:dyDescent="0.2">
      <c r="A117" s="159"/>
      <c r="B117" s="159"/>
      <c r="C117" s="544" t="s">
        <v>421</v>
      </c>
      <c r="D117" s="538">
        <v>172922</v>
      </c>
      <c r="E117" s="514"/>
      <c r="F117" s="514"/>
      <c r="G117" s="514"/>
      <c r="H117" s="514"/>
      <c r="I117" s="514"/>
      <c r="J117" s="514"/>
      <c r="K117" s="514"/>
      <c r="L117" s="514"/>
      <c r="M117" s="514"/>
      <c r="N117" s="514"/>
      <c r="O117" s="514">
        <f t="shared" si="7"/>
        <v>0</v>
      </c>
    </row>
    <row r="118" spans="1:15" s="158" customFormat="1" ht="14.1" hidden="1" customHeight="1" x14ac:dyDescent="0.2">
      <c r="A118" s="159"/>
      <c r="B118" s="159"/>
      <c r="C118" s="544" t="s">
        <v>1431</v>
      </c>
      <c r="D118" s="772">
        <v>172925</v>
      </c>
      <c r="E118" s="700"/>
      <c r="F118" s="700"/>
      <c r="G118" s="700"/>
      <c r="H118" s="700"/>
      <c r="I118" s="700"/>
      <c r="J118" s="700"/>
      <c r="K118" s="700"/>
      <c r="L118" s="700"/>
      <c r="M118" s="700"/>
      <c r="N118" s="700"/>
      <c r="O118" s="514">
        <f t="shared" si="7"/>
        <v>0</v>
      </c>
    </row>
    <row r="119" spans="1:15" s="158" customFormat="1" ht="14.1" customHeight="1" x14ac:dyDescent="0.2">
      <c r="A119" s="159"/>
      <c r="B119" s="159"/>
      <c r="C119" s="544" t="s">
        <v>1440</v>
      </c>
      <c r="D119" s="791">
        <v>172901</v>
      </c>
      <c r="E119" s="700"/>
      <c r="F119" s="700"/>
      <c r="G119" s="700"/>
      <c r="H119" s="700"/>
      <c r="I119" s="700">
        <v>5408</v>
      </c>
      <c r="J119" s="700"/>
      <c r="K119" s="700"/>
      <c r="L119" s="700"/>
      <c r="M119" s="700"/>
      <c r="N119" s="700"/>
      <c r="O119" s="514">
        <f t="shared" si="7"/>
        <v>5408</v>
      </c>
    </row>
    <row r="120" spans="1:15" s="158" customFormat="1" ht="24.95" customHeight="1" x14ac:dyDescent="0.2">
      <c r="A120" s="159"/>
      <c r="B120" s="159"/>
      <c r="C120" s="545" t="s">
        <v>422</v>
      </c>
      <c r="D120" s="540"/>
      <c r="E120" s="514"/>
      <c r="F120" s="514"/>
      <c r="G120" s="514"/>
      <c r="H120" s="514"/>
      <c r="I120" s="514"/>
      <c r="J120" s="514"/>
      <c r="K120" s="514"/>
      <c r="L120" s="514"/>
      <c r="M120" s="514"/>
      <c r="N120" s="514"/>
      <c r="O120" s="514"/>
    </row>
    <row r="121" spans="1:15" s="158" customFormat="1" ht="15" customHeight="1" x14ac:dyDescent="0.2">
      <c r="A121" s="159"/>
      <c r="B121" s="159"/>
      <c r="C121" s="537" t="s">
        <v>423</v>
      </c>
      <c r="D121" s="538">
        <v>171901</v>
      </c>
      <c r="E121" s="514"/>
      <c r="F121" s="514"/>
      <c r="G121" s="514"/>
      <c r="H121" s="514">
        <v>-5715</v>
      </c>
      <c r="I121" s="514"/>
      <c r="J121" s="514"/>
      <c r="K121" s="514"/>
      <c r="L121" s="514"/>
      <c r="M121" s="514"/>
      <c r="N121" s="514"/>
      <c r="O121" s="514">
        <f>SUM(E121:N121)</f>
        <v>-5715</v>
      </c>
    </row>
    <row r="122" spans="1:15" s="158" customFormat="1" ht="24.95" hidden="1" customHeight="1" x14ac:dyDescent="0.2">
      <c r="A122" s="168"/>
      <c r="B122" s="168"/>
      <c r="C122" s="546" t="s">
        <v>424</v>
      </c>
      <c r="D122" s="547"/>
      <c r="E122" s="514"/>
      <c r="F122" s="514"/>
      <c r="G122" s="514"/>
      <c r="H122" s="514"/>
      <c r="I122" s="514"/>
      <c r="J122" s="514"/>
      <c r="K122" s="514"/>
      <c r="L122" s="514"/>
      <c r="M122" s="514"/>
      <c r="N122" s="514"/>
      <c r="O122" s="514"/>
    </row>
    <row r="123" spans="1:15" s="158" customFormat="1" ht="28.5" hidden="1" customHeight="1" x14ac:dyDescent="0.2">
      <c r="A123" s="168"/>
      <c r="B123" s="168"/>
      <c r="C123" s="545" t="s">
        <v>425</v>
      </c>
      <c r="D123" s="548">
        <v>171908</v>
      </c>
      <c r="E123" s="514"/>
      <c r="F123" s="514"/>
      <c r="G123" s="514"/>
      <c r="H123" s="514"/>
      <c r="I123" s="514"/>
      <c r="J123" s="514"/>
      <c r="K123" s="514"/>
      <c r="L123" s="514"/>
      <c r="M123" s="514"/>
      <c r="N123" s="514"/>
      <c r="O123" s="514">
        <f>SUM(E123:N123)</f>
        <v>0</v>
      </c>
    </row>
    <row r="124" spans="1:15" s="158" customFormat="1" ht="15.75" hidden="1" customHeight="1" x14ac:dyDescent="0.2">
      <c r="A124" s="168"/>
      <c r="B124" s="168"/>
      <c r="C124" s="549" t="s">
        <v>426</v>
      </c>
      <c r="D124" s="542">
        <v>171954</v>
      </c>
      <c r="E124" s="514"/>
      <c r="F124" s="514"/>
      <c r="G124" s="514"/>
      <c r="H124" s="514"/>
      <c r="I124" s="514"/>
      <c r="J124" s="514"/>
      <c r="K124" s="514"/>
      <c r="L124" s="514"/>
      <c r="M124" s="514"/>
      <c r="N124" s="514"/>
      <c r="O124" s="514"/>
    </row>
    <row r="125" spans="1:15" s="158" customFormat="1" ht="15.75" hidden="1" customHeight="1" x14ac:dyDescent="0.2">
      <c r="A125" s="168"/>
      <c r="B125" s="168"/>
      <c r="C125" s="528" t="s">
        <v>427</v>
      </c>
      <c r="D125" s="535"/>
      <c r="E125" s="550"/>
      <c r="F125" s="514"/>
      <c r="G125" s="514"/>
      <c r="H125" s="514"/>
      <c r="I125" s="514"/>
      <c r="J125" s="514"/>
      <c r="K125" s="514"/>
      <c r="L125" s="514"/>
      <c r="M125" s="514"/>
      <c r="N125" s="514"/>
      <c r="O125" s="514"/>
    </row>
    <row r="126" spans="1:15" s="158" customFormat="1" ht="24.95" hidden="1" customHeight="1" x14ac:dyDescent="0.2">
      <c r="A126" s="168"/>
      <c r="B126" s="168"/>
      <c r="C126" s="569" t="s">
        <v>428</v>
      </c>
      <c r="D126" s="548">
        <v>121401</v>
      </c>
      <c r="E126" s="513"/>
      <c r="F126" s="513"/>
      <c r="G126" s="513"/>
      <c r="H126" s="514"/>
      <c r="I126" s="514"/>
      <c r="J126" s="514"/>
      <c r="K126" s="514"/>
      <c r="L126" s="514"/>
      <c r="M126" s="514"/>
      <c r="N126" s="514"/>
      <c r="O126" s="514">
        <f>SUM(E126:N126)</f>
        <v>0</v>
      </c>
    </row>
    <row r="127" spans="1:15" s="158" customFormat="1" ht="24" hidden="1" customHeight="1" x14ac:dyDescent="0.2">
      <c r="A127" s="168"/>
      <c r="B127" s="168"/>
      <c r="C127" s="570" t="s">
        <v>429</v>
      </c>
      <c r="D127" s="551"/>
      <c r="E127" s="513"/>
      <c r="F127" s="513"/>
      <c r="G127" s="513"/>
      <c r="H127" s="514"/>
      <c r="I127" s="514"/>
      <c r="J127" s="514"/>
      <c r="K127" s="514"/>
      <c r="L127" s="514"/>
      <c r="M127" s="514"/>
      <c r="N127" s="514"/>
      <c r="O127" s="514"/>
    </row>
    <row r="128" spans="1:15" s="158" customFormat="1" ht="13.5" hidden="1" customHeight="1" x14ac:dyDescent="0.2">
      <c r="A128" s="168"/>
      <c r="B128" s="168"/>
      <c r="C128" s="571" t="s">
        <v>430</v>
      </c>
      <c r="D128" s="548">
        <v>176902</v>
      </c>
      <c r="E128" s="513"/>
      <c r="F128" s="513"/>
      <c r="G128" s="513"/>
      <c r="H128" s="514"/>
      <c r="I128" s="514"/>
      <c r="J128" s="514"/>
      <c r="K128" s="514"/>
      <c r="L128" s="514"/>
      <c r="M128" s="514"/>
      <c r="N128" s="514"/>
      <c r="O128" s="514">
        <f>SUM(E128:N128)</f>
        <v>0</v>
      </c>
    </row>
    <row r="129" spans="1:15" s="158" customFormat="1" ht="12.6" customHeight="1" x14ac:dyDescent="0.2">
      <c r="A129" s="174"/>
      <c r="B129" s="174"/>
      <c r="C129" s="530" t="s">
        <v>431</v>
      </c>
      <c r="D129" s="531"/>
      <c r="E129" s="532">
        <f t="shared" ref="E129:O129" si="8">SUM(E105:E128)</f>
        <v>0</v>
      </c>
      <c r="F129" s="532">
        <f t="shared" si="8"/>
        <v>0</v>
      </c>
      <c r="G129" s="532">
        <f t="shared" si="8"/>
        <v>0</v>
      </c>
      <c r="H129" s="532">
        <f t="shared" si="8"/>
        <v>2237</v>
      </c>
      <c r="I129" s="532">
        <f t="shared" si="8"/>
        <v>5408</v>
      </c>
      <c r="J129" s="532">
        <f t="shared" si="8"/>
        <v>0</v>
      </c>
      <c r="K129" s="532">
        <f t="shared" si="8"/>
        <v>0</v>
      </c>
      <c r="L129" s="532">
        <f t="shared" si="8"/>
        <v>0</v>
      </c>
      <c r="M129" s="532">
        <f t="shared" si="8"/>
        <v>0</v>
      </c>
      <c r="N129" s="532">
        <f t="shared" si="8"/>
        <v>0</v>
      </c>
      <c r="O129" s="532">
        <f t="shared" si="8"/>
        <v>7645</v>
      </c>
    </row>
    <row r="130" spans="1:15" s="158" customFormat="1" ht="12.6" customHeight="1" x14ac:dyDescent="0.2">
      <c r="A130" s="175">
        <v>1</v>
      </c>
      <c r="B130" s="175">
        <v>18</v>
      </c>
      <c r="C130" s="539" t="s">
        <v>432</v>
      </c>
      <c r="D130" s="540"/>
      <c r="E130" s="552"/>
      <c r="F130" s="552"/>
      <c r="G130" s="552"/>
      <c r="H130" s="552"/>
      <c r="I130" s="552"/>
      <c r="J130" s="552"/>
      <c r="K130" s="552"/>
      <c r="L130" s="552"/>
      <c r="M130" s="552"/>
      <c r="N130" s="552"/>
      <c r="O130" s="552"/>
    </row>
    <row r="131" spans="1:15" s="158" customFormat="1" ht="24.95" customHeight="1" x14ac:dyDescent="0.2">
      <c r="A131" s="168"/>
      <c r="B131" s="168"/>
      <c r="C131" s="528" t="s">
        <v>369</v>
      </c>
      <c r="D131" s="535"/>
      <c r="E131" s="513"/>
      <c r="F131" s="513"/>
      <c r="G131" s="513"/>
      <c r="H131" s="514"/>
      <c r="I131" s="514"/>
      <c r="J131" s="514"/>
      <c r="K131" s="514"/>
      <c r="L131" s="514"/>
      <c r="M131" s="514"/>
      <c r="N131" s="514"/>
      <c r="O131" s="514"/>
    </row>
    <row r="132" spans="1:15" s="158" customFormat="1" ht="24.95" hidden="1" customHeight="1" x14ac:dyDescent="0.2">
      <c r="A132" s="168"/>
      <c r="B132" s="168"/>
      <c r="C132" s="528" t="s">
        <v>433</v>
      </c>
      <c r="D132" s="535" t="s">
        <v>434</v>
      </c>
      <c r="E132" s="513"/>
      <c r="F132" s="513"/>
      <c r="G132" s="513"/>
      <c r="H132" s="514"/>
      <c r="I132" s="514"/>
      <c r="J132" s="514"/>
      <c r="K132" s="514"/>
      <c r="L132" s="514"/>
      <c r="M132" s="514"/>
      <c r="N132" s="514"/>
      <c r="O132" s="514">
        <f t="shared" ref="O132:O137" si="9">SUM(E132:N132)</f>
        <v>0</v>
      </c>
    </row>
    <row r="133" spans="1:15" s="158" customFormat="1" ht="12.6" hidden="1" customHeight="1" x14ac:dyDescent="0.2">
      <c r="A133" s="168"/>
      <c r="B133" s="168"/>
      <c r="C133" s="539" t="s">
        <v>435</v>
      </c>
      <c r="D133" s="548">
        <v>181905</v>
      </c>
      <c r="E133" s="513"/>
      <c r="F133" s="513"/>
      <c r="G133" s="513"/>
      <c r="H133" s="514"/>
      <c r="I133" s="514"/>
      <c r="J133" s="514"/>
      <c r="K133" s="514"/>
      <c r="L133" s="514"/>
      <c r="M133" s="514"/>
      <c r="N133" s="514"/>
      <c r="O133" s="514">
        <f t="shared" si="9"/>
        <v>0</v>
      </c>
    </row>
    <row r="134" spans="1:15" s="158" customFormat="1" ht="15" hidden="1" customHeight="1" x14ac:dyDescent="0.2">
      <c r="A134" s="168"/>
      <c r="B134" s="168"/>
      <c r="C134" s="528" t="s">
        <v>436</v>
      </c>
      <c r="D134" s="535">
        <v>181903</v>
      </c>
      <c r="E134" s="553"/>
      <c r="F134" s="513"/>
      <c r="G134" s="513"/>
      <c r="H134" s="514"/>
      <c r="I134" s="514"/>
      <c r="J134" s="514"/>
      <c r="K134" s="514"/>
      <c r="L134" s="514"/>
      <c r="M134" s="514"/>
      <c r="N134" s="514"/>
      <c r="O134" s="514">
        <f t="shared" si="9"/>
        <v>0</v>
      </c>
    </row>
    <row r="135" spans="1:15" s="158" customFormat="1" ht="27.75" hidden="1" customHeight="1" x14ac:dyDescent="0.2">
      <c r="A135" s="168"/>
      <c r="B135" s="168"/>
      <c r="C135" s="528" t="s">
        <v>437</v>
      </c>
      <c r="D135" s="535">
        <v>181904</v>
      </c>
      <c r="E135" s="553"/>
      <c r="F135" s="513"/>
      <c r="G135" s="513"/>
      <c r="H135" s="514"/>
      <c r="I135" s="514"/>
      <c r="J135" s="514"/>
      <c r="K135" s="514"/>
      <c r="L135" s="514"/>
      <c r="M135" s="514"/>
      <c r="N135" s="514"/>
      <c r="O135" s="514">
        <f t="shared" si="9"/>
        <v>0</v>
      </c>
    </row>
    <row r="136" spans="1:15" s="158" customFormat="1" ht="15" hidden="1" customHeight="1" x14ac:dyDescent="0.2">
      <c r="A136" s="168" t="s">
        <v>121</v>
      </c>
      <c r="B136" s="168"/>
      <c r="C136" s="539" t="s">
        <v>438</v>
      </c>
      <c r="D136" s="548">
        <v>181902</v>
      </c>
      <c r="E136" s="513"/>
      <c r="F136" s="513"/>
      <c r="G136" s="513"/>
      <c r="H136" s="514"/>
      <c r="I136" s="514"/>
      <c r="J136" s="514"/>
      <c r="K136" s="514"/>
      <c r="L136" s="514"/>
      <c r="M136" s="514"/>
      <c r="N136" s="514"/>
      <c r="O136" s="514">
        <f t="shared" si="9"/>
        <v>0</v>
      </c>
    </row>
    <row r="137" spans="1:15" s="158" customFormat="1" ht="23.25" customHeight="1" x14ac:dyDescent="0.2">
      <c r="A137" s="701"/>
      <c r="B137" s="701"/>
      <c r="C137" s="702" t="s">
        <v>1253</v>
      </c>
      <c r="D137" s="794">
        <v>181907</v>
      </c>
      <c r="E137" s="789"/>
      <c r="F137" s="789"/>
      <c r="G137" s="789"/>
      <c r="H137" s="700">
        <v>54</v>
      </c>
      <c r="I137" s="700"/>
      <c r="J137" s="700"/>
      <c r="K137" s="700"/>
      <c r="L137" s="700"/>
      <c r="M137" s="700"/>
      <c r="N137" s="700"/>
      <c r="O137" s="514">
        <f t="shared" si="9"/>
        <v>54</v>
      </c>
    </row>
    <row r="138" spans="1:15" s="158" customFormat="1" ht="14.25" customHeight="1" x14ac:dyDescent="0.2">
      <c r="A138" s="174"/>
      <c r="B138" s="174"/>
      <c r="C138" s="530" t="s">
        <v>439</v>
      </c>
      <c r="D138" s="531"/>
      <c r="E138" s="554">
        <f t="shared" ref="E138:O138" si="10">SUM(E132:E137)</f>
        <v>0</v>
      </c>
      <c r="F138" s="554">
        <f t="shared" si="10"/>
        <v>0</v>
      </c>
      <c r="G138" s="554">
        <f t="shared" si="10"/>
        <v>0</v>
      </c>
      <c r="H138" s="554">
        <f t="shared" si="10"/>
        <v>54</v>
      </c>
      <c r="I138" s="554">
        <f t="shared" si="10"/>
        <v>0</v>
      </c>
      <c r="J138" s="554">
        <f t="shared" si="10"/>
        <v>0</v>
      </c>
      <c r="K138" s="554">
        <f t="shared" si="10"/>
        <v>0</v>
      </c>
      <c r="L138" s="554">
        <f t="shared" si="10"/>
        <v>0</v>
      </c>
      <c r="M138" s="554">
        <f t="shared" si="10"/>
        <v>0</v>
      </c>
      <c r="N138" s="554">
        <f t="shared" si="10"/>
        <v>0</v>
      </c>
      <c r="O138" s="554">
        <f t="shared" si="10"/>
        <v>54</v>
      </c>
    </row>
    <row r="139" spans="1:15" s="158" customFormat="1" ht="12.6" customHeight="1" x14ac:dyDescent="0.2">
      <c r="A139" s="168">
        <v>1</v>
      </c>
      <c r="B139" s="168">
        <v>19</v>
      </c>
      <c r="C139" s="533" t="s">
        <v>120</v>
      </c>
      <c r="D139" s="534"/>
      <c r="E139" s="514"/>
      <c r="F139" s="514"/>
      <c r="G139" s="514"/>
      <c r="H139" s="514"/>
      <c r="I139" s="514"/>
      <c r="J139" s="514"/>
      <c r="K139" s="514"/>
      <c r="L139" s="514"/>
      <c r="M139" s="514"/>
      <c r="N139" s="514"/>
      <c r="O139" s="514"/>
    </row>
    <row r="140" spans="1:15" s="158" customFormat="1" ht="26.25" customHeight="1" x14ac:dyDescent="0.2">
      <c r="A140" s="168"/>
      <c r="B140" s="168"/>
      <c r="C140" s="555" t="s">
        <v>440</v>
      </c>
      <c r="D140" s="547"/>
      <c r="E140" s="514"/>
      <c r="F140" s="514"/>
      <c r="G140" s="514"/>
      <c r="H140" s="514"/>
      <c r="I140" s="514"/>
      <c r="J140" s="514"/>
      <c r="K140" s="514"/>
      <c r="L140" s="514"/>
      <c r="M140" s="514"/>
      <c r="N140" s="514"/>
      <c r="O140" s="514"/>
    </row>
    <row r="141" spans="1:15" s="158" customFormat="1" ht="24.95" customHeight="1" x14ac:dyDescent="0.2">
      <c r="A141" s="168"/>
      <c r="B141" s="168"/>
      <c r="C141" s="539" t="s">
        <v>441</v>
      </c>
      <c r="D141" s="548">
        <v>196911</v>
      </c>
      <c r="E141" s="513"/>
      <c r="F141" s="513"/>
      <c r="G141" s="513"/>
      <c r="H141" s="514"/>
      <c r="I141" s="514"/>
      <c r="J141" s="514"/>
      <c r="K141" s="514"/>
      <c r="L141" s="514">
        <v>54888</v>
      </c>
      <c r="M141" s="514"/>
      <c r="N141" s="514"/>
      <c r="O141" s="514">
        <f>SUM(E141:N141)</f>
        <v>54888</v>
      </c>
    </row>
    <row r="142" spans="1:15" s="158" customFormat="1" ht="24.95" customHeight="1" x14ac:dyDescent="0.2">
      <c r="A142" s="168"/>
      <c r="B142" s="168"/>
      <c r="C142" s="539" t="s">
        <v>333</v>
      </c>
      <c r="D142" s="551"/>
      <c r="E142" s="536"/>
      <c r="F142" s="513"/>
      <c r="G142" s="513"/>
      <c r="H142" s="514"/>
      <c r="I142" s="514"/>
      <c r="J142" s="514"/>
      <c r="K142" s="514"/>
      <c r="L142" s="514"/>
      <c r="M142" s="514"/>
      <c r="N142" s="514"/>
      <c r="O142" s="514"/>
    </row>
    <row r="143" spans="1:15" s="158" customFormat="1" ht="25.5" hidden="1" x14ac:dyDescent="0.2">
      <c r="A143" s="168" t="s">
        <v>121</v>
      </c>
      <c r="B143" s="168"/>
      <c r="C143" s="539" t="s">
        <v>442</v>
      </c>
      <c r="D143" s="538">
        <v>191102</v>
      </c>
      <c r="E143" s="514"/>
      <c r="F143" s="514"/>
      <c r="G143" s="514"/>
      <c r="H143" s="514"/>
      <c r="I143" s="514"/>
      <c r="J143" s="514"/>
      <c r="K143" s="514"/>
      <c r="L143" s="514"/>
      <c r="M143" s="514"/>
      <c r="N143" s="514"/>
      <c r="O143" s="514">
        <f t="shared" ref="O143:O149" si="11">SUM(E143:N143)</f>
        <v>0</v>
      </c>
    </row>
    <row r="144" spans="1:15" s="158" customFormat="1" ht="12" customHeight="1" x14ac:dyDescent="0.2">
      <c r="A144" s="168"/>
      <c r="B144" s="168"/>
      <c r="C144" s="537" t="s">
        <v>443</v>
      </c>
      <c r="D144" s="538">
        <v>191103</v>
      </c>
      <c r="E144" s="514"/>
      <c r="F144" s="514"/>
      <c r="G144" s="514"/>
      <c r="H144" s="514">
        <v>6710</v>
      </c>
      <c r="I144" s="514"/>
      <c r="J144" s="514"/>
      <c r="K144" s="514"/>
      <c r="L144" s="514"/>
      <c r="M144" s="514"/>
      <c r="N144" s="514"/>
      <c r="O144" s="514">
        <f t="shared" si="11"/>
        <v>6710</v>
      </c>
    </row>
    <row r="145" spans="1:15" s="158" customFormat="1" ht="13.5" hidden="1" customHeight="1" x14ac:dyDescent="0.2">
      <c r="A145" s="701"/>
      <c r="B145" s="701"/>
      <c r="C145" s="795" t="s">
        <v>1441</v>
      </c>
      <c r="D145" s="796">
        <v>191116</v>
      </c>
      <c r="E145" s="700"/>
      <c r="F145" s="700"/>
      <c r="G145" s="700"/>
      <c r="H145" s="700"/>
      <c r="I145" s="700"/>
      <c r="J145" s="700"/>
      <c r="K145" s="700"/>
      <c r="L145" s="700"/>
      <c r="M145" s="700"/>
      <c r="N145" s="700"/>
      <c r="O145" s="514">
        <f t="shared" si="11"/>
        <v>0</v>
      </c>
    </row>
    <row r="146" spans="1:15" s="158" customFormat="1" ht="22.5" hidden="1" customHeight="1" x14ac:dyDescent="0.2">
      <c r="A146" s="701"/>
      <c r="B146" s="701"/>
      <c r="C146" s="797" t="s">
        <v>1442</v>
      </c>
      <c r="D146" s="792">
        <v>191132</v>
      </c>
      <c r="E146" s="700"/>
      <c r="F146" s="700"/>
      <c r="G146" s="700"/>
      <c r="H146" s="700"/>
      <c r="I146" s="700"/>
      <c r="J146" s="700"/>
      <c r="K146" s="700"/>
      <c r="L146" s="700"/>
      <c r="M146" s="700"/>
      <c r="N146" s="700"/>
      <c r="O146" s="514">
        <f t="shared" si="11"/>
        <v>0</v>
      </c>
    </row>
    <row r="147" spans="1:15" s="158" customFormat="1" ht="24" customHeight="1" x14ac:dyDescent="0.2">
      <c r="A147" s="833"/>
      <c r="B147" s="833"/>
      <c r="C147" s="872" t="s">
        <v>1485</v>
      </c>
      <c r="D147" s="844">
        <v>192909</v>
      </c>
      <c r="E147" s="830"/>
      <c r="F147" s="830"/>
      <c r="G147" s="830"/>
      <c r="H147" s="830"/>
      <c r="I147" s="830"/>
      <c r="J147" s="830"/>
      <c r="K147" s="830">
        <v>500</v>
      </c>
      <c r="L147" s="830"/>
      <c r="M147" s="830"/>
      <c r="N147" s="830"/>
      <c r="O147" s="514">
        <f t="shared" si="11"/>
        <v>500</v>
      </c>
    </row>
    <row r="148" spans="1:15" s="158" customFormat="1" ht="16.5" customHeight="1" x14ac:dyDescent="0.2">
      <c r="A148" s="168"/>
      <c r="B148" s="168"/>
      <c r="C148" s="537" t="s">
        <v>444</v>
      </c>
      <c r="D148" s="650">
        <v>196919</v>
      </c>
      <c r="E148" s="514"/>
      <c r="F148" s="514"/>
      <c r="G148" s="514"/>
      <c r="H148" s="514"/>
      <c r="I148" s="514"/>
      <c r="J148" s="514"/>
      <c r="K148" s="514"/>
      <c r="L148" s="514"/>
      <c r="M148" s="514"/>
      <c r="N148" s="514">
        <v>-200000</v>
      </c>
      <c r="O148" s="514">
        <f t="shared" si="11"/>
        <v>-200000</v>
      </c>
    </row>
    <row r="149" spans="1:15" s="158" customFormat="1" ht="25.5" x14ac:dyDescent="0.2">
      <c r="A149" s="168"/>
      <c r="B149" s="168"/>
      <c r="C149" s="539" t="s">
        <v>1356</v>
      </c>
      <c r="D149" s="540">
        <v>191196</v>
      </c>
      <c r="E149" s="514"/>
      <c r="F149" s="514"/>
      <c r="G149" s="514"/>
      <c r="H149" s="514"/>
      <c r="I149" s="514"/>
      <c r="J149" s="514"/>
      <c r="K149" s="514"/>
      <c r="L149" s="514"/>
      <c r="M149" s="556"/>
      <c r="N149" s="514">
        <v>269448</v>
      </c>
      <c r="O149" s="514">
        <f t="shared" si="11"/>
        <v>269448</v>
      </c>
    </row>
    <row r="150" spans="1:15" s="158" customFormat="1" ht="24.95" customHeight="1" x14ac:dyDescent="0.2">
      <c r="A150" s="168"/>
      <c r="B150" s="168"/>
      <c r="C150" s="539" t="s">
        <v>445</v>
      </c>
      <c r="D150" s="540"/>
      <c r="E150" s="514"/>
      <c r="F150" s="514"/>
      <c r="G150" s="514"/>
      <c r="H150" s="514"/>
      <c r="I150" s="514"/>
      <c r="J150" s="557"/>
      <c r="K150" s="514"/>
      <c r="L150" s="514"/>
      <c r="M150" s="514"/>
      <c r="N150" s="514"/>
      <c r="O150" s="514"/>
    </row>
    <row r="151" spans="1:15" s="158" customFormat="1" ht="25.5" x14ac:dyDescent="0.2">
      <c r="A151" s="168"/>
      <c r="B151" s="168"/>
      <c r="C151" s="528" t="s">
        <v>446</v>
      </c>
      <c r="D151" s="535">
        <v>191901</v>
      </c>
      <c r="E151" s="514">
        <v>5632</v>
      </c>
      <c r="F151" s="514"/>
      <c r="G151" s="514"/>
      <c r="H151" s="514"/>
      <c r="I151" s="514"/>
      <c r="J151" s="558"/>
      <c r="K151" s="514"/>
      <c r="L151" s="514"/>
      <c r="M151" s="514"/>
      <c r="N151" s="514"/>
      <c r="O151" s="514">
        <f t="shared" ref="O151:O160" si="12">SUM(E151:N151)</f>
        <v>5632</v>
      </c>
    </row>
    <row r="152" spans="1:15" s="158" customFormat="1" ht="25.5" x14ac:dyDescent="0.2">
      <c r="A152" s="168"/>
      <c r="B152" s="168"/>
      <c r="C152" s="528" t="s">
        <v>447</v>
      </c>
      <c r="D152" s="535">
        <v>191901</v>
      </c>
      <c r="E152" s="514">
        <v>80007</v>
      </c>
      <c r="F152" s="514"/>
      <c r="G152" s="514"/>
      <c r="H152" s="514"/>
      <c r="I152" s="514"/>
      <c r="J152" s="558"/>
      <c r="K152" s="514"/>
      <c r="L152" s="514"/>
      <c r="M152" s="514"/>
      <c r="N152" s="514"/>
      <c r="O152" s="514">
        <f t="shared" si="12"/>
        <v>80007</v>
      </c>
    </row>
    <row r="153" spans="1:15" s="158" customFormat="1" ht="24" customHeight="1" x14ac:dyDescent="0.2">
      <c r="A153" s="168"/>
      <c r="B153" s="168"/>
      <c r="C153" s="528" t="s">
        <v>448</v>
      </c>
      <c r="D153" s="535">
        <v>191901</v>
      </c>
      <c r="E153" s="514">
        <v>-25024</v>
      </c>
      <c r="F153" s="514"/>
      <c r="G153" s="514"/>
      <c r="H153" s="514"/>
      <c r="I153" s="514"/>
      <c r="J153" s="514"/>
      <c r="K153" s="514"/>
      <c r="L153" s="514"/>
      <c r="M153" s="514"/>
      <c r="N153" s="514"/>
      <c r="O153" s="514">
        <f t="shared" si="12"/>
        <v>-25024</v>
      </c>
    </row>
    <row r="154" spans="1:15" s="158" customFormat="1" ht="24" customHeight="1" x14ac:dyDescent="0.2">
      <c r="A154" s="168"/>
      <c r="B154" s="168"/>
      <c r="C154" s="528" t="s">
        <v>449</v>
      </c>
      <c r="D154" s="535">
        <v>191901</v>
      </c>
      <c r="E154" s="514">
        <v>25365</v>
      </c>
      <c r="F154" s="514"/>
      <c r="G154" s="514"/>
      <c r="H154" s="514"/>
      <c r="I154" s="514"/>
      <c r="J154" s="514"/>
      <c r="K154" s="514"/>
      <c r="L154" s="514"/>
      <c r="M154" s="514"/>
      <c r="N154" s="514"/>
      <c r="O154" s="514">
        <f t="shared" si="12"/>
        <v>25365</v>
      </c>
    </row>
    <row r="155" spans="1:15" s="158" customFormat="1" ht="15" hidden="1" customHeight="1" x14ac:dyDescent="0.2">
      <c r="A155" s="168"/>
      <c r="B155" s="168"/>
      <c r="C155" s="528" t="s">
        <v>1361</v>
      </c>
      <c r="D155" s="535">
        <v>191901</v>
      </c>
      <c r="E155" s="514"/>
      <c r="F155" s="514"/>
      <c r="G155" s="514"/>
      <c r="H155" s="514"/>
      <c r="I155" s="514"/>
      <c r="J155" s="514"/>
      <c r="K155" s="514"/>
      <c r="L155" s="514"/>
      <c r="M155" s="514"/>
      <c r="N155" s="514"/>
      <c r="O155" s="514">
        <f t="shared" si="12"/>
        <v>0</v>
      </c>
    </row>
    <row r="156" spans="1:15" s="158" customFormat="1" ht="15.75" hidden="1" customHeight="1" x14ac:dyDescent="0.2">
      <c r="A156" s="701"/>
      <c r="B156" s="701"/>
      <c r="C156" s="798" t="s">
        <v>1443</v>
      </c>
      <c r="D156" s="799">
        <v>191901</v>
      </c>
      <c r="E156" s="700"/>
      <c r="F156" s="700"/>
      <c r="G156" s="700"/>
      <c r="H156" s="700"/>
      <c r="I156" s="700"/>
      <c r="J156" s="700"/>
      <c r="K156" s="700"/>
      <c r="L156" s="700"/>
      <c r="M156" s="700"/>
      <c r="N156" s="700"/>
      <c r="O156" s="700">
        <f t="shared" si="12"/>
        <v>0</v>
      </c>
    </row>
    <row r="157" spans="1:15" s="158" customFormat="1" ht="18.75" hidden="1" customHeight="1" x14ac:dyDescent="0.2">
      <c r="A157" s="168"/>
      <c r="B157" s="168"/>
      <c r="C157" s="528" t="s">
        <v>450</v>
      </c>
      <c r="D157" s="535">
        <v>191901</v>
      </c>
      <c r="E157" s="514"/>
      <c r="F157" s="514"/>
      <c r="G157" s="514"/>
      <c r="H157" s="514"/>
      <c r="I157" s="514"/>
      <c r="J157" s="514"/>
      <c r="K157" s="514"/>
      <c r="L157" s="514"/>
      <c r="M157" s="514"/>
      <c r="N157" s="514"/>
      <c r="O157" s="514">
        <f t="shared" si="12"/>
        <v>0</v>
      </c>
    </row>
    <row r="158" spans="1:15" s="158" customFormat="1" ht="24" hidden="1" customHeight="1" x14ac:dyDescent="0.2">
      <c r="A158" s="701"/>
      <c r="B158" s="701"/>
      <c r="C158" s="702" t="s">
        <v>1409</v>
      </c>
      <c r="D158" s="703">
        <v>191901</v>
      </c>
      <c r="E158" s="700"/>
      <c r="F158" s="700"/>
      <c r="G158" s="700"/>
      <c r="H158" s="700"/>
      <c r="I158" s="700"/>
      <c r="J158" s="700"/>
      <c r="K158" s="700"/>
      <c r="L158" s="700"/>
      <c r="M158" s="700"/>
      <c r="N158" s="700"/>
      <c r="O158" s="514">
        <f t="shared" si="12"/>
        <v>0</v>
      </c>
    </row>
    <row r="159" spans="1:15" s="158" customFormat="1" ht="23.25" hidden="1" customHeight="1" x14ac:dyDescent="0.2">
      <c r="A159" s="701"/>
      <c r="B159" s="701"/>
      <c r="C159" s="702" t="s">
        <v>1410</v>
      </c>
      <c r="D159" s="703">
        <v>191901</v>
      </c>
      <c r="E159" s="700"/>
      <c r="F159" s="700"/>
      <c r="G159" s="700"/>
      <c r="H159" s="700"/>
      <c r="I159" s="700"/>
      <c r="J159" s="700"/>
      <c r="K159" s="700"/>
      <c r="L159" s="700"/>
      <c r="M159" s="700"/>
      <c r="N159" s="700"/>
      <c r="O159" s="514">
        <f t="shared" si="12"/>
        <v>0</v>
      </c>
    </row>
    <row r="160" spans="1:15" s="158" customFormat="1" ht="15" hidden="1" customHeight="1" x14ac:dyDescent="0.2">
      <c r="A160" s="701"/>
      <c r="B160" s="701"/>
      <c r="C160" s="702" t="s">
        <v>1425</v>
      </c>
      <c r="D160" s="703">
        <v>191901</v>
      </c>
      <c r="E160" s="700"/>
      <c r="F160" s="700"/>
      <c r="G160" s="700"/>
      <c r="H160" s="700"/>
      <c r="I160" s="700"/>
      <c r="J160" s="700"/>
      <c r="K160" s="700"/>
      <c r="L160" s="700"/>
      <c r="M160" s="700"/>
      <c r="N160" s="700"/>
      <c r="O160" s="514">
        <f t="shared" si="12"/>
        <v>0</v>
      </c>
    </row>
    <row r="161" spans="1:15" s="158" customFormat="1" ht="24" hidden="1" customHeight="1" x14ac:dyDescent="0.2">
      <c r="A161" s="168"/>
      <c r="B161" s="168"/>
      <c r="C161" s="539" t="s">
        <v>451</v>
      </c>
      <c r="D161" s="540"/>
      <c r="E161" s="514"/>
      <c r="F161" s="514"/>
      <c r="G161" s="514"/>
      <c r="H161" s="514"/>
      <c r="I161" s="514"/>
      <c r="J161" s="514"/>
      <c r="K161" s="514"/>
      <c r="L161" s="514"/>
      <c r="M161" s="514"/>
      <c r="N161" s="514"/>
      <c r="O161" s="514"/>
    </row>
    <row r="162" spans="1:15" s="158" customFormat="1" ht="14.1" hidden="1" customHeight="1" x14ac:dyDescent="0.2">
      <c r="A162" s="168"/>
      <c r="B162" s="168"/>
      <c r="C162" s="537" t="s">
        <v>452</v>
      </c>
      <c r="D162" s="538">
        <v>191907</v>
      </c>
      <c r="E162" s="514"/>
      <c r="F162" s="514"/>
      <c r="G162" s="514"/>
      <c r="H162" s="514"/>
      <c r="I162" s="514"/>
      <c r="J162" s="514"/>
      <c r="K162" s="514"/>
      <c r="L162" s="514"/>
      <c r="M162" s="514"/>
      <c r="N162" s="514"/>
      <c r="O162" s="514">
        <f t="shared" ref="O162:O167" si="13">SUM(E162:N162)</f>
        <v>0</v>
      </c>
    </row>
    <row r="163" spans="1:15" s="158" customFormat="1" ht="14.1" hidden="1" customHeight="1" x14ac:dyDescent="0.2">
      <c r="A163" s="168"/>
      <c r="B163" s="168"/>
      <c r="C163" s="537" t="s">
        <v>453</v>
      </c>
      <c r="D163" s="538">
        <v>191907</v>
      </c>
      <c r="E163" s="514"/>
      <c r="F163" s="514"/>
      <c r="G163" s="514"/>
      <c r="H163" s="514"/>
      <c r="I163" s="514"/>
      <c r="J163" s="514"/>
      <c r="K163" s="514"/>
      <c r="L163" s="514"/>
      <c r="M163" s="514"/>
      <c r="N163" s="514"/>
      <c r="O163" s="514">
        <f t="shared" si="13"/>
        <v>0</v>
      </c>
    </row>
    <row r="164" spans="1:15" s="158" customFormat="1" ht="14.1" hidden="1" customHeight="1" x14ac:dyDescent="0.2">
      <c r="A164" s="168"/>
      <c r="B164" s="168"/>
      <c r="C164" s="537" t="s">
        <v>454</v>
      </c>
      <c r="D164" s="538">
        <v>191907</v>
      </c>
      <c r="E164" s="514"/>
      <c r="F164" s="514"/>
      <c r="G164" s="514"/>
      <c r="H164" s="514"/>
      <c r="I164" s="514"/>
      <c r="J164" s="514"/>
      <c r="K164" s="514"/>
      <c r="L164" s="514"/>
      <c r="M164" s="514"/>
      <c r="N164" s="514"/>
      <c r="O164" s="514">
        <f t="shared" si="13"/>
        <v>0</v>
      </c>
    </row>
    <row r="165" spans="1:15" s="158" customFormat="1" ht="14.1" hidden="1" customHeight="1" x14ac:dyDescent="0.2">
      <c r="A165" s="168"/>
      <c r="B165" s="168"/>
      <c r="C165" s="537" t="s">
        <v>455</v>
      </c>
      <c r="D165" s="538">
        <v>191907</v>
      </c>
      <c r="E165" s="514"/>
      <c r="F165" s="514"/>
      <c r="G165" s="514"/>
      <c r="H165" s="514"/>
      <c r="I165" s="514"/>
      <c r="J165" s="514"/>
      <c r="K165" s="514"/>
      <c r="L165" s="514"/>
      <c r="M165" s="514"/>
      <c r="N165" s="514"/>
      <c r="O165" s="514">
        <f t="shared" si="13"/>
        <v>0</v>
      </c>
    </row>
    <row r="166" spans="1:15" s="158" customFormat="1" ht="14.1" hidden="1" customHeight="1" x14ac:dyDescent="0.2">
      <c r="A166" s="168"/>
      <c r="B166" s="168"/>
      <c r="C166" s="537" t="s">
        <v>456</v>
      </c>
      <c r="D166" s="538">
        <v>191907</v>
      </c>
      <c r="E166" s="514"/>
      <c r="F166" s="514"/>
      <c r="G166" s="514"/>
      <c r="H166" s="514"/>
      <c r="I166" s="514"/>
      <c r="J166" s="514"/>
      <c r="K166" s="514"/>
      <c r="L166" s="514"/>
      <c r="M166" s="514"/>
      <c r="N166" s="514"/>
      <c r="O166" s="514">
        <f t="shared" si="13"/>
        <v>0</v>
      </c>
    </row>
    <row r="167" spans="1:15" s="158" customFormat="1" ht="14.1" hidden="1" customHeight="1" x14ac:dyDescent="0.2">
      <c r="A167" s="168"/>
      <c r="B167" s="168"/>
      <c r="C167" s="537" t="s">
        <v>457</v>
      </c>
      <c r="D167" s="538">
        <v>191907</v>
      </c>
      <c r="E167" s="514"/>
      <c r="F167" s="514"/>
      <c r="G167" s="514"/>
      <c r="H167" s="514"/>
      <c r="I167" s="514"/>
      <c r="J167" s="514"/>
      <c r="K167" s="514"/>
      <c r="L167" s="514"/>
      <c r="M167" s="514"/>
      <c r="N167" s="514"/>
      <c r="O167" s="514">
        <f t="shared" si="13"/>
        <v>0</v>
      </c>
    </row>
    <row r="168" spans="1:15" s="158" customFormat="1" ht="24.75" hidden="1" customHeight="1" x14ac:dyDescent="0.2">
      <c r="A168" s="168"/>
      <c r="B168" s="168"/>
      <c r="C168" s="528" t="s">
        <v>458</v>
      </c>
      <c r="D168" s="559"/>
      <c r="E168" s="385"/>
      <c r="F168" s="514"/>
      <c r="G168" s="514"/>
      <c r="H168" s="514"/>
      <c r="I168" s="514"/>
      <c r="J168" s="514"/>
      <c r="K168" s="514"/>
      <c r="L168" s="514"/>
      <c r="M168" s="514"/>
      <c r="N168" s="514"/>
      <c r="O168" s="514"/>
    </row>
    <row r="169" spans="1:15" s="158" customFormat="1" ht="36.75" hidden="1" customHeight="1" x14ac:dyDescent="0.2">
      <c r="A169" s="168"/>
      <c r="B169" s="168"/>
      <c r="C169" s="524" t="s">
        <v>459</v>
      </c>
      <c r="D169" s="559">
        <v>191158</v>
      </c>
      <c r="E169" s="560"/>
      <c r="F169" s="514"/>
      <c r="G169" s="514"/>
      <c r="H169" s="514"/>
      <c r="I169" s="514"/>
      <c r="J169" s="514"/>
      <c r="K169" s="514"/>
      <c r="L169" s="514"/>
      <c r="M169" s="514"/>
      <c r="N169" s="514"/>
      <c r="O169" s="514">
        <f>SUM(E169:N169)</f>
        <v>0</v>
      </c>
    </row>
    <row r="170" spans="1:15" s="158" customFormat="1" ht="15" hidden="1" customHeight="1" x14ac:dyDescent="0.2">
      <c r="A170" s="168"/>
      <c r="B170" s="168"/>
      <c r="C170" s="524" t="s">
        <v>460</v>
      </c>
      <c r="D170" s="559"/>
      <c r="E170" s="560"/>
      <c r="F170" s="514"/>
      <c r="G170" s="514"/>
      <c r="H170" s="514"/>
      <c r="I170" s="514"/>
      <c r="J170" s="514"/>
      <c r="K170" s="514"/>
      <c r="L170" s="514"/>
      <c r="M170" s="514"/>
      <c r="N170" s="514"/>
      <c r="O170" s="514"/>
    </row>
    <row r="171" spans="1:15" s="158" customFormat="1" ht="24.95" hidden="1" customHeight="1" x14ac:dyDescent="0.2">
      <c r="A171" s="168"/>
      <c r="B171" s="168"/>
      <c r="C171" s="539" t="s">
        <v>461</v>
      </c>
      <c r="D171" s="540">
        <v>191906</v>
      </c>
      <c r="E171" s="514"/>
      <c r="F171" s="514"/>
      <c r="G171" s="514"/>
      <c r="H171" s="514"/>
      <c r="I171" s="514"/>
      <c r="J171" s="514"/>
      <c r="K171" s="514"/>
      <c r="L171" s="514"/>
      <c r="M171" s="514"/>
      <c r="N171" s="514"/>
      <c r="O171" s="514">
        <f>SUM(E171:N171)</f>
        <v>0</v>
      </c>
    </row>
    <row r="172" spans="1:15" s="158" customFormat="1" ht="24.95" customHeight="1" x14ac:dyDescent="0.2">
      <c r="A172" s="701"/>
      <c r="B172" s="701"/>
      <c r="C172" s="798" t="s">
        <v>369</v>
      </c>
      <c r="D172" s="800"/>
      <c r="E172" s="700"/>
      <c r="F172" s="700"/>
      <c r="G172" s="700"/>
      <c r="H172" s="700"/>
      <c r="I172" s="700"/>
      <c r="J172" s="700"/>
      <c r="K172" s="700"/>
      <c r="L172" s="700"/>
      <c r="M172" s="700"/>
      <c r="N172" s="700"/>
      <c r="O172" s="514"/>
    </row>
    <row r="173" spans="1:15" s="158" customFormat="1" ht="14.25" customHeight="1" x14ac:dyDescent="0.2">
      <c r="A173" s="701"/>
      <c r="B173" s="701"/>
      <c r="C173" s="793" t="s">
        <v>1444</v>
      </c>
      <c r="D173" s="800">
        <v>191104</v>
      </c>
      <c r="E173" s="700"/>
      <c r="F173" s="700"/>
      <c r="G173" s="700"/>
      <c r="H173" s="700">
        <v>3962</v>
      </c>
      <c r="I173" s="700"/>
      <c r="J173" s="700"/>
      <c r="K173" s="700"/>
      <c r="L173" s="700"/>
      <c r="M173" s="700"/>
      <c r="N173" s="700"/>
      <c r="O173" s="514">
        <f>SUM(E173:N173)</f>
        <v>3962</v>
      </c>
    </row>
    <row r="174" spans="1:15" s="158" customFormat="1" ht="14.25" customHeight="1" x14ac:dyDescent="0.2">
      <c r="A174" s="833"/>
      <c r="B174" s="833"/>
      <c r="C174" s="845" t="s">
        <v>1472</v>
      </c>
      <c r="D174" s="846">
        <v>191193</v>
      </c>
      <c r="E174" s="830"/>
      <c r="F174" s="830"/>
      <c r="G174" s="830"/>
      <c r="H174" s="830"/>
      <c r="I174" s="830"/>
      <c r="J174" s="830">
        <v>5800</v>
      </c>
      <c r="K174" s="830"/>
      <c r="L174" s="830"/>
      <c r="M174" s="830"/>
      <c r="N174" s="830"/>
      <c r="O174" s="514">
        <f>SUM(E174:N174)</f>
        <v>5800</v>
      </c>
    </row>
    <row r="175" spans="1:15" s="158" customFormat="1" ht="15.75" customHeight="1" x14ac:dyDescent="0.2">
      <c r="A175" s="181"/>
      <c r="B175" s="174"/>
      <c r="C175" s="530" t="s">
        <v>462</v>
      </c>
      <c r="D175" s="531"/>
      <c r="E175" s="532">
        <f>SUM(E140:E174)</f>
        <v>85980</v>
      </c>
      <c r="F175" s="532">
        <f t="shared" ref="F175:O175" si="14">SUM(F140:F174)</f>
        <v>0</v>
      </c>
      <c r="G175" s="532">
        <f t="shared" si="14"/>
        <v>0</v>
      </c>
      <c r="H175" s="532">
        <f t="shared" si="14"/>
        <v>10672</v>
      </c>
      <c r="I175" s="532">
        <f t="shared" si="14"/>
        <v>0</v>
      </c>
      <c r="J175" s="532">
        <f t="shared" si="14"/>
        <v>5800</v>
      </c>
      <c r="K175" s="532">
        <f t="shared" si="14"/>
        <v>500</v>
      </c>
      <c r="L175" s="532">
        <f t="shared" si="14"/>
        <v>54888</v>
      </c>
      <c r="M175" s="532">
        <f t="shared" si="14"/>
        <v>0</v>
      </c>
      <c r="N175" s="532">
        <f t="shared" si="14"/>
        <v>69448</v>
      </c>
      <c r="O175" s="532">
        <f t="shared" si="14"/>
        <v>227288</v>
      </c>
    </row>
    <row r="176" spans="1:15" s="158" customFormat="1" ht="27.95" customHeight="1" x14ac:dyDescent="0.2">
      <c r="A176" s="168">
        <v>1</v>
      </c>
      <c r="B176" s="175">
        <v>20</v>
      </c>
      <c r="C176" s="528" t="s">
        <v>369</v>
      </c>
      <c r="D176" s="535"/>
      <c r="E176" s="550"/>
      <c r="F176" s="552"/>
      <c r="G176" s="552"/>
      <c r="H176" s="552"/>
      <c r="I176" s="552"/>
      <c r="J176" s="552"/>
      <c r="K176" s="552"/>
      <c r="L176" s="552"/>
      <c r="M176" s="552"/>
      <c r="N176" s="552"/>
      <c r="O176" s="552"/>
    </row>
    <row r="177" spans="1:15" s="158" customFormat="1" ht="12.75" customHeight="1" x14ac:dyDescent="0.2">
      <c r="A177" s="181"/>
      <c r="B177" s="174"/>
      <c r="C177" s="561" t="s">
        <v>463</v>
      </c>
      <c r="D177" s="562">
        <v>201901</v>
      </c>
      <c r="E177" s="563"/>
      <c r="F177" s="532"/>
      <c r="G177" s="532"/>
      <c r="H177" s="532"/>
      <c r="I177" s="532"/>
      <c r="J177" s="532"/>
      <c r="K177" s="532"/>
      <c r="L177" s="532"/>
      <c r="M177" s="532"/>
      <c r="N177" s="532"/>
      <c r="O177" s="532">
        <f>SUM(E177:N177)</f>
        <v>0</v>
      </c>
    </row>
    <row r="178" spans="1:15" s="158" customFormat="1" ht="14.25" customHeight="1" x14ac:dyDescent="0.2">
      <c r="A178" s="168">
        <v>1</v>
      </c>
      <c r="B178" s="175">
        <v>22</v>
      </c>
      <c r="C178" s="533" t="s">
        <v>18</v>
      </c>
      <c r="D178" s="534"/>
      <c r="E178" s="552"/>
      <c r="F178" s="552"/>
      <c r="G178" s="552"/>
      <c r="H178" s="552"/>
      <c r="I178" s="552"/>
      <c r="J178" s="552"/>
      <c r="K178" s="552"/>
      <c r="L178" s="552"/>
      <c r="M178" s="552"/>
      <c r="N178" s="552"/>
      <c r="O178" s="552"/>
    </row>
    <row r="179" spans="1:15" s="158" customFormat="1" ht="17.100000000000001" customHeight="1" x14ac:dyDescent="0.2">
      <c r="A179" s="168"/>
      <c r="B179" s="175"/>
      <c r="C179" s="177" t="s">
        <v>333</v>
      </c>
      <c r="D179" s="534"/>
      <c r="E179" s="552"/>
      <c r="F179" s="552"/>
      <c r="G179" s="552"/>
      <c r="H179" s="552"/>
      <c r="I179" s="552"/>
      <c r="J179" s="552"/>
      <c r="K179" s="552"/>
      <c r="L179" s="552"/>
      <c r="M179" s="552"/>
      <c r="N179" s="552"/>
      <c r="O179" s="552"/>
    </row>
    <row r="180" spans="1:15" s="158" customFormat="1" ht="17.100000000000001" customHeight="1" x14ac:dyDescent="0.2">
      <c r="A180" s="168"/>
      <c r="B180" s="175"/>
      <c r="C180" s="314" t="s">
        <v>1296</v>
      </c>
      <c r="D180" s="596">
        <v>221901</v>
      </c>
      <c r="E180" s="596"/>
      <c r="F180" s="596"/>
      <c r="G180" s="596"/>
      <c r="H180" s="596">
        <v>4252</v>
      </c>
      <c r="I180" s="596"/>
      <c r="J180" s="596"/>
      <c r="K180" s="596"/>
      <c r="L180" s="596"/>
      <c r="M180" s="596"/>
      <c r="N180" s="596"/>
      <c r="O180" s="596">
        <f>SUM(H180:N180)</f>
        <v>4252</v>
      </c>
    </row>
    <row r="181" spans="1:15" s="158" customFormat="1" ht="13.5" hidden="1" customHeight="1" x14ac:dyDescent="0.2">
      <c r="A181" s="701"/>
      <c r="B181" s="704"/>
      <c r="C181" s="777" t="s">
        <v>1303</v>
      </c>
      <c r="D181" s="701">
        <v>221927</v>
      </c>
      <c r="E181" s="705"/>
      <c r="F181" s="705"/>
      <c r="G181" s="705"/>
      <c r="H181" s="705"/>
      <c r="I181" s="705"/>
      <c r="J181" s="705"/>
      <c r="K181" s="705"/>
      <c r="L181" s="705"/>
      <c r="M181" s="705"/>
      <c r="N181" s="705"/>
      <c r="O181" s="596">
        <f>SUM(E181:N181)</f>
        <v>0</v>
      </c>
    </row>
    <row r="182" spans="1:15" s="158" customFormat="1" ht="13.5" customHeight="1" x14ac:dyDescent="0.2">
      <c r="A182" s="833"/>
      <c r="B182" s="828"/>
      <c r="C182" s="837" t="s">
        <v>1473</v>
      </c>
      <c r="D182" s="848">
        <v>221951</v>
      </c>
      <c r="E182" s="847"/>
      <c r="F182" s="847"/>
      <c r="G182" s="847"/>
      <c r="H182" s="847"/>
      <c r="I182" s="847"/>
      <c r="J182" s="847">
        <v>100</v>
      </c>
      <c r="K182" s="847"/>
      <c r="L182" s="847"/>
      <c r="M182" s="847"/>
      <c r="N182" s="847"/>
      <c r="O182" s="596">
        <f>SUM(E182:N182)</f>
        <v>100</v>
      </c>
    </row>
    <row r="183" spans="1:15" s="158" customFormat="1" ht="23.25" hidden="1" customHeight="1" x14ac:dyDescent="0.2">
      <c r="A183" s="701"/>
      <c r="B183" s="704"/>
      <c r="C183" s="706" t="s">
        <v>356</v>
      </c>
      <c r="D183" s="707"/>
      <c r="E183" s="705"/>
      <c r="F183" s="705"/>
      <c r="G183" s="705"/>
      <c r="H183" s="705"/>
      <c r="I183" s="705"/>
      <c r="J183" s="705"/>
      <c r="K183" s="705"/>
      <c r="L183" s="705"/>
      <c r="M183" s="705"/>
      <c r="N183" s="705"/>
      <c r="O183" s="596"/>
    </row>
    <row r="184" spans="1:15" s="158" customFormat="1" ht="24" hidden="1" customHeight="1" x14ac:dyDescent="0.2">
      <c r="A184" s="701"/>
      <c r="B184" s="704"/>
      <c r="C184" s="702" t="s">
        <v>1411</v>
      </c>
      <c r="D184" s="701">
        <v>221956</v>
      </c>
      <c r="E184" s="705"/>
      <c r="F184" s="705"/>
      <c r="G184" s="705"/>
      <c r="H184" s="705"/>
      <c r="I184" s="705"/>
      <c r="J184" s="705"/>
      <c r="K184" s="705"/>
      <c r="L184" s="705"/>
      <c r="M184" s="705"/>
      <c r="N184" s="705"/>
      <c r="O184" s="596">
        <f>SUM(E184:N184)</f>
        <v>0</v>
      </c>
    </row>
    <row r="185" spans="1:15" s="158" customFormat="1" ht="24" hidden="1" customHeight="1" x14ac:dyDescent="0.2">
      <c r="A185" s="701"/>
      <c r="B185" s="704"/>
      <c r="C185" s="702" t="s">
        <v>1360</v>
      </c>
      <c r="D185" s="701">
        <v>221942</v>
      </c>
      <c r="E185" s="705"/>
      <c r="F185" s="705"/>
      <c r="G185" s="705"/>
      <c r="H185" s="705"/>
      <c r="I185" s="705"/>
      <c r="J185" s="705"/>
      <c r="K185" s="705"/>
      <c r="L185" s="705"/>
      <c r="M185" s="705"/>
      <c r="N185" s="705"/>
      <c r="O185" s="596">
        <f>SUM(E185:N185)</f>
        <v>0</v>
      </c>
    </row>
    <row r="186" spans="1:15" s="158" customFormat="1" ht="17.100000000000001" hidden="1" customHeight="1" x14ac:dyDescent="0.2">
      <c r="A186" s="701"/>
      <c r="B186" s="704"/>
      <c r="C186" s="702" t="s">
        <v>1412</v>
      </c>
      <c r="D186" s="701" t="s">
        <v>1413</v>
      </c>
      <c r="E186" s="705"/>
      <c r="F186" s="705"/>
      <c r="G186" s="705"/>
      <c r="H186" s="705"/>
      <c r="I186" s="705"/>
      <c r="J186" s="705"/>
      <c r="K186" s="705"/>
      <c r="L186" s="705"/>
      <c r="M186" s="705"/>
      <c r="N186" s="705"/>
      <c r="O186" s="596">
        <f>SUM(E186:N186)</f>
        <v>0</v>
      </c>
    </row>
    <row r="187" spans="1:15" s="158" customFormat="1" ht="17.100000000000001" customHeight="1" x14ac:dyDescent="0.2">
      <c r="A187" s="181"/>
      <c r="B187" s="174"/>
      <c r="C187" s="530" t="s">
        <v>464</v>
      </c>
      <c r="D187" s="531"/>
      <c r="E187" s="532">
        <f t="shared" ref="E187:O187" si="15">SUM(E178:E186)</f>
        <v>0</v>
      </c>
      <c r="F187" s="532">
        <f t="shared" si="15"/>
        <v>0</v>
      </c>
      <c r="G187" s="532">
        <f t="shared" si="15"/>
        <v>0</v>
      </c>
      <c r="H187" s="532">
        <f t="shared" si="15"/>
        <v>4252</v>
      </c>
      <c r="I187" s="532">
        <f t="shared" si="15"/>
        <v>0</v>
      </c>
      <c r="J187" s="532">
        <f t="shared" si="15"/>
        <v>100</v>
      </c>
      <c r="K187" s="532">
        <f t="shared" si="15"/>
        <v>0</v>
      </c>
      <c r="L187" s="532">
        <f t="shared" si="15"/>
        <v>0</v>
      </c>
      <c r="M187" s="532">
        <f t="shared" si="15"/>
        <v>0</v>
      </c>
      <c r="N187" s="532">
        <f t="shared" si="15"/>
        <v>0</v>
      </c>
      <c r="O187" s="532">
        <f t="shared" si="15"/>
        <v>4352</v>
      </c>
    </row>
    <row r="188" spans="1:15" s="158" customFormat="1" ht="24.95" customHeight="1" x14ac:dyDescent="0.2">
      <c r="A188" s="174"/>
      <c r="B188" s="174"/>
      <c r="C188" s="564" t="s">
        <v>21</v>
      </c>
      <c r="D188" s="565"/>
      <c r="E188" s="532">
        <f t="shared" ref="E188:O188" si="16">SUM(E8+E20+E24+E49+E104+E129+E138+E175+E177+E187)</f>
        <v>87641</v>
      </c>
      <c r="F188" s="532">
        <f t="shared" si="16"/>
        <v>337401</v>
      </c>
      <c r="G188" s="532">
        <f t="shared" si="16"/>
        <v>0</v>
      </c>
      <c r="H188" s="532">
        <f t="shared" si="16"/>
        <v>152481</v>
      </c>
      <c r="I188" s="532">
        <f t="shared" si="16"/>
        <v>5408</v>
      </c>
      <c r="J188" s="532">
        <f t="shared" si="16"/>
        <v>6256</v>
      </c>
      <c r="K188" s="532">
        <f t="shared" si="16"/>
        <v>1000</v>
      </c>
      <c r="L188" s="532">
        <f t="shared" si="16"/>
        <v>0</v>
      </c>
      <c r="M188" s="532">
        <f t="shared" si="16"/>
        <v>0</v>
      </c>
      <c r="N188" s="532">
        <f t="shared" si="16"/>
        <v>232861</v>
      </c>
      <c r="O188" s="532">
        <f t="shared" si="16"/>
        <v>823048</v>
      </c>
    </row>
    <row r="189" spans="1:15" s="158" customFormat="1" ht="15.95" customHeight="1" x14ac:dyDescent="0.2">
      <c r="A189" s="168">
        <v>2</v>
      </c>
      <c r="B189" s="168"/>
      <c r="C189" s="566" t="s">
        <v>237</v>
      </c>
      <c r="D189" s="567"/>
      <c r="E189" s="514">
        <f>táj.3!C21</f>
        <v>94762</v>
      </c>
      <c r="F189" s="514">
        <f>táj.3!D21</f>
        <v>800</v>
      </c>
      <c r="G189" s="514">
        <f>táj.3!E21</f>
        <v>0</v>
      </c>
      <c r="H189" s="514">
        <f>táj.3!F21</f>
        <v>-65674</v>
      </c>
      <c r="I189" s="514">
        <f>táj.3!G21</f>
        <v>780</v>
      </c>
      <c r="J189" s="514">
        <f>táj.3!H21</f>
        <v>200</v>
      </c>
      <c r="K189" s="514">
        <f>táj.3!I21</f>
        <v>650</v>
      </c>
      <c r="L189" s="514"/>
      <c r="M189" s="514">
        <f>táj.3!J21</f>
        <v>0</v>
      </c>
      <c r="N189" s="514"/>
      <c r="O189" s="514">
        <f>SUM(E189:N189)</f>
        <v>31518</v>
      </c>
    </row>
    <row r="190" spans="1:15" s="158" customFormat="1" ht="15.95" customHeight="1" x14ac:dyDescent="0.2">
      <c r="A190" s="174"/>
      <c r="B190" s="174"/>
      <c r="C190" s="568" t="s">
        <v>227</v>
      </c>
      <c r="D190" s="531"/>
      <c r="E190" s="532">
        <f>SUM(E188:E189)</f>
        <v>182403</v>
      </c>
      <c r="F190" s="532">
        <f>SUM(F188:F189)</f>
        <v>338201</v>
      </c>
      <c r="G190" s="532">
        <f t="shared" ref="G190:O190" si="17">SUM(G188:G189)+G176</f>
        <v>0</v>
      </c>
      <c r="H190" s="532">
        <f t="shared" si="17"/>
        <v>86807</v>
      </c>
      <c r="I190" s="532">
        <f t="shared" si="17"/>
        <v>6188</v>
      </c>
      <c r="J190" s="532">
        <f t="shared" si="17"/>
        <v>6456</v>
      </c>
      <c r="K190" s="532">
        <f t="shared" si="17"/>
        <v>1650</v>
      </c>
      <c r="L190" s="532">
        <f t="shared" si="17"/>
        <v>0</v>
      </c>
      <c r="M190" s="532">
        <f t="shared" si="17"/>
        <v>0</v>
      </c>
      <c r="N190" s="532">
        <f t="shared" si="17"/>
        <v>232861</v>
      </c>
      <c r="O190" s="532">
        <f t="shared" si="17"/>
        <v>854566</v>
      </c>
    </row>
    <row r="191" spans="1:15" x14ac:dyDescent="0.2">
      <c r="O191" s="184"/>
    </row>
    <row r="192" spans="1:15" x14ac:dyDescent="0.2">
      <c r="O192" s="184"/>
    </row>
    <row r="193" spans="13:15" x14ac:dyDescent="0.2">
      <c r="M193" s="935"/>
      <c r="N193" s="935"/>
      <c r="O193" s="184"/>
    </row>
    <row r="194" spans="13:15" x14ac:dyDescent="0.2">
      <c r="M194" s="935"/>
      <c r="N194" s="935"/>
      <c r="O194" s="184"/>
    </row>
    <row r="195" spans="13:15" x14ac:dyDescent="0.2">
      <c r="M195" s="935"/>
      <c r="N195" s="935"/>
    </row>
    <row r="196" spans="13:15" x14ac:dyDescent="0.2">
      <c r="O196" s="184"/>
    </row>
  </sheetData>
  <mergeCells count="10">
    <mergeCell ref="O1:O2"/>
    <mergeCell ref="M193:N193"/>
    <mergeCell ref="M194:N194"/>
    <mergeCell ref="M195:N195"/>
    <mergeCell ref="A1:A2"/>
    <mergeCell ref="B1:B2"/>
    <mergeCell ref="C1:C2"/>
    <mergeCell ref="D1:D2"/>
    <mergeCell ref="E1:K1"/>
    <mergeCell ref="L1:N1"/>
  </mergeCells>
  <printOptions horizontalCentered="1" verticalCentered="1"/>
  <pageMargins left="0.19685039370078741" right="0.19685039370078741" top="0.98425196850393704" bottom="0.82677165354330717" header="0.59055118110236227" footer="0.51181102362204722"/>
  <pageSetup paperSize="9" scale="75" orientation="landscape" horizontalDpi="300" verticalDpi="300" r:id="rId1"/>
  <headerFooter alignWithMargins="0">
    <oddHeader>&amp;C&amp;"Times New Roman,Félkövér dőlt" ZALAEGERSZEG MEGYEI JOGÚ VÁROS ÖNKORMÁNYZATA 2020. ÉVI 
BEVÉTELI ELŐIRÁNYZATAINAK MÓDOSÍTÁSA A III. NEGYEDÉVBEN&amp;R&amp;"Times New Roman,Félkövér dőlt"1. tájékoztató tábla
Adatok ezer Ft-ban</oddHeader>
    <oddFooter>&amp;P. oldal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839"/>
  <sheetViews>
    <sheetView zoomScale="96" zoomScaleNormal="96" zoomScaleSheetLayoutView="120" workbookViewId="0">
      <pane ySplit="2" topLeftCell="A812" activePane="bottomLeft" state="frozen"/>
      <selection pane="bottomLeft" activeCell="D797" sqref="D797"/>
    </sheetView>
  </sheetViews>
  <sheetFormatPr defaultRowHeight="12" x14ac:dyDescent="0.2"/>
  <cols>
    <col min="1" max="2" width="4.5" style="1" customWidth="1"/>
    <col min="3" max="3" width="8.6640625" style="1" customWidth="1"/>
    <col min="4" max="4" width="49.1640625" style="1" customWidth="1"/>
    <col min="5" max="5" width="3.1640625" style="1" customWidth="1"/>
    <col min="6" max="6" width="8.6640625" style="1" customWidth="1"/>
    <col min="7" max="7" width="10.5" style="1" customWidth="1"/>
    <col min="8" max="8" width="10.1640625" style="1" customWidth="1"/>
    <col min="9" max="9" width="11" style="1" customWidth="1"/>
    <col min="10" max="10" width="10.33203125" style="1" customWidth="1"/>
    <col min="11" max="11" width="9.83203125" style="1" customWidth="1"/>
    <col min="12" max="12" width="11.1640625" style="1" customWidth="1"/>
    <col min="13" max="13" width="10.5" style="458" customWidth="1"/>
    <col min="14" max="14" width="8.83203125" style="458" customWidth="1"/>
    <col min="15" max="15" width="10.33203125" style="1" customWidth="1"/>
    <col min="16" max="16" width="12.33203125" style="1" customWidth="1"/>
    <col min="17" max="17" width="12.5" style="1" customWidth="1"/>
    <col min="18" max="245" width="9.33203125" style="1"/>
    <col min="246" max="247" width="4.5" style="1" customWidth="1"/>
    <col min="248" max="248" width="8.6640625" style="1" customWidth="1"/>
    <col min="249" max="249" width="49.1640625" style="1" customWidth="1"/>
    <col min="250" max="250" width="3.1640625" style="1" customWidth="1"/>
    <col min="251" max="251" width="8.6640625" style="1" customWidth="1"/>
    <col min="252" max="252" width="10.5" style="1" customWidth="1"/>
    <col min="253" max="253" width="10.1640625" style="1" customWidth="1"/>
    <col min="254" max="254" width="11" style="1" customWidth="1"/>
    <col min="255" max="255" width="10.33203125" style="1" customWidth="1"/>
    <col min="256" max="256" width="9.83203125" style="1" customWidth="1"/>
    <col min="257" max="257" width="11.1640625" style="1" customWidth="1"/>
    <col min="258" max="258" width="10.5" style="1" customWidth="1"/>
    <col min="259" max="259" width="8.83203125" style="1" customWidth="1"/>
    <col min="260" max="260" width="10.33203125" style="1" customWidth="1"/>
    <col min="261" max="261" width="10.6640625" style="1" customWidth="1"/>
    <col min="262" max="262" width="12.5" style="1" customWidth="1"/>
    <col min="263" max="263" width="11.83203125" style="1" customWidth="1"/>
    <col min="264" max="264" width="11.1640625" style="1" customWidth="1"/>
    <col min="265" max="265" width="11" style="1" customWidth="1"/>
    <col min="266" max="266" width="11.1640625" style="1" customWidth="1"/>
    <col min="267" max="267" width="10.1640625" style="1" customWidth="1"/>
    <col min="268" max="268" width="11.83203125" style="1" customWidth="1"/>
    <col min="269" max="269" width="9.33203125" style="1"/>
    <col min="270" max="270" width="10.1640625" style="1" customWidth="1"/>
    <col min="271" max="271" width="10" style="1" customWidth="1"/>
    <col min="272" max="272" width="10.83203125" style="1" customWidth="1"/>
    <col min="273" max="273" width="11.33203125" style="1" customWidth="1"/>
    <col min="274" max="501" width="9.33203125" style="1"/>
    <col min="502" max="503" width="4.5" style="1" customWidth="1"/>
    <col min="504" max="504" width="8.6640625" style="1" customWidth="1"/>
    <col min="505" max="505" width="49.1640625" style="1" customWidth="1"/>
    <col min="506" max="506" width="3.1640625" style="1" customWidth="1"/>
    <col min="507" max="507" width="8.6640625" style="1" customWidth="1"/>
    <col min="508" max="508" width="10.5" style="1" customWidth="1"/>
    <col min="509" max="509" width="10.1640625" style="1" customWidth="1"/>
    <col min="510" max="510" width="11" style="1" customWidth="1"/>
    <col min="511" max="511" width="10.33203125" style="1" customWidth="1"/>
    <col min="512" max="512" width="9.83203125" style="1" customWidth="1"/>
    <col min="513" max="513" width="11.1640625" style="1" customWidth="1"/>
    <col min="514" max="514" width="10.5" style="1" customWidth="1"/>
    <col min="515" max="515" width="8.83203125" style="1" customWidth="1"/>
    <col min="516" max="516" width="10.33203125" style="1" customWidth="1"/>
    <col min="517" max="517" width="10.6640625" style="1" customWidth="1"/>
    <col min="518" max="518" width="12.5" style="1" customWidth="1"/>
    <col min="519" max="519" width="11.83203125" style="1" customWidth="1"/>
    <col min="520" max="520" width="11.1640625" style="1" customWidth="1"/>
    <col min="521" max="521" width="11" style="1" customWidth="1"/>
    <col min="522" max="522" width="11.1640625" style="1" customWidth="1"/>
    <col min="523" max="523" width="10.1640625" style="1" customWidth="1"/>
    <col min="524" max="524" width="11.83203125" style="1" customWidth="1"/>
    <col min="525" max="525" width="9.33203125" style="1"/>
    <col min="526" max="526" width="10.1640625" style="1" customWidth="1"/>
    <col min="527" max="527" width="10" style="1" customWidth="1"/>
    <col min="528" max="528" width="10.83203125" style="1" customWidth="1"/>
    <col min="529" max="529" width="11.33203125" style="1" customWidth="1"/>
    <col min="530" max="757" width="9.33203125" style="1"/>
    <col min="758" max="759" width="4.5" style="1" customWidth="1"/>
    <col min="760" max="760" width="8.6640625" style="1" customWidth="1"/>
    <col min="761" max="761" width="49.1640625" style="1" customWidth="1"/>
    <col min="762" max="762" width="3.1640625" style="1" customWidth="1"/>
    <col min="763" max="763" width="8.6640625" style="1" customWidth="1"/>
    <col min="764" max="764" width="10.5" style="1" customWidth="1"/>
    <col min="765" max="765" width="10.1640625" style="1" customWidth="1"/>
    <col min="766" max="766" width="11" style="1" customWidth="1"/>
    <col min="767" max="767" width="10.33203125" style="1" customWidth="1"/>
    <col min="768" max="768" width="9.83203125" style="1" customWidth="1"/>
    <col min="769" max="769" width="11.1640625" style="1" customWidth="1"/>
    <col min="770" max="770" width="10.5" style="1" customWidth="1"/>
    <col min="771" max="771" width="8.83203125" style="1" customWidth="1"/>
    <col min="772" max="772" width="10.33203125" style="1" customWidth="1"/>
    <col min="773" max="773" width="10.6640625" style="1" customWidth="1"/>
    <col min="774" max="774" width="12.5" style="1" customWidth="1"/>
    <col min="775" max="775" width="11.83203125" style="1" customWidth="1"/>
    <col min="776" max="776" width="11.1640625" style="1" customWidth="1"/>
    <col min="777" max="777" width="11" style="1" customWidth="1"/>
    <col min="778" max="778" width="11.1640625" style="1" customWidth="1"/>
    <col min="779" max="779" width="10.1640625" style="1" customWidth="1"/>
    <col min="780" max="780" width="11.83203125" style="1" customWidth="1"/>
    <col min="781" max="781" width="9.33203125" style="1"/>
    <col min="782" max="782" width="10.1640625" style="1" customWidth="1"/>
    <col min="783" max="783" width="10" style="1" customWidth="1"/>
    <col min="784" max="784" width="10.83203125" style="1" customWidth="1"/>
    <col min="785" max="785" width="11.33203125" style="1" customWidth="1"/>
    <col min="786" max="1013" width="9.33203125" style="1"/>
    <col min="1014" max="1015" width="4.5" style="1" customWidth="1"/>
    <col min="1016" max="1016" width="8.6640625" style="1" customWidth="1"/>
    <col min="1017" max="1017" width="49.1640625" style="1" customWidth="1"/>
    <col min="1018" max="1018" width="3.1640625" style="1" customWidth="1"/>
    <col min="1019" max="1019" width="8.6640625" style="1" customWidth="1"/>
    <col min="1020" max="1020" width="10.5" style="1" customWidth="1"/>
    <col min="1021" max="1021" width="10.1640625" style="1" customWidth="1"/>
    <col min="1022" max="1022" width="11" style="1" customWidth="1"/>
    <col min="1023" max="1023" width="10.33203125" style="1" customWidth="1"/>
    <col min="1024" max="1024" width="9.83203125" style="1" customWidth="1"/>
    <col min="1025" max="1025" width="11.1640625" style="1" customWidth="1"/>
    <col min="1026" max="1026" width="10.5" style="1" customWidth="1"/>
    <col min="1027" max="1027" width="8.83203125" style="1" customWidth="1"/>
    <col min="1028" max="1028" width="10.33203125" style="1" customWidth="1"/>
    <col min="1029" max="1029" width="10.6640625" style="1" customWidth="1"/>
    <col min="1030" max="1030" width="12.5" style="1" customWidth="1"/>
    <col min="1031" max="1031" width="11.83203125" style="1" customWidth="1"/>
    <col min="1032" max="1032" width="11.1640625" style="1" customWidth="1"/>
    <col min="1033" max="1033" width="11" style="1" customWidth="1"/>
    <col min="1034" max="1034" width="11.1640625" style="1" customWidth="1"/>
    <col min="1035" max="1035" width="10.1640625" style="1" customWidth="1"/>
    <col min="1036" max="1036" width="11.83203125" style="1" customWidth="1"/>
    <col min="1037" max="1037" width="9.33203125" style="1"/>
    <col min="1038" max="1038" width="10.1640625" style="1" customWidth="1"/>
    <col min="1039" max="1039" width="10" style="1" customWidth="1"/>
    <col min="1040" max="1040" width="10.83203125" style="1" customWidth="1"/>
    <col min="1041" max="1041" width="11.33203125" style="1" customWidth="1"/>
    <col min="1042" max="1269" width="9.33203125" style="1"/>
    <col min="1270" max="1271" width="4.5" style="1" customWidth="1"/>
    <col min="1272" max="1272" width="8.6640625" style="1" customWidth="1"/>
    <col min="1273" max="1273" width="49.1640625" style="1" customWidth="1"/>
    <col min="1274" max="1274" width="3.1640625" style="1" customWidth="1"/>
    <col min="1275" max="1275" width="8.6640625" style="1" customWidth="1"/>
    <col min="1276" max="1276" width="10.5" style="1" customWidth="1"/>
    <col min="1277" max="1277" width="10.1640625" style="1" customWidth="1"/>
    <col min="1278" max="1278" width="11" style="1" customWidth="1"/>
    <col min="1279" max="1279" width="10.33203125" style="1" customWidth="1"/>
    <col min="1280" max="1280" width="9.83203125" style="1" customWidth="1"/>
    <col min="1281" max="1281" width="11.1640625" style="1" customWidth="1"/>
    <col min="1282" max="1282" width="10.5" style="1" customWidth="1"/>
    <col min="1283" max="1283" width="8.83203125" style="1" customWidth="1"/>
    <col min="1284" max="1284" width="10.33203125" style="1" customWidth="1"/>
    <col min="1285" max="1285" width="10.6640625" style="1" customWidth="1"/>
    <col min="1286" max="1286" width="12.5" style="1" customWidth="1"/>
    <col min="1287" max="1287" width="11.83203125" style="1" customWidth="1"/>
    <col min="1288" max="1288" width="11.1640625" style="1" customWidth="1"/>
    <col min="1289" max="1289" width="11" style="1" customWidth="1"/>
    <col min="1290" max="1290" width="11.1640625" style="1" customWidth="1"/>
    <col min="1291" max="1291" width="10.1640625" style="1" customWidth="1"/>
    <col min="1292" max="1292" width="11.83203125" style="1" customWidth="1"/>
    <col min="1293" max="1293" width="9.33203125" style="1"/>
    <col min="1294" max="1294" width="10.1640625" style="1" customWidth="1"/>
    <col min="1295" max="1295" width="10" style="1" customWidth="1"/>
    <col min="1296" max="1296" width="10.83203125" style="1" customWidth="1"/>
    <col min="1297" max="1297" width="11.33203125" style="1" customWidth="1"/>
    <col min="1298" max="1525" width="9.33203125" style="1"/>
    <col min="1526" max="1527" width="4.5" style="1" customWidth="1"/>
    <col min="1528" max="1528" width="8.6640625" style="1" customWidth="1"/>
    <col min="1529" max="1529" width="49.1640625" style="1" customWidth="1"/>
    <col min="1530" max="1530" width="3.1640625" style="1" customWidth="1"/>
    <col min="1531" max="1531" width="8.6640625" style="1" customWidth="1"/>
    <col min="1532" max="1532" width="10.5" style="1" customWidth="1"/>
    <col min="1533" max="1533" width="10.1640625" style="1" customWidth="1"/>
    <col min="1534" max="1534" width="11" style="1" customWidth="1"/>
    <col min="1535" max="1535" width="10.33203125" style="1" customWidth="1"/>
    <col min="1536" max="1536" width="9.83203125" style="1" customWidth="1"/>
    <col min="1537" max="1537" width="11.1640625" style="1" customWidth="1"/>
    <col min="1538" max="1538" width="10.5" style="1" customWidth="1"/>
    <col min="1539" max="1539" width="8.83203125" style="1" customWidth="1"/>
    <col min="1540" max="1540" width="10.33203125" style="1" customWidth="1"/>
    <col min="1541" max="1541" width="10.6640625" style="1" customWidth="1"/>
    <col min="1542" max="1542" width="12.5" style="1" customWidth="1"/>
    <col min="1543" max="1543" width="11.83203125" style="1" customWidth="1"/>
    <col min="1544" max="1544" width="11.1640625" style="1" customWidth="1"/>
    <col min="1545" max="1545" width="11" style="1" customWidth="1"/>
    <col min="1546" max="1546" width="11.1640625" style="1" customWidth="1"/>
    <col min="1547" max="1547" width="10.1640625" style="1" customWidth="1"/>
    <col min="1548" max="1548" width="11.83203125" style="1" customWidth="1"/>
    <col min="1549" max="1549" width="9.33203125" style="1"/>
    <col min="1550" max="1550" width="10.1640625" style="1" customWidth="1"/>
    <col min="1551" max="1551" width="10" style="1" customWidth="1"/>
    <col min="1552" max="1552" width="10.83203125" style="1" customWidth="1"/>
    <col min="1553" max="1553" width="11.33203125" style="1" customWidth="1"/>
    <col min="1554" max="1781" width="9.33203125" style="1"/>
    <col min="1782" max="1783" width="4.5" style="1" customWidth="1"/>
    <col min="1784" max="1784" width="8.6640625" style="1" customWidth="1"/>
    <col min="1785" max="1785" width="49.1640625" style="1" customWidth="1"/>
    <col min="1786" max="1786" width="3.1640625" style="1" customWidth="1"/>
    <col min="1787" max="1787" width="8.6640625" style="1" customWidth="1"/>
    <col min="1788" max="1788" width="10.5" style="1" customWidth="1"/>
    <col min="1789" max="1789" width="10.1640625" style="1" customWidth="1"/>
    <col min="1790" max="1790" width="11" style="1" customWidth="1"/>
    <col min="1791" max="1791" width="10.33203125" style="1" customWidth="1"/>
    <col min="1792" max="1792" width="9.83203125" style="1" customWidth="1"/>
    <col min="1793" max="1793" width="11.1640625" style="1" customWidth="1"/>
    <col min="1794" max="1794" width="10.5" style="1" customWidth="1"/>
    <col min="1795" max="1795" width="8.83203125" style="1" customWidth="1"/>
    <col min="1796" max="1796" width="10.33203125" style="1" customWidth="1"/>
    <col min="1797" max="1797" width="10.6640625" style="1" customWidth="1"/>
    <col min="1798" max="1798" width="12.5" style="1" customWidth="1"/>
    <col min="1799" max="1799" width="11.83203125" style="1" customWidth="1"/>
    <col min="1800" max="1800" width="11.1640625" style="1" customWidth="1"/>
    <col min="1801" max="1801" width="11" style="1" customWidth="1"/>
    <col min="1802" max="1802" width="11.1640625" style="1" customWidth="1"/>
    <col min="1803" max="1803" width="10.1640625" style="1" customWidth="1"/>
    <col min="1804" max="1804" width="11.83203125" style="1" customWidth="1"/>
    <col min="1805" max="1805" width="9.33203125" style="1"/>
    <col min="1806" max="1806" width="10.1640625" style="1" customWidth="1"/>
    <col min="1807" max="1807" width="10" style="1" customWidth="1"/>
    <col min="1808" max="1808" width="10.83203125" style="1" customWidth="1"/>
    <col min="1809" max="1809" width="11.33203125" style="1" customWidth="1"/>
    <col min="1810" max="2037" width="9.33203125" style="1"/>
    <col min="2038" max="2039" width="4.5" style="1" customWidth="1"/>
    <col min="2040" max="2040" width="8.6640625" style="1" customWidth="1"/>
    <col min="2041" max="2041" width="49.1640625" style="1" customWidth="1"/>
    <col min="2042" max="2042" width="3.1640625" style="1" customWidth="1"/>
    <col min="2043" max="2043" width="8.6640625" style="1" customWidth="1"/>
    <col min="2044" max="2044" width="10.5" style="1" customWidth="1"/>
    <col min="2045" max="2045" width="10.1640625" style="1" customWidth="1"/>
    <col min="2046" max="2046" width="11" style="1" customWidth="1"/>
    <col min="2047" max="2047" width="10.33203125" style="1" customWidth="1"/>
    <col min="2048" max="2048" width="9.83203125" style="1" customWidth="1"/>
    <col min="2049" max="2049" width="11.1640625" style="1" customWidth="1"/>
    <col min="2050" max="2050" width="10.5" style="1" customWidth="1"/>
    <col min="2051" max="2051" width="8.83203125" style="1" customWidth="1"/>
    <col min="2052" max="2052" width="10.33203125" style="1" customWidth="1"/>
    <col min="2053" max="2053" width="10.6640625" style="1" customWidth="1"/>
    <col min="2054" max="2054" width="12.5" style="1" customWidth="1"/>
    <col min="2055" max="2055" width="11.83203125" style="1" customWidth="1"/>
    <col min="2056" max="2056" width="11.1640625" style="1" customWidth="1"/>
    <col min="2057" max="2057" width="11" style="1" customWidth="1"/>
    <col min="2058" max="2058" width="11.1640625" style="1" customWidth="1"/>
    <col min="2059" max="2059" width="10.1640625" style="1" customWidth="1"/>
    <col min="2060" max="2060" width="11.83203125" style="1" customWidth="1"/>
    <col min="2061" max="2061" width="9.33203125" style="1"/>
    <col min="2062" max="2062" width="10.1640625" style="1" customWidth="1"/>
    <col min="2063" max="2063" width="10" style="1" customWidth="1"/>
    <col min="2064" max="2064" width="10.83203125" style="1" customWidth="1"/>
    <col min="2065" max="2065" width="11.33203125" style="1" customWidth="1"/>
    <col min="2066" max="2293" width="9.33203125" style="1"/>
    <col min="2294" max="2295" width="4.5" style="1" customWidth="1"/>
    <col min="2296" max="2296" width="8.6640625" style="1" customWidth="1"/>
    <col min="2297" max="2297" width="49.1640625" style="1" customWidth="1"/>
    <col min="2298" max="2298" width="3.1640625" style="1" customWidth="1"/>
    <col min="2299" max="2299" width="8.6640625" style="1" customWidth="1"/>
    <col min="2300" max="2300" width="10.5" style="1" customWidth="1"/>
    <col min="2301" max="2301" width="10.1640625" style="1" customWidth="1"/>
    <col min="2302" max="2302" width="11" style="1" customWidth="1"/>
    <col min="2303" max="2303" width="10.33203125" style="1" customWidth="1"/>
    <col min="2304" max="2304" width="9.83203125" style="1" customWidth="1"/>
    <col min="2305" max="2305" width="11.1640625" style="1" customWidth="1"/>
    <col min="2306" max="2306" width="10.5" style="1" customWidth="1"/>
    <col min="2307" max="2307" width="8.83203125" style="1" customWidth="1"/>
    <col min="2308" max="2308" width="10.33203125" style="1" customWidth="1"/>
    <col min="2309" max="2309" width="10.6640625" style="1" customWidth="1"/>
    <col min="2310" max="2310" width="12.5" style="1" customWidth="1"/>
    <col min="2311" max="2311" width="11.83203125" style="1" customWidth="1"/>
    <col min="2312" max="2312" width="11.1640625" style="1" customWidth="1"/>
    <col min="2313" max="2313" width="11" style="1" customWidth="1"/>
    <col min="2314" max="2314" width="11.1640625" style="1" customWidth="1"/>
    <col min="2315" max="2315" width="10.1640625" style="1" customWidth="1"/>
    <col min="2316" max="2316" width="11.83203125" style="1" customWidth="1"/>
    <col min="2317" max="2317" width="9.33203125" style="1"/>
    <col min="2318" max="2318" width="10.1640625" style="1" customWidth="1"/>
    <col min="2319" max="2319" width="10" style="1" customWidth="1"/>
    <col min="2320" max="2320" width="10.83203125" style="1" customWidth="1"/>
    <col min="2321" max="2321" width="11.33203125" style="1" customWidth="1"/>
    <col min="2322" max="2549" width="9.33203125" style="1"/>
    <col min="2550" max="2551" width="4.5" style="1" customWidth="1"/>
    <col min="2552" max="2552" width="8.6640625" style="1" customWidth="1"/>
    <col min="2553" max="2553" width="49.1640625" style="1" customWidth="1"/>
    <col min="2554" max="2554" width="3.1640625" style="1" customWidth="1"/>
    <col min="2555" max="2555" width="8.6640625" style="1" customWidth="1"/>
    <col min="2556" max="2556" width="10.5" style="1" customWidth="1"/>
    <col min="2557" max="2557" width="10.1640625" style="1" customWidth="1"/>
    <col min="2558" max="2558" width="11" style="1" customWidth="1"/>
    <col min="2559" max="2559" width="10.33203125" style="1" customWidth="1"/>
    <col min="2560" max="2560" width="9.83203125" style="1" customWidth="1"/>
    <col min="2561" max="2561" width="11.1640625" style="1" customWidth="1"/>
    <col min="2562" max="2562" width="10.5" style="1" customWidth="1"/>
    <col min="2563" max="2563" width="8.83203125" style="1" customWidth="1"/>
    <col min="2564" max="2564" width="10.33203125" style="1" customWidth="1"/>
    <col min="2565" max="2565" width="10.6640625" style="1" customWidth="1"/>
    <col min="2566" max="2566" width="12.5" style="1" customWidth="1"/>
    <col min="2567" max="2567" width="11.83203125" style="1" customWidth="1"/>
    <col min="2568" max="2568" width="11.1640625" style="1" customWidth="1"/>
    <col min="2569" max="2569" width="11" style="1" customWidth="1"/>
    <col min="2570" max="2570" width="11.1640625" style="1" customWidth="1"/>
    <col min="2571" max="2571" width="10.1640625" style="1" customWidth="1"/>
    <col min="2572" max="2572" width="11.83203125" style="1" customWidth="1"/>
    <col min="2573" max="2573" width="9.33203125" style="1"/>
    <col min="2574" max="2574" width="10.1640625" style="1" customWidth="1"/>
    <col min="2575" max="2575" width="10" style="1" customWidth="1"/>
    <col min="2576" max="2576" width="10.83203125" style="1" customWidth="1"/>
    <col min="2577" max="2577" width="11.33203125" style="1" customWidth="1"/>
    <col min="2578" max="2805" width="9.33203125" style="1"/>
    <col min="2806" max="2807" width="4.5" style="1" customWidth="1"/>
    <col min="2808" max="2808" width="8.6640625" style="1" customWidth="1"/>
    <col min="2809" max="2809" width="49.1640625" style="1" customWidth="1"/>
    <col min="2810" max="2810" width="3.1640625" style="1" customWidth="1"/>
    <col min="2811" max="2811" width="8.6640625" style="1" customWidth="1"/>
    <col min="2812" max="2812" width="10.5" style="1" customWidth="1"/>
    <col min="2813" max="2813" width="10.1640625" style="1" customWidth="1"/>
    <col min="2814" max="2814" width="11" style="1" customWidth="1"/>
    <col min="2815" max="2815" width="10.33203125" style="1" customWidth="1"/>
    <col min="2816" max="2816" width="9.83203125" style="1" customWidth="1"/>
    <col min="2817" max="2817" width="11.1640625" style="1" customWidth="1"/>
    <col min="2818" max="2818" width="10.5" style="1" customWidth="1"/>
    <col min="2819" max="2819" width="8.83203125" style="1" customWidth="1"/>
    <col min="2820" max="2820" width="10.33203125" style="1" customWidth="1"/>
    <col min="2821" max="2821" width="10.6640625" style="1" customWidth="1"/>
    <col min="2822" max="2822" width="12.5" style="1" customWidth="1"/>
    <col min="2823" max="2823" width="11.83203125" style="1" customWidth="1"/>
    <col min="2824" max="2824" width="11.1640625" style="1" customWidth="1"/>
    <col min="2825" max="2825" width="11" style="1" customWidth="1"/>
    <col min="2826" max="2826" width="11.1640625" style="1" customWidth="1"/>
    <col min="2827" max="2827" width="10.1640625" style="1" customWidth="1"/>
    <col min="2828" max="2828" width="11.83203125" style="1" customWidth="1"/>
    <col min="2829" max="2829" width="9.33203125" style="1"/>
    <col min="2830" max="2830" width="10.1640625" style="1" customWidth="1"/>
    <col min="2831" max="2831" width="10" style="1" customWidth="1"/>
    <col min="2832" max="2832" width="10.83203125" style="1" customWidth="1"/>
    <col min="2833" max="2833" width="11.33203125" style="1" customWidth="1"/>
    <col min="2834" max="3061" width="9.33203125" style="1"/>
    <col min="3062" max="3063" width="4.5" style="1" customWidth="1"/>
    <col min="3064" max="3064" width="8.6640625" style="1" customWidth="1"/>
    <col min="3065" max="3065" width="49.1640625" style="1" customWidth="1"/>
    <col min="3066" max="3066" width="3.1640625" style="1" customWidth="1"/>
    <col min="3067" max="3067" width="8.6640625" style="1" customWidth="1"/>
    <col min="3068" max="3068" width="10.5" style="1" customWidth="1"/>
    <col min="3069" max="3069" width="10.1640625" style="1" customWidth="1"/>
    <col min="3070" max="3070" width="11" style="1" customWidth="1"/>
    <col min="3071" max="3071" width="10.33203125" style="1" customWidth="1"/>
    <col min="3072" max="3072" width="9.83203125" style="1" customWidth="1"/>
    <col min="3073" max="3073" width="11.1640625" style="1" customWidth="1"/>
    <col min="3074" max="3074" width="10.5" style="1" customWidth="1"/>
    <col min="3075" max="3075" width="8.83203125" style="1" customWidth="1"/>
    <col min="3076" max="3076" width="10.33203125" style="1" customWidth="1"/>
    <col min="3077" max="3077" width="10.6640625" style="1" customWidth="1"/>
    <col min="3078" max="3078" width="12.5" style="1" customWidth="1"/>
    <col min="3079" max="3079" width="11.83203125" style="1" customWidth="1"/>
    <col min="3080" max="3080" width="11.1640625" style="1" customWidth="1"/>
    <col min="3081" max="3081" width="11" style="1" customWidth="1"/>
    <col min="3082" max="3082" width="11.1640625" style="1" customWidth="1"/>
    <col min="3083" max="3083" width="10.1640625" style="1" customWidth="1"/>
    <col min="3084" max="3084" width="11.83203125" style="1" customWidth="1"/>
    <col min="3085" max="3085" width="9.33203125" style="1"/>
    <col min="3086" max="3086" width="10.1640625" style="1" customWidth="1"/>
    <col min="3087" max="3087" width="10" style="1" customWidth="1"/>
    <col min="3088" max="3088" width="10.83203125" style="1" customWidth="1"/>
    <col min="3089" max="3089" width="11.33203125" style="1" customWidth="1"/>
    <col min="3090" max="3317" width="9.33203125" style="1"/>
    <col min="3318" max="3319" width="4.5" style="1" customWidth="1"/>
    <col min="3320" max="3320" width="8.6640625" style="1" customWidth="1"/>
    <col min="3321" max="3321" width="49.1640625" style="1" customWidth="1"/>
    <col min="3322" max="3322" width="3.1640625" style="1" customWidth="1"/>
    <col min="3323" max="3323" width="8.6640625" style="1" customWidth="1"/>
    <col min="3324" max="3324" width="10.5" style="1" customWidth="1"/>
    <col min="3325" max="3325" width="10.1640625" style="1" customWidth="1"/>
    <col min="3326" max="3326" width="11" style="1" customWidth="1"/>
    <col min="3327" max="3327" width="10.33203125" style="1" customWidth="1"/>
    <col min="3328" max="3328" width="9.83203125" style="1" customWidth="1"/>
    <col min="3329" max="3329" width="11.1640625" style="1" customWidth="1"/>
    <col min="3330" max="3330" width="10.5" style="1" customWidth="1"/>
    <col min="3331" max="3331" width="8.83203125" style="1" customWidth="1"/>
    <col min="3332" max="3332" width="10.33203125" style="1" customWidth="1"/>
    <col min="3333" max="3333" width="10.6640625" style="1" customWidth="1"/>
    <col min="3334" max="3334" width="12.5" style="1" customWidth="1"/>
    <col min="3335" max="3335" width="11.83203125" style="1" customWidth="1"/>
    <col min="3336" max="3336" width="11.1640625" style="1" customWidth="1"/>
    <col min="3337" max="3337" width="11" style="1" customWidth="1"/>
    <col min="3338" max="3338" width="11.1640625" style="1" customWidth="1"/>
    <col min="3339" max="3339" width="10.1640625" style="1" customWidth="1"/>
    <col min="3340" max="3340" width="11.83203125" style="1" customWidth="1"/>
    <col min="3341" max="3341" width="9.33203125" style="1"/>
    <col min="3342" max="3342" width="10.1640625" style="1" customWidth="1"/>
    <col min="3343" max="3343" width="10" style="1" customWidth="1"/>
    <col min="3344" max="3344" width="10.83203125" style="1" customWidth="1"/>
    <col min="3345" max="3345" width="11.33203125" style="1" customWidth="1"/>
    <col min="3346" max="3573" width="9.33203125" style="1"/>
    <col min="3574" max="3575" width="4.5" style="1" customWidth="1"/>
    <col min="3576" max="3576" width="8.6640625" style="1" customWidth="1"/>
    <col min="3577" max="3577" width="49.1640625" style="1" customWidth="1"/>
    <col min="3578" max="3578" width="3.1640625" style="1" customWidth="1"/>
    <col min="3579" max="3579" width="8.6640625" style="1" customWidth="1"/>
    <col min="3580" max="3580" width="10.5" style="1" customWidth="1"/>
    <col min="3581" max="3581" width="10.1640625" style="1" customWidth="1"/>
    <col min="3582" max="3582" width="11" style="1" customWidth="1"/>
    <col min="3583" max="3583" width="10.33203125" style="1" customWidth="1"/>
    <col min="3584" max="3584" width="9.83203125" style="1" customWidth="1"/>
    <col min="3585" max="3585" width="11.1640625" style="1" customWidth="1"/>
    <col min="3586" max="3586" width="10.5" style="1" customWidth="1"/>
    <col min="3587" max="3587" width="8.83203125" style="1" customWidth="1"/>
    <col min="3588" max="3588" width="10.33203125" style="1" customWidth="1"/>
    <col min="3589" max="3589" width="10.6640625" style="1" customWidth="1"/>
    <col min="3590" max="3590" width="12.5" style="1" customWidth="1"/>
    <col min="3591" max="3591" width="11.83203125" style="1" customWidth="1"/>
    <col min="3592" max="3592" width="11.1640625" style="1" customWidth="1"/>
    <col min="3593" max="3593" width="11" style="1" customWidth="1"/>
    <col min="3594" max="3594" width="11.1640625" style="1" customWidth="1"/>
    <col min="3595" max="3595" width="10.1640625" style="1" customWidth="1"/>
    <col min="3596" max="3596" width="11.83203125" style="1" customWidth="1"/>
    <col min="3597" max="3597" width="9.33203125" style="1"/>
    <col min="3598" max="3598" width="10.1640625" style="1" customWidth="1"/>
    <col min="3599" max="3599" width="10" style="1" customWidth="1"/>
    <col min="3600" max="3600" width="10.83203125" style="1" customWidth="1"/>
    <col min="3601" max="3601" width="11.33203125" style="1" customWidth="1"/>
    <col min="3602" max="3829" width="9.33203125" style="1"/>
    <col min="3830" max="3831" width="4.5" style="1" customWidth="1"/>
    <col min="3832" max="3832" width="8.6640625" style="1" customWidth="1"/>
    <col min="3833" max="3833" width="49.1640625" style="1" customWidth="1"/>
    <col min="3834" max="3834" width="3.1640625" style="1" customWidth="1"/>
    <col min="3835" max="3835" width="8.6640625" style="1" customWidth="1"/>
    <col min="3836" max="3836" width="10.5" style="1" customWidth="1"/>
    <col min="3837" max="3837" width="10.1640625" style="1" customWidth="1"/>
    <col min="3838" max="3838" width="11" style="1" customWidth="1"/>
    <col min="3839" max="3839" width="10.33203125" style="1" customWidth="1"/>
    <col min="3840" max="3840" width="9.83203125" style="1" customWidth="1"/>
    <col min="3841" max="3841" width="11.1640625" style="1" customWidth="1"/>
    <col min="3842" max="3842" width="10.5" style="1" customWidth="1"/>
    <col min="3843" max="3843" width="8.83203125" style="1" customWidth="1"/>
    <col min="3844" max="3844" width="10.33203125" style="1" customWidth="1"/>
    <col min="3845" max="3845" width="10.6640625" style="1" customWidth="1"/>
    <col min="3846" max="3846" width="12.5" style="1" customWidth="1"/>
    <col min="3847" max="3847" width="11.83203125" style="1" customWidth="1"/>
    <col min="3848" max="3848" width="11.1640625" style="1" customWidth="1"/>
    <col min="3849" max="3849" width="11" style="1" customWidth="1"/>
    <col min="3850" max="3850" width="11.1640625" style="1" customWidth="1"/>
    <col min="3851" max="3851" width="10.1640625" style="1" customWidth="1"/>
    <col min="3852" max="3852" width="11.83203125" style="1" customWidth="1"/>
    <col min="3853" max="3853" width="9.33203125" style="1"/>
    <col min="3854" max="3854" width="10.1640625" style="1" customWidth="1"/>
    <col min="3855" max="3855" width="10" style="1" customWidth="1"/>
    <col min="3856" max="3856" width="10.83203125" style="1" customWidth="1"/>
    <col min="3857" max="3857" width="11.33203125" style="1" customWidth="1"/>
    <col min="3858" max="4085" width="9.33203125" style="1"/>
    <col min="4086" max="4087" width="4.5" style="1" customWidth="1"/>
    <col min="4088" max="4088" width="8.6640625" style="1" customWidth="1"/>
    <col min="4089" max="4089" width="49.1640625" style="1" customWidth="1"/>
    <col min="4090" max="4090" width="3.1640625" style="1" customWidth="1"/>
    <col min="4091" max="4091" width="8.6640625" style="1" customWidth="1"/>
    <col min="4092" max="4092" width="10.5" style="1" customWidth="1"/>
    <col min="4093" max="4093" width="10.1640625" style="1" customWidth="1"/>
    <col min="4094" max="4094" width="11" style="1" customWidth="1"/>
    <col min="4095" max="4095" width="10.33203125" style="1" customWidth="1"/>
    <col min="4096" max="4096" width="9.83203125" style="1" customWidth="1"/>
    <col min="4097" max="4097" width="11.1640625" style="1" customWidth="1"/>
    <col min="4098" max="4098" width="10.5" style="1" customWidth="1"/>
    <col min="4099" max="4099" width="8.83203125" style="1" customWidth="1"/>
    <col min="4100" max="4100" width="10.33203125" style="1" customWidth="1"/>
    <col min="4101" max="4101" width="10.6640625" style="1" customWidth="1"/>
    <col min="4102" max="4102" width="12.5" style="1" customWidth="1"/>
    <col min="4103" max="4103" width="11.83203125" style="1" customWidth="1"/>
    <col min="4104" max="4104" width="11.1640625" style="1" customWidth="1"/>
    <col min="4105" max="4105" width="11" style="1" customWidth="1"/>
    <col min="4106" max="4106" width="11.1640625" style="1" customWidth="1"/>
    <col min="4107" max="4107" width="10.1640625" style="1" customWidth="1"/>
    <col min="4108" max="4108" width="11.83203125" style="1" customWidth="1"/>
    <col min="4109" max="4109" width="9.33203125" style="1"/>
    <col min="4110" max="4110" width="10.1640625" style="1" customWidth="1"/>
    <col min="4111" max="4111" width="10" style="1" customWidth="1"/>
    <col min="4112" max="4112" width="10.83203125" style="1" customWidth="1"/>
    <col min="4113" max="4113" width="11.33203125" style="1" customWidth="1"/>
    <col min="4114" max="4341" width="9.33203125" style="1"/>
    <col min="4342" max="4343" width="4.5" style="1" customWidth="1"/>
    <col min="4344" max="4344" width="8.6640625" style="1" customWidth="1"/>
    <col min="4345" max="4345" width="49.1640625" style="1" customWidth="1"/>
    <col min="4346" max="4346" width="3.1640625" style="1" customWidth="1"/>
    <col min="4347" max="4347" width="8.6640625" style="1" customWidth="1"/>
    <col min="4348" max="4348" width="10.5" style="1" customWidth="1"/>
    <col min="4349" max="4349" width="10.1640625" style="1" customWidth="1"/>
    <col min="4350" max="4350" width="11" style="1" customWidth="1"/>
    <col min="4351" max="4351" width="10.33203125" style="1" customWidth="1"/>
    <col min="4352" max="4352" width="9.83203125" style="1" customWidth="1"/>
    <col min="4353" max="4353" width="11.1640625" style="1" customWidth="1"/>
    <col min="4354" max="4354" width="10.5" style="1" customWidth="1"/>
    <col min="4355" max="4355" width="8.83203125" style="1" customWidth="1"/>
    <col min="4356" max="4356" width="10.33203125" style="1" customWidth="1"/>
    <col min="4357" max="4357" width="10.6640625" style="1" customWidth="1"/>
    <col min="4358" max="4358" width="12.5" style="1" customWidth="1"/>
    <col min="4359" max="4359" width="11.83203125" style="1" customWidth="1"/>
    <col min="4360" max="4360" width="11.1640625" style="1" customWidth="1"/>
    <col min="4361" max="4361" width="11" style="1" customWidth="1"/>
    <col min="4362" max="4362" width="11.1640625" style="1" customWidth="1"/>
    <col min="4363" max="4363" width="10.1640625" style="1" customWidth="1"/>
    <col min="4364" max="4364" width="11.83203125" style="1" customWidth="1"/>
    <col min="4365" max="4365" width="9.33203125" style="1"/>
    <col min="4366" max="4366" width="10.1640625" style="1" customWidth="1"/>
    <col min="4367" max="4367" width="10" style="1" customWidth="1"/>
    <col min="4368" max="4368" width="10.83203125" style="1" customWidth="1"/>
    <col min="4369" max="4369" width="11.33203125" style="1" customWidth="1"/>
    <col min="4370" max="4597" width="9.33203125" style="1"/>
    <col min="4598" max="4599" width="4.5" style="1" customWidth="1"/>
    <col min="4600" max="4600" width="8.6640625" style="1" customWidth="1"/>
    <col min="4601" max="4601" width="49.1640625" style="1" customWidth="1"/>
    <col min="4602" max="4602" width="3.1640625" style="1" customWidth="1"/>
    <col min="4603" max="4603" width="8.6640625" style="1" customWidth="1"/>
    <col min="4604" max="4604" width="10.5" style="1" customWidth="1"/>
    <col min="4605" max="4605" width="10.1640625" style="1" customWidth="1"/>
    <col min="4606" max="4606" width="11" style="1" customWidth="1"/>
    <col min="4607" max="4607" width="10.33203125" style="1" customWidth="1"/>
    <col min="4608" max="4608" width="9.83203125" style="1" customWidth="1"/>
    <col min="4609" max="4609" width="11.1640625" style="1" customWidth="1"/>
    <col min="4610" max="4610" width="10.5" style="1" customWidth="1"/>
    <col min="4611" max="4611" width="8.83203125" style="1" customWidth="1"/>
    <col min="4612" max="4612" width="10.33203125" style="1" customWidth="1"/>
    <col min="4613" max="4613" width="10.6640625" style="1" customWidth="1"/>
    <col min="4614" max="4614" width="12.5" style="1" customWidth="1"/>
    <col min="4615" max="4615" width="11.83203125" style="1" customWidth="1"/>
    <col min="4616" max="4616" width="11.1640625" style="1" customWidth="1"/>
    <col min="4617" max="4617" width="11" style="1" customWidth="1"/>
    <col min="4618" max="4618" width="11.1640625" style="1" customWidth="1"/>
    <col min="4619" max="4619" width="10.1640625" style="1" customWidth="1"/>
    <col min="4620" max="4620" width="11.83203125" style="1" customWidth="1"/>
    <col min="4621" max="4621" width="9.33203125" style="1"/>
    <col min="4622" max="4622" width="10.1640625" style="1" customWidth="1"/>
    <col min="4623" max="4623" width="10" style="1" customWidth="1"/>
    <col min="4624" max="4624" width="10.83203125" style="1" customWidth="1"/>
    <col min="4625" max="4625" width="11.33203125" style="1" customWidth="1"/>
    <col min="4626" max="4853" width="9.33203125" style="1"/>
    <col min="4854" max="4855" width="4.5" style="1" customWidth="1"/>
    <col min="4856" max="4856" width="8.6640625" style="1" customWidth="1"/>
    <col min="4857" max="4857" width="49.1640625" style="1" customWidth="1"/>
    <col min="4858" max="4858" width="3.1640625" style="1" customWidth="1"/>
    <col min="4859" max="4859" width="8.6640625" style="1" customWidth="1"/>
    <col min="4860" max="4860" width="10.5" style="1" customWidth="1"/>
    <col min="4861" max="4861" width="10.1640625" style="1" customWidth="1"/>
    <col min="4862" max="4862" width="11" style="1" customWidth="1"/>
    <col min="4863" max="4863" width="10.33203125" style="1" customWidth="1"/>
    <col min="4864" max="4864" width="9.83203125" style="1" customWidth="1"/>
    <col min="4865" max="4865" width="11.1640625" style="1" customWidth="1"/>
    <col min="4866" max="4866" width="10.5" style="1" customWidth="1"/>
    <col min="4867" max="4867" width="8.83203125" style="1" customWidth="1"/>
    <col min="4868" max="4868" width="10.33203125" style="1" customWidth="1"/>
    <col min="4869" max="4869" width="10.6640625" style="1" customWidth="1"/>
    <col min="4870" max="4870" width="12.5" style="1" customWidth="1"/>
    <col min="4871" max="4871" width="11.83203125" style="1" customWidth="1"/>
    <col min="4872" max="4872" width="11.1640625" style="1" customWidth="1"/>
    <col min="4873" max="4873" width="11" style="1" customWidth="1"/>
    <col min="4874" max="4874" width="11.1640625" style="1" customWidth="1"/>
    <col min="4875" max="4875" width="10.1640625" style="1" customWidth="1"/>
    <col min="4876" max="4876" width="11.83203125" style="1" customWidth="1"/>
    <col min="4877" max="4877" width="9.33203125" style="1"/>
    <col min="4878" max="4878" width="10.1640625" style="1" customWidth="1"/>
    <col min="4879" max="4879" width="10" style="1" customWidth="1"/>
    <col min="4880" max="4880" width="10.83203125" style="1" customWidth="1"/>
    <col min="4881" max="4881" width="11.33203125" style="1" customWidth="1"/>
    <col min="4882" max="5109" width="9.33203125" style="1"/>
    <col min="5110" max="5111" width="4.5" style="1" customWidth="1"/>
    <col min="5112" max="5112" width="8.6640625" style="1" customWidth="1"/>
    <col min="5113" max="5113" width="49.1640625" style="1" customWidth="1"/>
    <col min="5114" max="5114" width="3.1640625" style="1" customWidth="1"/>
    <col min="5115" max="5115" width="8.6640625" style="1" customWidth="1"/>
    <col min="5116" max="5116" width="10.5" style="1" customWidth="1"/>
    <col min="5117" max="5117" width="10.1640625" style="1" customWidth="1"/>
    <col min="5118" max="5118" width="11" style="1" customWidth="1"/>
    <col min="5119" max="5119" width="10.33203125" style="1" customWidth="1"/>
    <col min="5120" max="5120" width="9.83203125" style="1" customWidth="1"/>
    <col min="5121" max="5121" width="11.1640625" style="1" customWidth="1"/>
    <col min="5122" max="5122" width="10.5" style="1" customWidth="1"/>
    <col min="5123" max="5123" width="8.83203125" style="1" customWidth="1"/>
    <col min="5124" max="5124" width="10.33203125" style="1" customWidth="1"/>
    <col min="5125" max="5125" width="10.6640625" style="1" customWidth="1"/>
    <col min="5126" max="5126" width="12.5" style="1" customWidth="1"/>
    <col min="5127" max="5127" width="11.83203125" style="1" customWidth="1"/>
    <col min="5128" max="5128" width="11.1640625" style="1" customWidth="1"/>
    <col min="5129" max="5129" width="11" style="1" customWidth="1"/>
    <col min="5130" max="5130" width="11.1640625" style="1" customWidth="1"/>
    <col min="5131" max="5131" width="10.1640625" style="1" customWidth="1"/>
    <col min="5132" max="5132" width="11.83203125" style="1" customWidth="1"/>
    <col min="5133" max="5133" width="9.33203125" style="1"/>
    <col min="5134" max="5134" width="10.1640625" style="1" customWidth="1"/>
    <col min="5135" max="5135" width="10" style="1" customWidth="1"/>
    <col min="5136" max="5136" width="10.83203125" style="1" customWidth="1"/>
    <col min="5137" max="5137" width="11.33203125" style="1" customWidth="1"/>
    <col min="5138" max="5365" width="9.33203125" style="1"/>
    <col min="5366" max="5367" width="4.5" style="1" customWidth="1"/>
    <col min="5368" max="5368" width="8.6640625" style="1" customWidth="1"/>
    <col min="5369" max="5369" width="49.1640625" style="1" customWidth="1"/>
    <col min="5370" max="5370" width="3.1640625" style="1" customWidth="1"/>
    <col min="5371" max="5371" width="8.6640625" style="1" customWidth="1"/>
    <col min="5372" max="5372" width="10.5" style="1" customWidth="1"/>
    <col min="5373" max="5373" width="10.1640625" style="1" customWidth="1"/>
    <col min="5374" max="5374" width="11" style="1" customWidth="1"/>
    <col min="5375" max="5375" width="10.33203125" style="1" customWidth="1"/>
    <col min="5376" max="5376" width="9.83203125" style="1" customWidth="1"/>
    <col min="5377" max="5377" width="11.1640625" style="1" customWidth="1"/>
    <col min="5378" max="5378" width="10.5" style="1" customWidth="1"/>
    <col min="5379" max="5379" width="8.83203125" style="1" customWidth="1"/>
    <col min="5380" max="5380" width="10.33203125" style="1" customWidth="1"/>
    <col min="5381" max="5381" width="10.6640625" style="1" customWidth="1"/>
    <col min="5382" max="5382" width="12.5" style="1" customWidth="1"/>
    <col min="5383" max="5383" width="11.83203125" style="1" customWidth="1"/>
    <col min="5384" max="5384" width="11.1640625" style="1" customWidth="1"/>
    <col min="5385" max="5385" width="11" style="1" customWidth="1"/>
    <col min="5386" max="5386" width="11.1640625" style="1" customWidth="1"/>
    <col min="5387" max="5387" width="10.1640625" style="1" customWidth="1"/>
    <col min="5388" max="5388" width="11.83203125" style="1" customWidth="1"/>
    <col min="5389" max="5389" width="9.33203125" style="1"/>
    <col min="5390" max="5390" width="10.1640625" style="1" customWidth="1"/>
    <col min="5391" max="5391" width="10" style="1" customWidth="1"/>
    <col min="5392" max="5392" width="10.83203125" style="1" customWidth="1"/>
    <col min="5393" max="5393" width="11.33203125" style="1" customWidth="1"/>
    <col min="5394" max="5621" width="9.33203125" style="1"/>
    <col min="5622" max="5623" width="4.5" style="1" customWidth="1"/>
    <col min="5624" max="5624" width="8.6640625" style="1" customWidth="1"/>
    <col min="5625" max="5625" width="49.1640625" style="1" customWidth="1"/>
    <col min="5626" max="5626" width="3.1640625" style="1" customWidth="1"/>
    <col min="5627" max="5627" width="8.6640625" style="1" customWidth="1"/>
    <col min="5628" max="5628" width="10.5" style="1" customWidth="1"/>
    <col min="5629" max="5629" width="10.1640625" style="1" customWidth="1"/>
    <col min="5630" max="5630" width="11" style="1" customWidth="1"/>
    <col min="5631" max="5631" width="10.33203125" style="1" customWidth="1"/>
    <col min="5632" max="5632" width="9.83203125" style="1" customWidth="1"/>
    <col min="5633" max="5633" width="11.1640625" style="1" customWidth="1"/>
    <col min="5634" max="5634" width="10.5" style="1" customWidth="1"/>
    <col min="5635" max="5635" width="8.83203125" style="1" customWidth="1"/>
    <col min="5636" max="5636" width="10.33203125" style="1" customWidth="1"/>
    <col min="5637" max="5637" width="10.6640625" style="1" customWidth="1"/>
    <col min="5638" max="5638" width="12.5" style="1" customWidth="1"/>
    <col min="5639" max="5639" width="11.83203125" style="1" customWidth="1"/>
    <col min="5640" max="5640" width="11.1640625" style="1" customWidth="1"/>
    <col min="5641" max="5641" width="11" style="1" customWidth="1"/>
    <col min="5642" max="5642" width="11.1640625" style="1" customWidth="1"/>
    <col min="5643" max="5643" width="10.1640625" style="1" customWidth="1"/>
    <col min="5644" max="5644" width="11.83203125" style="1" customWidth="1"/>
    <col min="5645" max="5645" width="9.33203125" style="1"/>
    <col min="5646" max="5646" width="10.1640625" style="1" customWidth="1"/>
    <col min="5647" max="5647" width="10" style="1" customWidth="1"/>
    <col min="5648" max="5648" width="10.83203125" style="1" customWidth="1"/>
    <col min="5649" max="5649" width="11.33203125" style="1" customWidth="1"/>
    <col min="5650" max="5877" width="9.33203125" style="1"/>
    <col min="5878" max="5879" width="4.5" style="1" customWidth="1"/>
    <col min="5880" max="5880" width="8.6640625" style="1" customWidth="1"/>
    <col min="5881" max="5881" width="49.1640625" style="1" customWidth="1"/>
    <col min="5882" max="5882" width="3.1640625" style="1" customWidth="1"/>
    <col min="5883" max="5883" width="8.6640625" style="1" customWidth="1"/>
    <col min="5884" max="5884" width="10.5" style="1" customWidth="1"/>
    <col min="5885" max="5885" width="10.1640625" style="1" customWidth="1"/>
    <col min="5886" max="5886" width="11" style="1" customWidth="1"/>
    <col min="5887" max="5887" width="10.33203125" style="1" customWidth="1"/>
    <col min="5888" max="5888" width="9.83203125" style="1" customWidth="1"/>
    <col min="5889" max="5889" width="11.1640625" style="1" customWidth="1"/>
    <col min="5890" max="5890" width="10.5" style="1" customWidth="1"/>
    <col min="5891" max="5891" width="8.83203125" style="1" customWidth="1"/>
    <col min="5892" max="5892" width="10.33203125" style="1" customWidth="1"/>
    <col min="5893" max="5893" width="10.6640625" style="1" customWidth="1"/>
    <col min="5894" max="5894" width="12.5" style="1" customWidth="1"/>
    <col min="5895" max="5895" width="11.83203125" style="1" customWidth="1"/>
    <col min="5896" max="5896" width="11.1640625" style="1" customWidth="1"/>
    <col min="5897" max="5897" width="11" style="1" customWidth="1"/>
    <col min="5898" max="5898" width="11.1640625" style="1" customWidth="1"/>
    <col min="5899" max="5899" width="10.1640625" style="1" customWidth="1"/>
    <col min="5900" max="5900" width="11.83203125" style="1" customWidth="1"/>
    <col min="5901" max="5901" width="9.33203125" style="1"/>
    <col min="5902" max="5902" width="10.1640625" style="1" customWidth="1"/>
    <col min="5903" max="5903" width="10" style="1" customWidth="1"/>
    <col min="5904" max="5904" width="10.83203125" style="1" customWidth="1"/>
    <col min="5905" max="5905" width="11.33203125" style="1" customWidth="1"/>
    <col min="5906" max="6133" width="9.33203125" style="1"/>
    <col min="6134" max="6135" width="4.5" style="1" customWidth="1"/>
    <col min="6136" max="6136" width="8.6640625" style="1" customWidth="1"/>
    <col min="6137" max="6137" width="49.1640625" style="1" customWidth="1"/>
    <col min="6138" max="6138" width="3.1640625" style="1" customWidth="1"/>
    <col min="6139" max="6139" width="8.6640625" style="1" customWidth="1"/>
    <col min="6140" max="6140" width="10.5" style="1" customWidth="1"/>
    <col min="6141" max="6141" width="10.1640625" style="1" customWidth="1"/>
    <col min="6142" max="6142" width="11" style="1" customWidth="1"/>
    <col min="6143" max="6143" width="10.33203125" style="1" customWidth="1"/>
    <col min="6144" max="6144" width="9.83203125" style="1" customWidth="1"/>
    <col min="6145" max="6145" width="11.1640625" style="1" customWidth="1"/>
    <col min="6146" max="6146" width="10.5" style="1" customWidth="1"/>
    <col min="6147" max="6147" width="8.83203125" style="1" customWidth="1"/>
    <col min="6148" max="6148" width="10.33203125" style="1" customWidth="1"/>
    <col min="6149" max="6149" width="10.6640625" style="1" customWidth="1"/>
    <col min="6150" max="6150" width="12.5" style="1" customWidth="1"/>
    <col min="6151" max="6151" width="11.83203125" style="1" customWidth="1"/>
    <col min="6152" max="6152" width="11.1640625" style="1" customWidth="1"/>
    <col min="6153" max="6153" width="11" style="1" customWidth="1"/>
    <col min="6154" max="6154" width="11.1640625" style="1" customWidth="1"/>
    <col min="6155" max="6155" width="10.1640625" style="1" customWidth="1"/>
    <col min="6156" max="6156" width="11.83203125" style="1" customWidth="1"/>
    <col min="6157" max="6157" width="9.33203125" style="1"/>
    <col min="6158" max="6158" width="10.1640625" style="1" customWidth="1"/>
    <col min="6159" max="6159" width="10" style="1" customWidth="1"/>
    <col min="6160" max="6160" width="10.83203125" style="1" customWidth="1"/>
    <col min="6161" max="6161" width="11.33203125" style="1" customWidth="1"/>
    <col min="6162" max="6389" width="9.33203125" style="1"/>
    <col min="6390" max="6391" width="4.5" style="1" customWidth="1"/>
    <col min="6392" max="6392" width="8.6640625" style="1" customWidth="1"/>
    <col min="6393" max="6393" width="49.1640625" style="1" customWidth="1"/>
    <col min="6394" max="6394" width="3.1640625" style="1" customWidth="1"/>
    <col min="6395" max="6395" width="8.6640625" style="1" customWidth="1"/>
    <col min="6396" max="6396" width="10.5" style="1" customWidth="1"/>
    <col min="6397" max="6397" width="10.1640625" style="1" customWidth="1"/>
    <col min="6398" max="6398" width="11" style="1" customWidth="1"/>
    <col min="6399" max="6399" width="10.33203125" style="1" customWidth="1"/>
    <col min="6400" max="6400" width="9.83203125" style="1" customWidth="1"/>
    <col min="6401" max="6401" width="11.1640625" style="1" customWidth="1"/>
    <col min="6402" max="6402" width="10.5" style="1" customWidth="1"/>
    <col min="6403" max="6403" width="8.83203125" style="1" customWidth="1"/>
    <col min="6404" max="6404" width="10.33203125" style="1" customWidth="1"/>
    <col min="6405" max="6405" width="10.6640625" style="1" customWidth="1"/>
    <col min="6406" max="6406" width="12.5" style="1" customWidth="1"/>
    <col min="6407" max="6407" width="11.83203125" style="1" customWidth="1"/>
    <col min="6408" max="6408" width="11.1640625" style="1" customWidth="1"/>
    <col min="6409" max="6409" width="11" style="1" customWidth="1"/>
    <col min="6410" max="6410" width="11.1640625" style="1" customWidth="1"/>
    <col min="6411" max="6411" width="10.1640625" style="1" customWidth="1"/>
    <col min="6412" max="6412" width="11.83203125" style="1" customWidth="1"/>
    <col min="6413" max="6413" width="9.33203125" style="1"/>
    <col min="6414" max="6414" width="10.1640625" style="1" customWidth="1"/>
    <col min="6415" max="6415" width="10" style="1" customWidth="1"/>
    <col min="6416" max="6416" width="10.83203125" style="1" customWidth="1"/>
    <col min="6417" max="6417" width="11.33203125" style="1" customWidth="1"/>
    <col min="6418" max="6645" width="9.33203125" style="1"/>
    <col min="6646" max="6647" width="4.5" style="1" customWidth="1"/>
    <col min="6648" max="6648" width="8.6640625" style="1" customWidth="1"/>
    <col min="6649" max="6649" width="49.1640625" style="1" customWidth="1"/>
    <col min="6650" max="6650" width="3.1640625" style="1" customWidth="1"/>
    <col min="6651" max="6651" width="8.6640625" style="1" customWidth="1"/>
    <col min="6652" max="6652" width="10.5" style="1" customWidth="1"/>
    <col min="6653" max="6653" width="10.1640625" style="1" customWidth="1"/>
    <col min="6654" max="6654" width="11" style="1" customWidth="1"/>
    <col min="6655" max="6655" width="10.33203125" style="1" customWidth="1"/>
    <col min="6656" max="6656" width="9.83203125" style="1" customWidth="1"/>
    <col min="6657" max="6657" width="11.1640625" style="1" customWidth="1"/>
    <col min="6658" max="6658" width="10.5" style="1" customWidth="1"/>
    <col min="6659" max="6659" width="8.83203125" style="1" customWidth="1"/>
    <col min="6660" max="6660" width="10.33203125" style="1" customWidth="1"/>
    <col min="6661" max="6661" width="10.6640625" style="1" customWidth="1"/>
    <col min="6662" max="6662" width="12.5" style="1" customWidth="1"/>
    <col min="6663" max="6663" width="11.83203125" style="1" customWidth="1"/>
    <col min="6664" max="6664" width="11.1640625" style="1" customWidth="1"/>
    <col min="6665" max="6665" width="11" style="1" customWidth="1"/>
    <col min="6666" max="6666" width="11.1640625" style="1" customWidth="1"/>
    <col min="6667" max="6667" width="10.1640625" style="1" customWidth="1"/>
    <col min="6668" max="6668" width="11.83203125" style="1" customWidth="1"/>
    <col min="6669" max="6669" width="9.33203125" style="1"/>
    <col min="6670" max="6670" width="10.1640625" style="1" customWidth="1"/>
    <col min="6671" max="6671" width="10" style="1" customWidth="1"/>
    <col min="6672" max="6672" width="10.83203125" style="1" customWidth="1"/>
    <col min="6673" max="6673" width="11.33203125" style="1" customWidth="1"/>
    <col min="6674" max="6901" width="9.33203125" style="1"/>
    <col min="6902" max="6903" width="4.5" style="1" customWidth="1"/>
    <col min="6904" max="6904" width="8.6640625" style="1" customWidth="1"/>
    <col min="6905" max="6905" width="49.1640625" style="1" customWidth="1"/>
    <col min="6906" max="6906" width="3.1640625" style="1" customWidth="1"/>
    <col min="6907" max="6907" width="8.6640625" style="1" customWidth="1"/>
    <col min="6908" max="6908" width="10.5" style="1" customWidth="1"/>
    <col min="6909" max="6909" width="10.1640625" style="1" customWidth="1"/>
    <col min="6910" max="6910" width="11" style="1" customWidth="1"/>
    <col min="6911" max="6911" width="10.33203125" style="1" customWidth="1"/>
    <col min="6912" max="6912" width="9.83203125" style="1" customWidth="1"/>
    <col min="6913" max="6913" width="11.1640625" style="1" customWidth="1"/>
    <col min="6914" max="6914" width="10.5" style="1" customWidth="1"/>
    <col min="6915" max="6915" width="8.83203125" style="1" customWidth="1"/>
    <col min="6916" max="6916" width="10.33203125" style="1" customWidth="1"/>
    <col min="6917" max="6917" width="10.6640625" style="1" customWidth="1"/>
    <col min="6918" max="6918" width="12.5" style="1" customWidth="1"/>
    <col min="6919" max="6919" width="11.83203125" style="1" customWidth="1"/>
    <col min="6920" max="6920" width="11.1640625" style="1" customWidth="1"/>
    <col min="6921" max="6921" width="11" style="1" customWidth="1"/>
    <col min="6922" max="6922" width="11.1640625" style="1" customWidth="1"/>
    <col min="6923" max="6923" width="10.1640625" style="1" customWidth="1"/>
    <col min="6924" max="6924" width="11.83203125" style="1" customWidth="1"/>
    <col min="6925" max="6925" width="9.33203125" style="1"/>
    <col min="6926" max="6926" width="10.1640625" style="1" customWidth="1"/>
    <col min="6927" max="6927" width="10" style="1" customWidth="1"/>
    <col min="6928" max="6928" width="10.83203125" style="1" customWidth="1"/>
    <col min="6929" max="6929" width="11.33203125" style="1" customWidth="1"/>
    <col min="6930" max="7157" width="9.33203125" style="1"/>
    <col min="7158" max="7159" width="4.5" style="1" customWidth="1"/>
    <col min="7160" max="7160" width="8.6640625" style="1" customWidth="1"/>
    <col min="7161" max="7161" width="49.1640625" style="1" customWidth="1"/>
    <col min="7162" max="7162" width="3.1640625" style="1" customWidth="1"/>
    <col min="7163" max="7163" width="8.6640625" style="1" customWidth="1"/>
    <col min="7164" max="7164" width="10.5" style="1" customWidth="1"/>
    <col min="7165" max="7165" width="10.1640625" style="1" customWidth="1"/>
    <col min="7166" max="7166" width="11" style="1" customWidth="1"/>
    <col min="7167" max="7167" width="10.33203125" style="1" customWidth="1"/>
    <col min="7168" max="7168" width="9.83203125" style="1" customWidth="1"/>
    <col min="7169" max="7169" width="11.1640625" style="1" customWidth="1"/>
    <col min="7170" max="7170" width="10.5" style="1" customWidth="1"/>
    <col min="7171" max="7171" width="8.83203125" style="1" customWidth="1"/>
    <col min="7172" max="7172" width="10.33203125" style="1" customWidth="1"/>
    <col min="7173" max="7173" width="10.6640625" style="1" customWidth="1"/>
    <col min="7174" max="7174" width="12.5" style="1" customWidth="1"/>
    <col min="7175" max="7175" width="11.83203125" style="1" customWidth="1"/>
    <col min="7176" max="7176" width="11.1640625" style="1" customWidth="1"/>
    <col min="7177" max="7177" width="11" style="1" customWidth="1"/>
    <col min="7178" max="7178" width="11.1640625" style="1" customWidth="1"/>
    <col min="7179" max="7179" width="10.1640625" style="1" customWidth="1"/>
    <col min="7180" max="7180" width="11.83203125" style="1" customWidth="1"/>
    <col min="7181" max="7181" width="9.33203125" style="1"/>
    <col min="7182" max="7182" width="10.1640625" style="1" customWidth="1"/>
    <col min="7183" max="7183" width="10" style="1" customWidth="1"/>
    <col min="7184" max="7184" width="10.83203125" style="1" customWidth="1"/>
    <col min="7185" max="7185" width="11.33203125" style="1" customWidth="1"/>
    <col min="7186" max="7413" width="9.33203125" style="1"/>
    <col min="7414" max="7415" width="4.5" style="1" customWidth="1"/>
    <col min="7416" max="7416" width="8.6640625" style="1" customWidth="1"/>
    <col min="7417" max="7417" width="49.1640625" style="1" customWidth="1"/>
    <col min="7418" max="7418" width="3.1640625" style="1" customWidth="1"/>
    <col min="7419" max="7419" width="8.6640625" style="1" customWidth="1"/>
    <col min="7420" max="7420" width="10.5" style="1" customWidth="1"/>
    <col min="7421" max="7421" width="10.1640625" style="1" customWidth="1"/>
    <col min="7422" max="7422" width="11" style="1" customWidth="1"/>
    <col min="7423" max="7423" width="10.33203125" style="1" customWidth="1"/>
    <col min="7424" max="7424" width="9.83203125" style="1" customWidth="1"/>
    <col min="7425" max="7425" width="11.1640625" style="1" customWidth="1"/>
    <col min="7426" max="7426" width="10.5" style="1" customWidth="1"/>
    <col min="7427" max="7427" width="8.83203125" style="1" customWidth="1"/>
    <col min="7428" max="7428" width="10.33203125" style="1" customWidth="1"/>
    <col min="7429" max="7429" width="10.6640625" style="1" customWidth="1"/>
    <col min="7430" max="7430" width="12.5" style="1" customWidth="1"/>
    <col min="7431" max="7431" width="11.83203125" style="1" customWidth="1"/>
    <col min="7432" max="7432" width="11.1640625" style="1" customWidth="1"/>
    <col min="7433" max="7433" width="11" style="1" customWidth="1"/>
    <col min="7434" max="7434" width="11.1640625" style="1" customWidth="1"/>
    <col min="7435" max="7435" width="10.1640625" style="1" customWidth="1"/>
    <col min="7436" max="7436" width="11.83203125" style="1" customWidth="1"/>
    <col min="7437" max="7437" width="9.33203125" style="1"/>
    <col min="7438" max="7438" width="10.1640625" style="1" customWidth="1"/>
    <col min="7439" max="7439" width="10" style="1" customWidth="1"/>
    <col min="7440" max="7440" width="10.83203125" style="1" customWidth="1"/>
    <col min="7441" max="7441" width="11.33203125" style="1" customWidth="1"/>
    <col min="7442" max="7669" width="9.33203125" style="1"/>
    <col min="7670" max="7671" width="4.5" style="1" customWidth="1"/>
    <col min="7672" max="7672" width="8.6640625" style="1" customWidth="1"/>
    <col min="7673" max="7673" width="49.1640625" style="1" customWidth="1"/>
    <col min="7674" max="7674" width="3.1640625" style="1" customWidth="1"/>
    <col min="7675" max="7675" width="8.6640625" style="1" customWidth="1"/>
    <col min="7676" max="7676" width="10.5" style="1" customWidth="1"/>
    <col min="7677" max="7677" width="10.1640625" style="1" customWidth="1"/>
    <col min="7678" max="7678" width="11" style="1" customWidth="1"/>
    <col min="7679" max="7679" width="10.33203125" style="1" customWidth="1"/>
    <col min="7680" max="7680" width="9.83203125" style="1" customWidth="1"/>
    <col min="7681" max="7681" width="11.1640625" style="1" customWidth="1"/>
    <col min="7682" max="7682" width="10.5" style="1" customWidth="1"/>
    <col min="7683" max="7683" width="8.83203125" style="1" customWidth="1"/>
    <col min="7684" max="7684" width="10.33203125" style="1" customWidth="1"/>
    <col min="7685" max="7685" width="10.6640625" style="1" customWidth="1"/>
    <col min="7686" max="7686" width="12.5" style="1" customWidth="1"/>
    <col min="7687" max="7687" width="11.83203125" style="1" customWidth="1"/>
    <col min="7688" max="7688" width="11.1640625" style="1" customWidth="1"/>
    <col min="7689" max="7689" width="11" style="1" customWidth="1"/>
    <col min="7690" max="7690" width="11.1640625" style="1" customWidth="1"/>
    <col min="7691" max="7691" width="10.1640625" style="1" customWidth="1"/>
    <col min="7692" max="7692" width="11.83203125" style="1" customWidth="1"/>
    <col min="7693" max="7693" width="9.33203125" style="1"/>
    <col min="7694" max="7694" width="10.1640625" style="1" customWidth="1"/>
    <col min="7695" max="7695" width="10" style="1" customWidth="1"/>
    <col min="7696" max="7696" width="10.83203125" style="1" customWidth="1"/>
    <col min="7697" max="7697" width="11.33203125" style="1" customWidth="1"/>
    <col min="7698" max="7925" width="9.33203125" style="1"/>
    <col min="7926" max="7927" width="4.5" style="1" customWidth="1"/>
    <col min="7928" max="7928" width="8.6640625" style="1" customWidth="1"/>
    <col min="7929" max="7929" width="49.1640625" style="1" customWidth="1"/>
    <col min="7930" max="7930" width="3.1640625" style="1" customWidth="1"/>
    <col min="7931" max="7931" width="8.6640625" style="1" customWidth="1"/>
    <col min="7932" max="7932" width="10.5" style="1" customWidth="1"/>
    <col min="7933" max="7933" width="10.1640625" style="1" customWidth="1"/>
    <col min="7934" max="7934" width="11" style="1" customWidth="1"/>
    <col min="7935" max="7935" width="10.33203125" style="1" customWidth="1"/>
    <col min="7936" max="7936" width="9.83203125" style="1" customWidth="1"/>
    <col min="7937" max="7937" width="11.1640625" style="1" customWidth="1"/>
    <col min="7938" max="7938" width="10.5" style="1" customWidth="1"/>
    <col min="7939" max="7939" width="8.83203125" style="1" customWidth="1"/>
    <col min="7940" max="7940" width="10.33203125" style="1" customWidth="1"/>
    <col min="7941" max="7941" width="10.6640625" style="1" customWidth="1"/>
    <col min="7942" max="7942" width="12.5" style="1" customWidth="1"/>
    <col min="7943" max="7943" width="11.83203125" style="1" customWidth="1"/>
    <col min="7944" max="7944" width="11.1640625" style="1" customWidth="1"/>
    <col min="7945" max="7945" width="11" style="1" customWidth="1"/>
    <col min="7946" max="7946" width="11.1640625" style="1" customWidth="1"/>
    <col min="7947" max="7947" width="10.1640625" style="1" customWidth="1"/>
    <col min="7948" max="7948" width="11.83203125" style="1" customWidth="1"/>
    <col min="7949" max="7949" width="9.33203125" style="1"/>
    <col min="7950" max="7950" width="10.1640625" style="1" customWidth="1"/>
    <col min="7951" max="7951" width="10" style="1" customWidth="1"/>
    <col min="7952" max="7952" width="10.83203125" style="1" customWidth="1"/>
    <col min="7953" max="7953" width="11.33203125" style="1" customWidth="1"/>
    <col min="7954" max="8181" width="9.33203125" style="1"/>
    <col min="8182" max="8183" width="4.5" style="1" customWidth="1"/>
    <col min="8184" max="8184" width="8.6640625" style="1" customWidth="1"/>
    <col min="8185" max="8185" width="49.1640625" style="1" customWidth="1"/>
    <col min="8186" max="8186" width="3.1640625" style="1" customWidth="1"/>
    <col min="8187" max="8187" width="8.6640625" style="1" customWidth="1"/>
    <col min="8188" max="8188" width="10.5" style="1" customWidth="1"/>
    <col min="8189" max="8189" width="10.1640625" style="1" customWidth="1"/>
    <col min="8190" max="8190" width="11" style="1" customWidth="1"/>
    <col min="8191" max="8191" width="10.33203125" style="1" customWidth="1"/>
    <col min="8192" max="8192" width="9.83203125" style="1" customWidth="1"/>
    <col min="8193" max="8193" width="11.1640625" style="1" customWidth="1"/>
    <col min="8194" max="8194" width="10.5" style="1" customWidth="1"/>
    <col min="8195" max="8195" width="8.83203125" style="1" customWidth="1"/>
    <col min="8196" max="8196" width="10.33203125" style="1" customWidth="1"/>
    <col min="8197" max="8197" width="10.6640625" style="1" customWidth="1"/>
    <col min="8198" max="8198" width="12.5" style="1" customWidth="1"/>
    <col min="8199" max="8199" width="11.83203125" style="1" customWidth="1"/>
    <col min="8200" max="8200" width="11.1640625" style="1" customWidth="1"/>
    <col min="8201" max="8201" width="11" style="1" customWidth="1"/>
    <col min="8202" max="8202" width="11.1640625" style="1" customWidth="1"/>
    <col min="8203" max="8203" width="10.1640625" style="1" customWidth="1"/>
    <col min="8204" max="8204" width="11.83203125" style="1" customWidth="1"/>
    <col min="8205" max="8205" width="9.33203125" style="1"/>
    <col min="8206" max="8206" width="10.1640625" style="1" customWidth="1"/>
    <col min="8207" max="8207" width="10" style="1" customWidth="1"/>
    <col min="8208" max="8208" width="10.83203125" style="1" customWidth="1"/>
    <col min="8209" max="8209" width="11.33203125" style="1" customWidth="1"/>
    <col min="8210" max="8437" width="9.33203125" style="1"/>
    <col min="8438" max="8439" width="4.5" style="1" customWidth="1"/>
    <col min="8440" max="8440" width="8.6640625" style="1" customWidth="1"/>
    <col min="8441" max="8441" width="49.1640625" style="1" customWidth="1"/>
    <col min="8442" max="8442" width="3.1640625" style="1" customWidth="1"/>
    <col min="8443" max="8443" width="8.6640625" style="1" customWidth="1"/>
    <col min="8444" max="8444" width="10.5" style="1" customWidth="1"/>
    <col min="8445" max="8445" width="10.1640625" style="1" customWidth="1"/>
    <col min="8446" max="8446" width="11" style="1" customWidth="1"/>
    <col min="8447" max="8447" width="10.33203125" style="1" customWidth="1"/>
    <col min="8448" max="8448" width="9.83203125" style="1" customWidth="1"/>
    <col min="8449" max="8449" width="11.1640625" style="1" customWidth="1"/>
    <col min="8450" max="8450" width="10.5" style="1" customWidth="1"/>
    <col min="8451" max="8451" width="8.83203125" style="1" customWidth="1"/>
    <col min="8452" max="8452" width="10.33203125" style="1" customWidth="1"/>
    <col min="8453" max="8453" width="10.6640625" style="1" customWidth="1"/>
    <col min="8454" max="8454" width="12.5" style="1" customWidth="1"/>
    <col min="8455" max="8455" width="11.83203125" style="1" customWidth="1"/>
    <col min="8456" max="8456" width="11.1640625" style="1" customWidth="1"/>
    <col min="8457" max="8457" width="11" style="1" customWidth="1"/>
    <col min="8458" max="8458" width="11.1640625" style="1" customWidth="1"/>
    <col min="8459" max="8459" width="10.1640625" style="1" customWidth="1"/>
    <col min="8460" max="8460" width="11.83203125" style="1" customWidth="1"/>
    <col min="8461" max="8461" width="9.33203125" style="1"/>
    <col min="8462" max="8462" width="10.1640625" style="1" customWidth="1"/>
    <col min="8463" max="8463" width="10" style="1" customWidth="1"/>
    <col min="8464" max="8464" width="10.83203125" style="1" customWidth="1"/>
    <col min="8465" max="8465" width="11.33203125" style="1" customWidth="1"/>
    <col min="8466" max="8693" width="9.33203125" style="1"/>
    <col min="8694" max="8695" width="4.5" style="1" customWidth="1"/>
    <col min="8696" max="8696" width="8.6640625" style="1" customWidth="1"/>
    <col min="8697" max="8697" width="49.1640625" style="1" customWidth="1"/>
    <col min="8698" max="8698" width="3.1640625" style="1" customWidth="1"/>
    <col min="8699" max="8699" width="8.6640625" style="1" customWidth="1"/>
    <col min="8700" max="8700" width="10.5" style="1" customWidth="1"/>
    <col min="8701" max="8701" width="10.1640625" style="1" customWidth="1"/>
    <col min="8702" max="8702" width="11" style="1" customWidth="1"/>
    <col min="8703" max="8703" width="10.33203125" style="1" customWidth="1"/>
    <col min="8704" max="8704" width="9.83203125" style="1" customWidth="1"/>
    <col min="8705" max="8705" width="11.1640625" style="1" customWidth="1"/>
    <col min="8706" max="8706" width="10.5" style="1" customWidth="1"/>
    <col min="8707" max="8707" width="8.83203125" style="1" customWidth="1"/>
    <col min="8708" max="8708" width="10.33203125" style="1" customWidth="1"/>
    <col min="8709" max="8709" width="10.6640625" style="1" customWidth="1"/>
    <col min="8710" max="8710" width="12.5" style="1" customWidth="1"/>
    <col min="8711" max="8711" width="11.83203125" style="1" customWidth="1"/>
    <col min="8712" max="8712" width="11.1640625" style="1" customWidth="1"/>
    <col min="8713" max="8713" width="11" style="1" customWidth="1"/>
    <col min="8714" max="8714" width="11.1640625" style="1" customWidth="1"/>
    <col min="8715" max="8715" width="10.1640625" style="1" customWidth="1"/>
    <col min="8716" max="8716" width="11.83203125" style="1" customWidth="1"/>
    <col min="8717" max="8717" width="9.33203125" style="1"/>
    <col min="8718" max="8718" width="10.1640625" style="1" customWidth="1"/>
    <col min="8719" max="8719" width="10" style="1" customWidth="1"/>
    <col min="8720" max="8720" width="10.83203125" style="1" customWidth="1"/>
    <col min="8721" max="8721" width="11.33203125" style="1" customWidth="1"/>
    <col min="8722" max="8949" width="9.33203125" style="1"/>
    <col min="8950" max="8951" width="4.5" style="1" customWidth="1"/>
    <col min="8952" max="8952" width="8.6640625" style="1" customWidth="1"/>
    <col min="8953" max="8953" width="49.1640625" style="1" customWidth="1"/>
    <col min="8954" max="8954" width="3.1640625" style="1" customWidth="1"/>
    <col min="8955" max="8955" width="8.6640625" style="1" customWidth="1"/>
    <col min="8956" max="8956" width="10.5" style="1" customWidth="1"/>
    <col min="8957" max="8957" width="10.1640625" style="1" customWidth="1"/>
    <col min="8958" max="8958" width="11" style="1" customWidth="1"/>
    <col min="8959" max="8959" width="10.33203125" style="1" customWidth="1"/>
    <col min="8960" max="8960" width="9.83203125" style="1" customWidth="1"/>
    <col min="8961" max="8961" width="11.1640625" style="1" customWidth="1"/>
    <col min="8962" max="8962" width="10.5" style="1" customWidth="1"/>
    <col min="8963" max="8963" width="8.83203125" style="1" customWidth="1"/>
    <col min="8964" max="8964" width="10.33203125" style="1" customWidth="1"/>
    <col min="8965" max="8965" width="10.6640625" style="1" customWidth="1"/>
    <col min="8966" max="8966" width="12.5" style="1" customWidth="1"/>
    <col min="8967" max="8967" width="11.83203125" style="1" customWidth="1"/>
    <col min="8968" max="8968" width="11.1640625" style="1" customWidth="1"/>
    <col min="8969" max="8969" width="11" style="1" customWidth="1"/>
    <col min="8970" max="8970" width="11.1640625" style="1" customWidth="1"/>
    <col min="8971" max="8971" width="10.1640625" style="1" customWidth="1"/>
    <col min="8972" max="8972" width="11.83203125" style="1" customWidth="1"/>
    <col min="8973" max="8973" width="9.33203125" style="1"/>
    <col min="8974" max="8974" width="10.1640625" style="1" customWidth="1"/>
    <col min="8975" max="8975" width="10" style="1" customWidth="1"/>
    <col min="8976" max="8976" width="10.83203125" style="1" customWidth="1"/>
    <col min="8977" max="8977" width="11.33203125" style="1" customWidth="1"/>
    <col min="8978" max="9205" width="9.33203125" style="1"/>
    <col min="9206" max="9207" width="4.5" style="1" customWidth="1"/>
    <col min="9208" max="9208" width="8.6640625" style="1" customWidth="1"/>
    <col min="9209" max="9209" width="49.1640625" style="1" customWidth="1"/>
    <col min="9210" max="9210" width="3.1640625" style="1" customWidth="1"/>
    <col min="9211" max="9211" width="8.6640625" style="1" customWidth="1"/>
    <col min="9212" max="9212" width="10.5" style="1" customWidth="1"/>
    <col min="9213" max="9213" width="10.1640625" style="1" customWidth="1"/>
    <col min="9214" max="9214" width="11" style="1" customWidth="1"/>
    <col min="9215" max="9215" width="10.33203125" style="1" customWidth="1"/>
    <col min="9216" max="9216" width="9.83203125" style="1" customWidth="1"/>
    <col min="9217" max="9217" width="11.1640625" style="1" customWidth="1"/>
    <col min="9218" max="9218" width="10.5" style="1" customWidth="1"/>
    <col min="9219" max="9219" width="8.83203125" style="1" customWidth="1"/>
    <col min="9220" max="9220" width="10.33203125" style="1" customWidth="1"/>
    <col min="9221" max="9221" width="10.6640625" style="1" customWidth="1"/>
    <col min="9222" max="9222" width="12.5" style="1" customWidth="1"/>
    <col min="9223" max="9223" width="11.83203125" style="1" customWidth="1"/>
    <col min="9224" max="9224" width="11.1640625" style="1" customWidth="1"/>
    <col min="9225" max="9225" width="11" style="1" customWidth="1"/>
    <col min="9226" max="9226" width="11.1640625" style="1" customWidth="1"/>
    <col min="9227" max="9227" width="10.1640625" style="1" customWidth="1"/>
    <col min="9228" max="9228" width="11.83203125" style="1" customWidth="1"/>
    <col min="9229" max="9229" width="9.33203125" style="1"/>
    <col min="9230" max="9230" width="10.1640625" style="1" customWidth="1"/>
    <col min="9231" max="9231" width="10" style="1" customWidth="1"/>
    <col min="9232" max="9232" width="10.83203125" style="1" customWidth="1"/>
    <col min="9233" max="9233" width="11.33203125" style="1" customWidth="1"/>
    <col min="9234" max="9461" width="9.33203125" style="1"/>
    <col min="9462" max="9463" width="4.5" style="1" customWidth="1"/>
    <col min="9464" max="9464" width="8.6640625" style="1" customWidth="1"/>
    <col min="9465" max="9465" width="49.1640625" style="1" customWidth="1"/>
    <col min="9466" max="9466" width="3.1640625" style="1" customWidth="1"/>
    <col min="9467" max="9467" width="8.6640625" style="1" customWidth="1"/>
    <col min="9468" max="9468" width="10.5" style="1" customWidth="1"/>
    <col min="9469" max="9469" width="10.1640625" style="1" customWidth="1"/>
    <col min="9470" max="9470" width="11" style="1" customWidth="1"/>
    <col min="9471" max="9471" width="10.33203125" style="1" customWidth="1"/>
    <col min="9472" max="9472" width="9.83203125" style="1" customWidth="1"/>
    <col min="9473" max="9473" width="11.1640625" style="1" customWidth="1"/>
    <col min="9474" max="9474" width="10.5" style="1" customWidth="1"/>
    <col min="9475" max="9475" width="8.83203125" style="1" customWidth="1"/>
    <col min="9476" max="9476" width="10.33203125" style="1" customWidth="1"/>
    <col min="9477" max="9477" width="10.6640625" style="1" customWidth="1"/>
    <col min="9478" max="9478" width="12.5" style="1" customWidth="1"/>
    <col min="9479" max="9479" width="11.83203125" style="1" customWidth="1"/>
    <col min="9480" max="9480" width="11.1640625" style="1" customWidth="1"/>
    <col min="9481" max="9481" width="11" style="1" customWidth="1"/>
    <col min="9482" max="9482" width="11.1640625" style="1" customWidth="1"/>
    <col min="9483" max="9483" width="10.1640625" style="1" customWidth="1"/>
    <col min="9484" max="9484" width="11.83203125" style="1" customWidth="1"/>
    <col min="9485" max="9485" width="9.33203125" style="1"/>
    <col min="9486" max="9486" width="10.1640625" style="1" customWidth="1"/>
    <col min="9487" max="9487" width="10" style="1" customWidth="1"/>
    <col min="9488" max="9488" width="10.83203125" style="1" customWidth="1"/>
    <col min="9489" max="9489" width="11.33203125" style="1" customWidth="1"/>
    <col min="9490" max="9717" width="9.33203125" style="1"/>
    <col min="9718" max="9719" width="4.5" style="1" customWidth="1"/>
    <col min="9720" max="9720" width="8.6640625" style="1" customWidth="1"/>
    <col min="9721" max="9721" width="49.1640625" style="1" customWidth="1"/>
    <col min="9722" max="9722" width="3.1640625" style="1" customWidth="1"/>
    <col min="9723" max="9723" width="8.6640625" style="1" customWidth="1"/>
    <col min="9724" max="9724" width="10.5" style="1" customWidth="1"/>
    <col min="9725" max="9725" width="10.1640625" style="1" customWidth="1"/>
    <col min="9726" max="9726" width="11" style="1" customWidth="1"/>
    <col min="9727" max="9727" width="10.33203125" style="1" customWidth="1"/>
    <col min="9728" max="9728" width="9.83203125" style="1" customWidth="1"/>
    <col min="9729" max="9729" width="11.1640625" style="1" customWidth="1"/>
    <col min="9730" max="9730" width="10.5" style="1" customWidth="1"/>
    <col min="9731" max="9731" width="8.83203125" style="1" customWidth="1"/>
    <col min="9732" max="9732" width="10.33203125" style="1" customWidth="1"/>
    <col min="9733" max="9733" width="10.6640625" style="1" customWidth="1"/>
    <col min="9734" max="9734" width="12.5" style="1" customWidth="1"/>
    <col min="9735" max="9735" width="11.83203125" style="1" customWidth="1"/>
    <col min="9736" max="9736" width="11.1640625" style="1" customWidth="1"/>
    <col min="9737" max="9737" width="11" style="1" customWidth="1"/>
    <col min="9738" max="9738" width="11.1640625" style="1" customWidth="1"/>
    <col min="9739" max="9739" width="10.1640625" style="1" customWidth="1"/>
    <col min="9740" max="9740" width="11.83203125" style="1" customWidth="1"/>
    <col min="9741" max="9741" width="9.33203125" style="1"/>
    <col min="9742" max="9742" width="10.1640625" style="1" customWidth="1"/>
    <col min="9743" max="9743" width="10" style="1" customWidth="1"/>
    <col min="9744" max="9744" width="10.83203125" style="1" customWidth="1"/>
    <col min="9745" max="9745" width="11.33203125" style="1" customWidth="1"/>
    <col min="9746" max="9973" width="9.33203125" style="1"/>
    <col min="9974" max="9975" width="4.5" style="1" customWidth="1"/>
    <col min="9976" max="9976" width="8.6640625" style="1" customWidth="1"/>
    <col min="9977" max="9977" width="49.1640625" style="1" customWidth="1"/>
    <col min="9978" max="9978" width="3.1640625" style="1" customWidth="1"/>
    <col min="9979" max="9979" width="8.6640625" style="1" customWidth="1"/>
    <col min="9980" max="9980" width="10.5" style="1" customWidth="1"/>
    <col min="9981" max="9981" width="10.1640625" style="1" customWidth="1"/>
    <col min="9982" max="9982" width="11" style="1" customWidth="1"/>
    <col min="9983" max="9983" width="10.33203125" style="1" customWidth="1"/>
    <col min="9984" max="9984" width="9.83203125" style="1" customWidth="1"/>
    <col min="9985" max="9985" width="11.1640625" style="1" customWidth="1"/>
    <col min="9986" max="9986" width="10.5" style="1" customWidth="1"/>
    <col min="9987" max="9987" width="8.83203125" style="1" customWidth="1"/>
    <col min="9988" max="9988" width="10.33203125" style="1" customWidth="1"/>
    <col min="9989" max="9989" width="10.6640625" style="1" customWidth="1"/>
    <col min="9990" max="9990" width="12.5" style="1" customWidth="1"/>
    <col min="9991" max="9991" width="11.83203125" style="1" customWidth="1"/>
    <col min="9992" max="9992" width="11.1640625" style="1" customWidth="1"/>
    <col min="9993" max="9993" width="11" style="1" customWidth="1"/>
    <col min="9994" max="9994" width="11.1640625" style="1" customWidth="1"/>
    <col min="9995" max="9995" width="10.1640625" style="1" customWidth="1"/>
    <col min="9996" max="9996" width="11.83203125" style="1" customWidth="1"/>
    <col min="9997" max="9997" width="9.33203125" style="1"/>
    <col min="9998" max="9998" width="10.1640625" style="1" customWidth="1"/>
    <col min="9999" max="9999" width="10" style="1" customWidth="1"/>
    <col min="10000" max="10000" width="10.83203125" style="1" customWidth="1"/>
    <col min="10001" max="10001" width="11.33203125" style="1" customWidth="1"/>
    <col min="10002" max="10229" width="9.33203125" style="1"/>
    <col min="10230" max="10231" width="4.5" style="1" customWidth="1"/>
    <col min="10232" max="10232" width="8.6640625" style="1" customWidth="1"/>
    <col min="10233" max="10233" width="49.1640625" style="1" customWidth="1"/>
    <col min="10234" max="10234" width="3.1640625" style="1" customWidth="1"/>
    <col min="10235" max="10235" width="8.6640625" style="1" customWidth="1"/>
    <col min="10236" max="10236" width="10.5" style="1" customWidth="1"/>
    <col min="10237" max="10237" width="10.1640625" style="1" customWidth="1"/>
    <col min="10238" max="10238" width="11" style="1" customWidth="1"/>
    <col min="10239" max="10239" width="10.33203125" style="1" customWidth="1"/>
    <col min="10240" max="10240" width="9.83203125" style="1" customWidth="1"/>
    <col min="10241" max="10241" width="11.1640625" style="1" customWidth="1"/>
    <col min="10242" max="10242" width="10.5" style="1" customWidth="1"/>
    <col min="10243" max="10243" width="8.83203125" style="1" customWidth="1"/>
    <col min="10244" max="10244" width="10.33203125" style="1" customWidth="1"/>
    <col min="10245" max="10245" width="10.6640625" style="1" customWidth="1"/>
    <col min="10246" max="10246" width="12.5" style="1" customWidth="1"/>
    <col min="10247" max="10247" width="11.83203125" style="1" customWidth="1"/>
    <col min="10248" max="10248" width="11.1640625" style="1" customWidth="1"/>
    <col min="10249" max="10249" width="11" style="1" customWidth="1"/>
    <col min="10250" max="10250" width="11.1640625" style="1" customWidth="1"/>
    <col min="10251" max="10251" width="10.1640625" style="1" customWidth="1"/>
    <col min="10252" max="10252" width="11.83203125" style="1" customWidth="1"/>
    <col min="10253" max="10253" width="9.33203125" style="1"/>
    <col min="10254" max="10254" width="10.1640625" style="1" customWidth="1"/>
    <col min="10255" max="10255" width="10" style="1" customWidth="1"/>
    <col min="10256" max="10256" width="10.83203125" style="1" customWidth="1"/>
    <col min="10257" max="10257" width="11.33203125" style="1" customWidth="1"/>
    <col min="10258" max="10485" width="9.33203125" style="1"/>
    <col min="10486" max="10487" width="4.5" style="1" customWidth="1"/>
    <col min="10488" max="10488" width="8.6640625" style="1" customWidth="1"/>
    <col min="10489" max="10489" width="49.1640625" style="1" customWidth="1"/>
    <col min="10490" max="10490" width="3.1640625" style="1" customWidth="1"/>
    <col min="10491" max="10491" width="8.6640625" style="1" customWidth="1"/>
    <col min="10492" max="10492" width="10.5" style="1" customWidth="1"/>
    <col min="10493" max="10493" width="10.1640625" style="1" customWidth="1"/>
    <col min="10494" max="10494" width="11" style="1" customWidth="1"/>
    <col min="10495" max="10495" width="10.33203125" style="1" customWidth="1"/>
    <col min="10496" max="10496" width="9.83203125" style="1" customWidth="1"/>
    <col min="10497" max="10497" width="11.1640625" style="1" customWidth="1"/>
    <col min="10498" max="10498" width="10.5" style="1" customWidth="1"/>
    <col min="10499" max="10499" width="8.83203125" style="1" customWidth="1"/>
    <col min="10500" max="10500" width="10.33203125" style="1" customWidth="1"/>
    <col min="10501" max="10501" width="10.6640625" style="1" customWidth="1"/>
    <col min="10502" max="10502" width="12.5" style="1" customWidth="1"/>
    <col min="10503" max="10503" width="11.83203125" style="1" customWidth="1"/>
    <col min="10504" max="10504" width="11.1640625" style="1" customWidth="1"/>
    <col min="10505" max="10505" width="11" style="1" customWidth="1"/>
    <col min="10506" max="10506" width="11.1640625" style="1" customWidth="1"/>
    <col min="10507" max="10507" width="10.1640625" style="1" customWidth="1"/>
    <col min="10508" max="10508" width="11.83203125" style="1" customWidth="1"/>
    <col min="10509" max="10509" width="9.33203125" style="1"/>
    <col min="10510" max="10510" width="10.1640625" style="1" customWidth="1"/>
    <col min="10511" max="10511" width="10" style="1" customWidth="1"/>
    <col min="10512" max="10512" width="10.83203125" style="1" customWidth="1"/>
    <col min="10513" max="10513" width="11.33203125" style="1" customWidth="1"/>
    <col min="10514" max="10741" width="9.33203125" style="1"/>
    <col min="10742" max="10743" width="4.5" style="1" customWidth="1"/>
    <col min="10744" max="10744" width="8.6640625" style="1" customWidth="1"/>
    <col min="10745" max="10745" width="49.1640625" style="1" customWidth="1"/>
    <col min="10746" max="10746" width="3.1640625" style="1" customWidth="1"/>
    <col min="10747" max="10747" width="8.6640625" style="1" customWidth="1"/>
    <col min="10748" max="10748" width="10.5" style="1" customWidth="1"/>
    <col min="10749" max="10749" width="10.1640625" style="1" customWidth="1"/>
    <col min="10750" max="10750" width="11" style="1" customWidth="1"/>
    <col min="10751" max="10751" width="10.33203125" style="1" customWidth="1"/>
    <col min="10752" max="10752" width="9.83203125" style="1" customWidth="1"/>
    <col min="10753" max="10753" width="11.1640625" style="1" customWidth="1"/>
    <col min="10754" max="10754" width="10.5" style="1" customWidth="1"/>
    <col min="10755" max="10755" width="8.83203125" style="1" customWidth="1"/>
    <col min="10756" max="10756" width="10.33203125" style="1" customWidth="1"/>
    <col min="10757" max="10757" width="10.6640625" style="1" customWidth="1"/>
    <col min="10758" max="10758" width="12.5" style="1" customWidth="1"/>
    <col min="10759" max="10759" width="11.83203125" style="1" customWidth="1"/>
    <col min="10760" max="10760" width="11.1640625" style="1" customWidth="1"/>
    <col min="10761" max="10761" width="11" style="1" customWidth="1"/>
    <col min="10762" max="10762" width="11.1640625" style="1" customWidth="1"/>
    <col min="10763" max="10763" width="10.1640625" style="1" customWidth="1"/>
    <col min="10764" max="10764" width="11.83203125" style="1" customWidth="1"/>
    <col min="10765" max="10765" width="9.33203125" style="1"/>
    <col min="10766" max="10766" width="10.1640625" style="1" customWidth="1"/>
    <col min="10767" max="10767" width="10" style="1" customWidth="1"/>
    <col min="10768" max="10768" width="10.83203125" style="1" customWidth="1"/>
    <col min="10769" max="10769" width="11.33203125" style="1" customWidth="1"/>
    <col min="10770" max="10997" width="9.33203125" style="1"/>
    <col min="10998" max="10999" width="4.5" style="1" customWidth="1"/>
    <col min="11000" max="11000" width="8.6640625" style="1" customWidth="1"/>
    <col min="11001" max="11001" width="49.1640625" style="1" customWidth="1"/>
    <col min="11002" max="11002" width="3.1640625" style="1" customWidth="1"/>
    <col min="11003" max="11003" width="8.6640625" style="1" customWidth="1"/>
    <col min="11004" max="11004" width="10.5" style="1" customWidth="1"/>
    <col min="11005" max="11005" width="10.1640625" style="1" customWidth="1"/>
    <col min="11006" max="11006" width="11" style="1" customWidth="1"/>
    <col min="11007" max="11007" width="10.33203125" style="1" customWidth="1"/>
    <col min="11008" max="11008" width="9.83203125" style="1" customWidth="1"/>
    <col min="11009" max="11009" width="11.1640625" style="1" customWidth="1"/>
    <col min="11010" max="11010" width="10.5" style="1" customWidth="1"/>
    <col min="11011" max="11011" width="8.83203125" style="1" customWidth="1"/>
    <col min="11012" max="11012" width="10.33203125" style="1" customWidth="1"/>
    <col min="11013" max="11013" width="10.6640625" style="1" customWidth="1"/>
    <col min="11014" max="11014" width="12.5" style="1" customWidth="1"/>
    <col min="11015" max="11015" width="11.83203125" style="1" customWidth="1"/>
    <col min="11016" max="11016" width="11.1640625" style="1" customWidth="1"/>
    <col min="11017" max="11017" width="11" style="1" customWidth="1"/>
    <col min="11018" max="11018" width="11.1640625" style="1" customWidth="1"/>
    <col min="11019" max="11019" width="10.1640625" style="1" customWidth="1"/>
    <col min="11020" max="11020" width="11.83203125" style="1" customWidth="1"/>
    <col min="11021" max="11021" width="9.33203125" style="1"/>
    <col min="11022" max="11022" width="10.1640625" style="1" customWidth="1"/>
    <col min="11023" max="11023" width="10" style="1" customWidth="1"/>
    <col min="11024" max="11024" width="10.83203125" style="1" customWidth="1"/>
    <col min="11025" max="11025" width="11.33203125" style="1" customWidth="1"/>
    <col min="11026" max="11253" width="9.33203125" style="1"/>
    <col min="11254" max="11255" width="4.5" style="1" customWidth="1"/>
    <col min="11256" max="11256" width="8.6640625" style="1" customWidth="1"/>
    <col min="11257" max="11257" width="49.1640625" style="1" customWidth="1"/>
    <col min="11258" max="11258" width="3.1640625" style="1" customWidth="1"/>
    <col min="11259" max="11259" width="8.6640625" style="1" customWidth="1"/>
    <col min="11260" max="11260" width="10.5" style="1" customWidth="1"/>
    <col min="11261" max="11261" width="10.1640625" style="1" customWidth="1"/>
    <col min="11262" max="11262" width="11" style="1" customWidth="1"/>
    <col min="11263" max="11263" width="10.33203125" style="1" customWidth="1"/>
    <col min="11264" max="11264" width="9.83203125" style="1" customWidth="1"/>
    <col min="11265" max="11265" width="11.1640625" style="1" customWidth="1"/>
    <col min="11266" max="11266" width="10.5" style="1" customWidth="1"/>
    <col min="11267" max="11267" width="8.83203125" style="1" customWidth="1"/>
    <col min="11268" max="11268" width="10.33203125" style="1" customWidth="1"/>
    <col min="11269" max="11269" width="10.6640625" style="1" customWidth="1"/>
    <col min="11270" max="11270" width="12.5" style="1" customWidth="1"/>
    <col min="11271" max="11271" width="11.83203125" style="1" customWidth="1"/>
    <col min="11272" max="11272" width="11.1640625" style="1" customWidth="1"/>
    <col min="11273" max="11273" width="11" style="1" customWidth="1"/>
    <col min="11274" max="11274" width="11.1640625" style="1" customWidth="1"/>
    <col min="11275" max="11275" width="10.1640625" style="1" customWidth="1"/>
    <col min="11276" max="11276" width="11.83203125" style="1" customWidth="1"/>
    <col min="11277" max="11277" width="9.33203125" style="1"/>
    <col min="11278" max="11278" width="10.1640625" style="1" customWidth="1"/>
    <col min="11279" max="11279" width="10" style="1" customWidth="1"/>
    <col min="11280" max="11280" width="10.83203125" style="1" customWidth="1"/>
    <col min="11281" max="11281" width="11.33203125" style="1" customWidth="1"/>
    <col min="11282" max="11509" width="9.33203125" style="1"/>
    <col min="11510" max="11511" width="4.5" style="1" customWidth="1"/>
    <col min="11512" max="11512" width="8.6640625" style="1" customWidth="1"/>
    <col min="11513" max="11513" width="49.1640625" style="1" customWidth="1"/>
    <col min="11514" max="11514" width="3.1640625" style="1" customWidth="1"/>
    <col min="11515" max="11515" width="8.6640625" style="1" customWidth="1"/>
    <col min="11516" max="11516" width="10.5" style="1" customWidth="1"/>
    <col min="11517" max="11517" width="10.1640625" style="1" customWidth="1"/>
    <col min="11518" max="11518" width="11" style="1" customWidth="1"/>
    <col min="11519" max="11519" width="10.33203125" style="1" customWidth="1"/>
    <col min="11520" max="11520" width="9.83203125" style="1" customWidth="1"/>
    <col min="11521" max="11521" width="11.1640625" style="1" customWidth="1"/>
    <col min="11522" max="11522" width="10.5" style="1" customWidth="1"/>
    <col min="11523" max="11523" width="8.83203125" style="1" customWidth="1"/>
    <col min="11524" max="11524" width="10.33203125" style="1" customWidth="1"/>
    <col min="11525" max="11525" width="10.6640625" style="1" customWidth="1"/>
    <col min="11526" max="11526" width="12.5" style="1" customWidth="1"/>
    <col min="11527" max="11527" width="11.83203125" style="1" customWidth="1"/>
    <col min="11528" max="11528" width="11.1640625" style="1" customWidth="1"/>
    <col min="11529" max="11529" width="11" style="1" customWidth="1"/>
    <col min="11530" max="11530" width="11.1640625" style="1" customWidth="1"/>
    <col min="11531" max="11531" width="10.1640625" style="1" customWidth="1"/>
    <col min="11532" max="11532" width="11.83203125" style="1" customWidth="1"/>
    <col min="11533" max="11533" width="9.33203125" style="1"/>
    <col min="11534" max="11534" width="10.1640625" style="1" customWidth="1"/>
    <col min="11535" max="11535" width="10" style="1" customWidth="1"/>
    <col min="11536" max="11536" width="10.83203125" style="1" customWidth="1"/>
    <col min="11537" max="11537" width="11.33203125" style="1" customWidth="1"/>
    <col min="11538" max="11765" width="9.33203125" style="1"/>
    <col min="11766" max="11767" width="4.5" style="1" customWidth="1"/>
    <col min="11768" max="11768" width="8.6640625" style="1" customWidth="1"/>
    <col min="11769" max="11769" width="49.1640625" style="1" customWidth="1"/>
    <col min="11770" max="11770" width="3.1640625" style="1" customWidth="1"/>
    <col min="11771" max="11771" width="8.6640625" style="1" customWidth="1"/>
    <col min="11772" max="11772" width="10.5" style="1" customWidth="1"/>
    <col min="11773" max="11773" width="10.1640625" style="1" customWidth="1"/>
    <col min="11774" max="11774" width="11" style="1" customWidth="1"/>
    <col min="11775" max="11775" width="10.33203125" style="1" customWidth="1"/>
    <col min="11776" max="11776" width="9.83203125" style="1" customWidth="1"/>
    <col min="11777" max="11777" width="11.1640625" style="1" customWidth="1"/>
    <col min="11778" max="11778" width="10.5" style="1" customWidth="1"/>
    <col min="11779" max="11779" width="8.83203125" style="1" customWidth="1"/>
    <col min="11780" max="11780" width="10.33203125" style="1" customWidth="1"/>
    <col min="11781" max="11781" width="10.6640625" style="1" customWidth="1"/>
    <col min="11782" max="11782" width="12.5" style="1" customWidth="1"/>
    <col min="11783" max="11783" width="11.83203125" style="1" customWidth="1"/>
    <col min="11784" max="11784" width="11.1640625" style="1" customWidth="1"/>
    <col min="11785" max="11785" width="11" style="1" customWidth="1"/>
    <col min="11786" max="11786" width="11.1640625" style="1" customWidth="1"/>
    <col min="11787" max="11787" width="10.1640625" style="1" customWidth="1"/>
    <col min="11788" max="11788" width="11.83203125" style="1" customWidth="1"/>
    <col min="11789" max="11789" width="9.33203125" style="1"/>
    <col min="11790" max="11790" width="10.1640625" style="1" customWidth="1"/>
    <col min="11791" max="11791" width="10" style="1" customWidth="1"/>
    <col min="11792" max="11792" width="10.83203125" style="1" customWidth="1"/>
    <col min="11793" max="11793" width="11.33203125" style="1" customWidth="1"/>
    <col min="11794" max="12021" width="9.33203125" style="1"/>
    <col min="12022" max="12023" width="4.5" style="1" customWidth="1"/>
    <col min="12024" max="12024" width="8.6640625" style="1" customWidth="1"/>
    <col min="12025" max="12025" width="49.1640625" style="1" customWidth="1"/>
    <col min="12026" max="12026" width="3.1640625" style="1" customWidth="1"/>
    <col min="12027" max="12027" width="8.6640625" style="1" customWidth="1"/>
    <col min="12028" max="12028" width="10.5" style="1" customWidth="1"/>
    <col min="12029" max="12029" width="10.1640625" style="1" customWidth="1"/>
    <col min="12030" max="12030" width="11" style="1" customWidth="1"/>
    <col min="12031" max="12031" width="10.33203125" style="1" customWidth="1"/>
    <col min="12032" max="12032" width="9.83203125" style="1" customWidth="1"/>
    <col min="12033" max="12033" width="11.1640625" style="1" customWidth="1"/>
    <col min="12034" max="12034" width="10.5" style="1" customWidth="1"/>
    <col min="12035" max="12035" width="8.83203125" style="1" customWidth="1"/>
    <col min="12036" max="12036" width="10.33203125" style="1" customWidth="1"/>
    <col min="12037" max="12037" width="10.6640625" style="1" customWidth="1"/>
    <col min="12038" max="12038" width="12.5" style="1" customWidth="1"/>
    <col min="12039" max="12039" width="11.83203125" style="1" customWidth="1"/>
    <col min="12040" max="12040" width="11.1640625" style="1" customWidth="1"/>
    <col min="12041" max="12041" width="11" style="1" customWidth="1"/>
    <col min="12042" max="12042" width="11.1640625" style="1" customWidth="1"/>
    <col min="12043" max="12043" width="10.1640625" style="1" customWidth="1"/>
    <col min="12044" max="12044" width="11.83203125" style="1" customWidth="1"/>
    <col min="12045" max="12045" width="9.33203125" style="1"/>
    <col min="12046" max="12046" width="10.1640625" style="1" customWidth="1"/>
    <col min="12047" max="12047" width="10" style="1" customWidth="1"/>
    <col min="12048" max="12048" width="10.83203125" style="1" customWidth="1"/>
    <col min="12049" max="12049" width="11.33203125" style="1" customWidth="1"/>
    <col min="12050" max="12277" width="9.33203125" style="1"/>
    <col min="12278" max="12279" width="4.5" style="1" customWidth="1"/>
    <col min="12280" max="12280" width="8.6640625" style="1" customWidth="1"/>
    <col min="12281" max="12281" width="49.1640625" style="1" customWidth="1"/>
    <col min="12282" max="12282" width="3.1640625" style="1" customWidth="1"/>
    <col min="12283" max="12283" width="8.6640625" style="1" customWidth="1"/>
    <col min="12284" max="12284" width="10.5" style="1" customWidth="1"/>
    <col min="12285" max="12285" width="10.1640625" style="1" customWidth="1"/>
    <col min="12286" max="12286" width="11" style="1" customWidth="1"/>
    <col min="12287" max="12287" width="10.33203125" style="1" customWidth="1"/>
    <col min="12288" max="12288" width="9.83203125" style="1" customWidth="1"/>
    <col min="12289" max="12289" width="11.1640625" style="1" customWidth="1"/>
    <col min="12290" max="12290" width="10.5" style="1" customWidth="1"/>
    <col min="12291" max="12291" width="8.83203125" style="1" customWidth="1"/>
    <col min="12292" max="12292" width="10.33203125" style="1" customWidth="1"/>
    <col min="12293" max="12293" width="10.6640625" style="1" customWidth="1"/>
    <col min="12294" max="12294" width="12.5" style="1" customWidth="1"/>
    <col min="12295" max="12295" width="11.83203125" style="1" customWidth="1"/>
    <col min="12296" max="12296" width="11.1640625" style="1" customWidth="1"/>
    <col min="12297" max="12297" width="11" style="1" customWidth="1"/>
    <col min="12298" max="12298" width="11.1640625" style="1" customWidth="1"/>
    <col min="12299" max="12299" width="10.1640625" style="1" customWidth="1"/>
    <col min="12300" max="12300" width="11.83203125" style="1" customWidth="1"/>
    <col min="12301" max="12301" width="9.33203125" style="1"/>
    <col min="12302" max="12302" width="10.1640625" style="1" customWidth="1"/>
    <col min="12303" max="12303" width="10" style="1" customWidth="1"/>
    <col min="12304" max="12304" width="10.83203125" style="1" customWidth="1"/>
    <col min="12305" max="12305" width="11.33203125" style="1" customWidth="1"/>
    <col min="12306" max="12533" width="9.33203125" style="1"/>
    <col min="12534" max="12535" width="4.5" style="1" customWidth="1"/>
    <col min="12536" max="12536" width="8.6640625" style="1" customWidth="1"/>
    <col min="12537" max="12537" width="49.1640625" style="1" customWidth="1"/>
    <col min="12538" max="12538" width="3.1640625" style="1" customWidth="1"/>
    <col min="12539" max="12539" width="8.6640625" style="1" customWidth="1"/>
    <col min="12540" max="12540" width="10.5" style="1" customWidth="1"/>
    <col min="12541" max="12541" width="10.1640625" style="1" customWidth="1"/>
    <col min="12542" max="12542" width="11" style="1" customWidth="1"/>
    <col min="12543" max="12543" width="10.33203125" style="1" customWidth="1"/>
    <col min="12544" max="12544" width="9.83203125" style="1" customWidth="1"/>
    <col min="12545" max="12545" width="11.1640625" style="1" customWidth="1"/>
    <col min="12546" max="12546" width="10.5" style="1" customWidth="1"/>
    <col min="12547" max="12547" width="8.83203125" style="1" customWidth="1"/>
    <col min="12548" max="12548" width="10.33203125" style="1" customWidth="1"/>
    <col min="12549" max="12549" width="10.6640625" style="1" customWidth="1"/>
    <col min="12550" max="12550" width="12.5" style="1" customWidth="1"/>
    <col min="12551" max="12551" width="11.83203125" style="1" customWidth="1"/>
    <col min="12552" max="12552" width="11.1640625" style="1" customWidth="1"/>
    <col min="12553" max="12553" width="11" style="1" customWidth="1"/>
    <col min="12554" max="12554" width="11.1640625" style="1" customWidth="1"/>
    <col min="12555" max="12555" width="10.1640625" style="1" customWidth="1"/>
    <col min="12556" max="12556" width="11.83203125" style="1" customWidth="1"/>
    <col min="12557" max="12557" width="9.33203125" style="1"/>
    <col min="12558" max="12558" width="10.1640625" style="1" customWidth="1"/>
    <col min="12559" max="12559" width="10" style="1" customWidth="1"/>
    <col min="12560" max="12560" width="10.83203125" style="1" customWidth="1"/>
    <col min="12561" max="12561" width="11.33203125" style="1" customWidth="1"/>
    <col min="12562" max="12789" width="9.33203125" style="1"/>
    <col min="12790" max="12791" width="4.5" style="1" customWidth="1"/>
    <col min="12792" max="12792" width="8.6640625" style="1" customWidth="1"/>
    <col min="12793" max="12793" width="49.1640625" style="1" customWidth="1"/>
    <col min="12794" max="12794" width="3.1640625" style="1" customWidth="1"/>
    <col min="12795" max="12795" width="8.6640625" style="1" customWidth="1"/>
    <col min="12796" max="12796" width="10.5" style="1" customWidth="1"/>
    <col min="12797" max="12797" width="10.1640625" style="1" customWidth="1"/>
    <col min="12798" max="12798" width="11" style="1" customWidth="1"/>
    <col min="12799" max="12799" width="10.33203125" style="1" customWidth="1"/>
    <col min="12800" max="12800" width="9.83203125" style="1" customWidth="1"/>
    <col min="12801" max="12801" width="11.1640625" style="1" customWidth="1"/>
    <col min="12802" max="12802" width="10.5" style="1" customWidth="1"/>
    <col min="12803" max="12803" width="8.83203125" style="1" customWidth="1"/>
    <col min="12804" max="12804" width="10.33203125" style="1" customWidth="1"/>
    <col min="12805" max="12805" width="10.6640625" style="1" customWidth="1"/>
    <col min="12806" max="12806" width="12.5" style="1" customWidth="1"/>
    <col min="12807" max="12807" width="11.83203125" style="1" customWidth="1"/>
    <col min="12808" max="12808" width="11.1640625" style="1" customWidth="1"/>
    <col min="12809" max="12809" width="11" style="1" customWidth="1"/>
    <col min="12810" max="12810" width="11.1640625" style="1" customWidth="1"/>
    <col min="12811" max="12811" width="10.1640625" style="1" customWidth="1"/>
    <col min="12812" max="12812" width="11.83203125" style="1" customWidth="1"/>
    <col min="12813" max="12813" width="9.33203125" style="1"/>
    <col min="12814" max="12814" width="10.1640625" style="1" customWidth="1"/>
    <col min="12815" max="12815" width="10" style="1" customWidth="1"/>
    <col min="12816" max="12816" width="10.83203125" style="1" customWidth="1"/>
    <col min="12817" max="12817" width="11.33203125" style="1" customWidth="1"/>
    <col min="12818" max="13045" width="9.33203125" style="1"/>
    <col min="13046" max="13047" width="4.5" style="1" customWidth="1"/>
    <col min="13048" max="13048" width="8.6640625" style="1" customWidth="1"/>
    <col min="13049" max="13049" width="49.1640625" style="1" customWidth="1"/>
    <col min="13050" max="13050" width="3.1640625" style="1" customWidth="1"/>
    <col min="13051" max="13051" width="8.6640625" style="1" customWidth="1"/>
    <col min="13052" max="13052" width="10.5" style="1" customWidth="1"/>
    <col min="13053" max="13053" width="10.1640625" style="1" customWidth="1"/>
    <col min="13054" max="13054" width="11" style="1" customWidth="1"/>
    <col min="13055" max="13055" width="10.33203125" style="1" customWidth="1"/>
    <col min="13056" max="13056" width="9.83203125" style="1" customWidth="1"/>
    <col min="13057" max="13057" width="11.1640625" style="1" customWidth="1"/>
    <col min="13058" max="13058" width="10.5" style="1" customWidth="1"/>
    <col min="13059" max="13059" width="8.83203125" style="1" customWidth="1"/>
    <col min="13060" max="13060" width="10.33203125" style="1" customWidth="1"/>
    <col min="13061" max="13061" width="10.6640625" style="1" customWidth="1"/>
    <col min="13062" max="13062" width="12.5" style="1" customWidth="1"/>
    <col min="13063" max="13063" width="11.83203125" style="1" customWidth="1"/>
    <col min="13064" max="13064" width="11.1640625" style="1" customWidth="1"/>
    <col min="13065" max="13065" width="11" style="1" customWidth="1"/>
    <col min="13066" max="13066" width="11.1640625" style="1" customWidth="1"/>
    <col min="13067" max="13067" width="10.1640625" style="1" customWidth="1"/>
    <col min="13068" max="13068" width="11.83203125" style="1" customWidth="1"/>
    <col min="13069" max="13069" width="9.33203125" style="1"/>
    <col min="13070" max="13070" width="10.1640625" style="1" customWidth="1"/>
    <col min="13071" max="13071" width="10" style="1" customWidth="1"/>
    <col min="13072" max="13072" width="10.83203125" style="1" customWidth="1"/>
    <col min="13073" max="13073" width="11.33203125" style="1" customWidth="1"/>
    <col min="13074" max="13301" width="9.33203125" style="1"/>
    <col min="13302" max="13303" width="4.5" style="1" customWidth="1"/>
    <col min="13304" max="13304" width="8.6640625" style="1" customWidth="1"/>
    <col min="13305" max="13305" width="49.1640625" style="1" customWidth="1"/>
    <col min="13306" max="13306" width="3.1640625" style="1" customWidth="1"/>
    <col min="13307" max="13307" width="8.6640625" style="1" customWidth="1"/>
    <col min="13308" max="13308" width="10.5" style="1" customWidth="1"/>
    <col min="13309" max="13309" width="10.1640625" style="1" customWidth="1"/>
    <col min="13310" max="13310" width="11" style="1" customWidth="1"/>
    <col min="13311" max="13311" width="10.33203125" style="1" customWidth="1"/>
    <col min="13312" max="13312" width="9.83203125" style="1" customWidth="1"/>
    <col min="13313" max="13313" width="11.1640625" style="1" customWidth="1"/>
    <col min="13314" max="13314" width="10.5" style="1" customWidth="1"/>
    <col min="13315" max="13315" width="8.83203125" style="1" customWidth="1"/>
    <col min="13316" max="13316" width="10.33203125" style="1" customWidth="1"/>
    <col min="13317" max="13317" width="10.6640625" style="1" customWidth="1"/>
    <col min="13318" max="13318" width="12.5" style="1" customWidth="1"/>
    <col min="13319" max="13319" width="11.83203125" style="1" customWidth="1"/>
    <col min="13320" max="13320" width="11.1640625" style="1" customWidth="1"/>
    <col min="13321" max="13321" width="11" style="1" customWidth="1"/>
    <col min="13322" max="13322" width="11.1640625" style="1" customWidth="1"/>
    <col min="13323" max="13323" width="10.1640625" style="1" customWidth="1"/>
    <col min="13324" max="13324" width="11.83203125" style="1" customWidth="1"/>
    <col min="13325" max="13325" width="9.33203125" style="1"/>
    <col min="13326" max="13326" width="10.1640625" style="1" customWidth="1"/>
    <col min="13327" max="13327" width="10" style="1" customWidth="1"/>
    <col min="13328" max="13328" width="10.83203125" style="1" customWidth="1"/>
    <col min="13329" max="13329" width="11.33203125" style="1" customWidth="1"/>
    <col min="13330" max="13557" width="9.33203125" style="1"/>
    <col min="13558" max="13559" width="4.5" style="1" customWidth="1"/>
    <col min="13560" max="13560" width="8.6640625" style="1" customWidth="1"/>
    <col min="13561" max="13561" width="49.1640625" style="1" customWidth="1"/>
    <col min="13562" max="13562" width="3.1640625" style="1" customWidth="1"/>
    <col min="13563" max="13563" width="8.6640625" style="1" customWidth="1"/>
    <col min="13564" max="13564" width="10.5" style="1" customWidth="1"/>
    <col min="13565" max="13565" width="10.1640625" style="1" customWidth="1"/>
    <col min="13566" max="13566" width="11" style="1" customWidth="1"/>
    <col min="13567" max="13567" width="10.33203125" style="1" customWidth="1"/>
    <col min="13568" max="13568" width="9.83203125" style="1" customWidth="1"/>
    <col min="13569" max="13569" width="11.1640625" style="1" customWidth="1"/>
    <col min="13570" max="13570" width="10.5" style="1" customWidth="1"/>
    <col min="13571" max="13571" width="8.83203125" style="1" customWidth="1"/>
    <col min="13572" max="13572" width="10.33203125" style="1" customWidth="1"/>
    <col min="13573" max="13573" width="10.6640625" style="1" customWidth="1"/>
    <col min="13574" max="13574" width="12.5" style="1" customWidth="1"/>
    <col min="13575" max="13575" width="11.83203125" style="1" customWidth="1"/>
    <col min="13576" max="13576" width="11.1640625" style="1" customWidth="1"/>
    <col min="13577" max="13577" width="11" style="1" customWidth="1"/>
    <col min="13578" max="13578" width="11.1640625" style="1" customWidth="1"/>
    <col min="13579" max="13579" width="10.1640625" style="1" customWidth="1"/>
    <col min="13580" max="13580" width="11.83203125" style="1" customWidth="1"/>
    <col min="13581" max="13581" width="9.33203125" style="1"/>
    <col min="13582" max="13582" width="10.1640625" style="1" customWidth="1"/>
    <col min="13583" max="13583" width="10" style="1" customWidth="1"/>
    <col min="13584" max="13584" width="10.83203125" style="1" customWidth="1"/>
    <col min="13585" max="13585" width="11.33203125" style="1" customWidth="1"/>
    <col min="13586" max="13813" width="9.33203125" style="1"/>
    <col min="13814" max="13815" width="4.5" style="1" customWidth="1"/>
    <col min="13816" max="13816" width="8.6640625" style="1" customWidth="1"/>
    <col min="13817" max="13817" width="49.1640625" style="1" customWidth="1"/>
    <col min="13818" max="13818" width="3.1640625" style="1" customWidth="1"/>
    <col min="13819" max="13819" width="8.6640625" style="1" customWidth="1"/>
    <col min="13820" max="13820" width="10.5" style="1" customWidth="1"/>
    <col min="13821" max="13821" width="10.1640625" style="1" customWidth="1"/>
    <col min="13822" max="13822" width="11" style="1" customWidth="1"/>
    <col min="13823" max="13823" width="10.33203125" style="1" customWidth="1"/>
    <col min="13824" max="13824" width="9.83203125" style="1" customWidth="1"/>
    <col min="13825" max="13825" width="11.1640625" style="1" customWidth="1"/>
    <col min="13826" max="13826" width="10.5" style="1" customWidth="1"/>
    <col min="13827" max="13827" width="8.83203125" style="1" customWidth="1"/>
    <col min="13828" max="13828" width="10.33203125" style="1" customWidth="1"/>
    <col min="13829" max="13829" width="10.6640625" style="1" customWidth="1"/>
    <col min="13830" max="13830" width="12.5" style="1" customWidth="1"/>
    <col min="13831" max="13831" width="11.83203125" style="1" customWidth="1"/>
    <col min="13832" max="13832" width="11.1640625" style="1" customWidth="1"/>
    <col min="13833" max="13833" width="11" style="1" customWidth="1"/>
    <col min="13834" max="13834" width="11.1640625" style="1" customWidth="1"/>
    <col min="13835" max="13835" width="10.1640625" style="1" customWidth="1"/>
    <col min="13836" max="13836" width="11.83203125" style="1" customWidth="1"/>
    <col min="13837" max="13837" width="9.33203125" style="1"/>
    <col min="13838" max="13838" width="10.1640625" style="1" customWidth="1"/>
    <col min="13839" max="13839" width="10" style="1" customWidth="1"/>
    <col min="13840" max="13840" width="10.83203125" style="1" customWidth="1"/>
    <col min="13841" max="13841" width="11.33203125" style="1" customWidth="1"/>
    <col min="13842" max="14069" width="9.33203125" style="1"/>
    <col min="14070" max="14071" width="4.5" style="1" customWidth="1"/>
    <col min="14072" max="14072" width="8.6640625" style="1" customWidth="1"/>
    <col min="14073" max="14073" width="49.1640625" style="1" customWidth="1"/>
    <col min="14074" max="14074" width="3.1640625" style="1" customWidth="1"/>
    <col min="14075" max="14075" width="8.6640625" style="1" customWidth="1"/>
    <col min="14076" max="14076" width="10.5" style="1" customWidth="1"/>
    <col min="14077" max="14077" width="10.1640625" style="1" customWidth="1"/>
    <col min="14078" max="14078" width="11" style="1" customWidth="1"/>
    <col min="14079" max="14079" width="10.33203125" style="1" customWidth="1"/>
    <col min="14080" max="14080" width="9.83203125" style="1" customWidth="1"/>
    <col min="14081" max="14081" width="11.1640625" style="1" customWidth="1"/>
    <col min="14082" max="14082" width="10.5" style="1" customWidth="1"/>
    <col min="14083" max="14083" width="8.83203125" style="1" customWidth="1"/>
    <col min="14084" max="14084" width="10.33203125" style="1" customWidth="1"/>
    <col min="14085" max="14085" width="10.6640625" style="1" customWidth="1"/>
    <col min="14086" max="14086" width="12.5" style="1" customWidth="1"/>
    <col min="14087" max="14087" width="11.83203125" style="1" customWidth="1"/>
    <col min="14088" max="14088" width="11.1640625" style="1" customWidth="1"/>
    <col min="14089" max="14089" width="11" style="1" customWidth="1"/>
    <col min="14090" max="14090" width="11.1640625" style="1" customWidth="1"/>
    <col min="14091" max="14091" width="10.1640625" style="1" customWidth="1"/>
    <col min="14092" max="14092" width="11.83203125" style="1" customWidth="1"/>
    <col min="14093" max="14093" width="9.33203125" style="1"/>
    <col min="14094" max="14094" width="10.1640625" style="1" customWidth="1"/>
    <col min="14095" max="14095" width="10" style="1" customWidth="1"/>
    <col min="14096" max="14096" width="10.83203125" style="1" customWidth="1"/>
    <col min="14097" max="14097" width="11.33203125" style="1" customWidth="1"/>
    <col min="14098" max="14325" width="9.33203125" style="1"/>
    <col min="14326" max="14327" width="4.5" style="1" customWidth="1"/>
    <col min="14328" max="14328" width="8.6640625" style="1" customWidth="1"/>
    <col min="14329" max="14329" width="49.1640625" style="1" customWidth="1"/>
    <col min="14330" max="14330" width="3.1640625" style="1" customWidth="1"/>
    <col min="14331" max="14331" width="8.6640625" style="1" customWidth="1"/>
    <col min="14332" max="14332" width="10.5" style="1" customWidth="1"/>
    <col min="14333" max="14333" width="10.1640625" style="1" customWidth="1"/>
    <col min="14334" max="14334" width="11" style="1" customWidth="1"/>
    <col min="14335" max="14335" width="10.33203125" style="1" customWidth="1"/>
    <col min="14336" max="14336" width="9.83203125" style="1" customWidth="1"/>
    <col min="14337" max="14337" width="11.1640625" style="1" customWidth="1"/>
    <col min="14338" max="14338" width="10.5" style="1" customWidth="1"/>
    <col min="14339" max="14339" width="8.83203125" style="1" customWidth="1"/>
    <col min="14340" max="14340" width="10.33203125" style="1" customWidth="1"/>
    <col min="14341" max="14341" width="10.6640625" style="1" customWidth="1"/>
    <col min="14342" max="14342" width="12.5" style="1" customWidth="1"/>
    <col min="14343" max="14343" width="11.83203125" style="1" customWidth="1"/>
    <col min="14344" max="14344" width="11.1640625" style="1" customWidth="1"/>
    <col min="14345" max="14345" width="11" style="1" customWidth="1"/>
    <col min="14346" max="14346" width="11.1640625" style="1" customWidth="1"/>
    <col min="14347" max="14347" width="10.1640625" style="1" customWidth="1"/>
    <col min="14348" max="14348" width="11.83203125" style="1" customWidth="1"/>
    <col min="14349" max="14349" width="9.33203125" style="1"/>
    <col min="14350" max="14350" width="10.1640625" style="1" customWidth="1"/>
    <col min="14351" max="14351" width="10" style="1" customWidth="1"/>
    <col min="14352" max="14352" width="10.83203125" style="1" customWidth="1"/>
    <col min="14353" max="14353" width="11.33203125" style="1" customWidth="1"/>
    <col min="14354" max="14581" width="9.33203125" style="1"/>
    <col min="14582" max="14583" width="4.5" style="1" customWidth="1"/>
    <col min="14584" max="14584" width="8.6640625" style="1" customWidth="1"/>
    <col min="14585" max="14585" width="49.1640625" style="1" customWidth="1"/>
    <col min="14586" max="14586" width="3.1640625" style="1" customWidth="1"/>
    <col min="14587" max="14587" width="8.6640625" style="1" customWidth="1"/>
    <col min="14588" max="14588" width="10.5" style="1" customWidth="1"/>
    <col min="14589" max="14589" width="10.1640625" style="1" customWidth="1"/>
    <col min="14590" max="14590" width="11" style="1" customWidth="1"/>
    <col min="14591" max="14591" width="10.33203125" style="1" customWidth="1"/>
    <col min="14592" max="14592" width="9.83203125" style="1" customWidth="1"/>
    <col min="14593" max="14593" width="11.1640625" style="1" customWidth="1"/>
    <col min="14594" max="14594" width="10.5" style="1" customWidth="1"/>
    <col min="14595" max="14595" width="8.83203125" style="1" customWidth="1"/>
    <col min="14596" max="14596" width="10.33203125" style="1" customWidth="1"/>
    <col min="14597" max="14597" width="10.6640625" style="1" customWidth="1"/>
    <col min="14598" max="14598" width="12.5" style="1" customWidth="1"/>
    <col min="14599" max="14599" width="11.83203125" style="1" customWidth="1"/>
    <col min="14600" max="14600" width="11.1640625" style="1" customWidth="1"/>
    <col min="14601" max="14601" width="11" style="1" customWidth="1"/>
    <col min="14602" max="14602" width="11.1640625" style="1" customWidth="1"/>
    <col min="14603" max="14603" width="10.1640625" style="1" customWidth="1"/>
    <col min="14604" max="14604" width="11.83203125" style="1" customWidth="1"/>
    <col min="14605" max="14605" width="9.33203125" style="1"/>
    <col min="14606" max="14606" width="10.1640625" style="1" customWidth="1"/>
    <col min="14607" max="14607" width="10" style="1" customWidth="1"/>
    <col min="14608" max="14608" width="10.83203125" style="1" customWidth="1"/>
    <col min="14609" max="14609" width="11.33203125" style="1" customWidth="1"/>
    <col min="14610" max="14837" width="9.33203125" style="1"/>
    <col min="14838" max="14839" width="4.5" style="1" customWidth="1"/>
    <col min="14840" max="14840" width="8.6640625" style="1" customWidth="1"/>
    <col min="14841" max="14841" width="49.1640625" style="1" customWidth="1"/>
    <col min="14842" max="14842" width="3.1640625" style="1" customWidth="1"/>
    <col min="14843" max="14843" width="8.6640625" style="1" customWidth="1"/>
    <col min="14844" max="14844" width="10.5" style="1" customWidth="1"/>
    <col min="14845" max="14845" width="10.1640625" style="1" customWidth="1"/>
    <col min="14846" max="14846" width="11" style="1" customWidth="1"/>
    <col min="14847" max="14847" width="10.33203125" style="1" customWidth="1"/>
    <col min="14848" max="14848" width="9.83203125" style="1" customWidth="1"/>
    <col min="14849" max="14849" width="11.1640625" style="1" customWidth="1"/>
    <col min="14850" max="14850" width="10.5" style="1" customWidth="1"/>
    <col min="14851" max="14851" width="8.83203125" style="1" customWidth="1"/>
    <col min="14852" max="14852" width="10.33203125" style="1" customWidth="1"/>
    <col min="14853" max="14853" width="10.6640625" style="1" customWidth="1"/>
    <col min="14854" max="14854" width="12.5" style="1" customWidth="1"/>
    <col min="14855" max="14855" width="11.83203125" style="1" customWidth="1"/>
    <col min="14856" max="14856" width="11.1640625" style="1" customWidth="1"/>
    <col min="14857" max="14857" width="11" style="1" customWidth="1"/>
    <col min="14858" max="14858" width="11.1640625" style="1" customWidth="1"/>
    <col min="14859" max="14859" width="10.1640625" style="1" customWidth="1"/>
    <col min="14860" max="14860" width="11.83203125" style="1" customWidth="1"/>
    <col min="14861" max="14861" width="9.33203125" style="1"/>
    <col min="14862" max="14862" width="10.1640625" style="1" customWidth="1"/>
    <col min="14863" max="14863" width="10" style="1" customWidth="1"/>
    <col min="14864" max="14864" width="10.83203125" style="1" customWidth="1"/>
    <col min="14865" max="14865" width="11.33203125" style="1" customWidth="1"/>
    <col min="14866" max="15093" width="9.33203125" style="1"/>
    <col min="15094" max="15095" width="4.5" style="1" customWidth="1"/>
    <col min="15096" max="15096" width="8.6640625" style="1" customWidth="1"/>
    <col min="15097" max="15097" width="49.1640625" style="1" customWidth="1"/>
    <col min="15098" max="15098" width="3.1640625" style="1" customWidth="1"/>
    <col min="15099" max="15099" width="8.6640625" style="1" customWidth="1"/>
    <col min="15100" max="15100" width="10.5" style="1" customWidth="1"/>
    <col min="15101" max="15101" width="10.1640625" style="1" customWidth="1"/>
    <col min="15102" max="15102" width="11" style="1" customWidth="1"/>
    <col min="15103" max="15103" width="10.33203125" style="1" customWidth="1"/>
    <col min="15104" max="15104" width="9.83203125" style="1" customWidth="1"/>
    <col min="15105" max="15105" width="11.1640625" style="1" customWidth="1"/>
    <col min="15106" max="15106" width="10.5" style="1" customWidth="1"/>
    <col min="15107" max="15107" width="8.83203125" style="1" customWidth="1"/>
    <col min="15108" max="15108" width="10.33203125" style="1" customWidth="1"/>
    <col min="15109" max="15109" width="10.6640625" style="1" customWidth="1"/>
    <col min="15110" max="15110" width="12.5" style="1" customWidth="1"/>
    <col min="15111" max="15111" width="11.83203125" style="1" customWidth="1"/>
    <col min="15112" max="15112" width="11.1640625" style="1" customWidth="1"/>
    <col min="15113" max="15113" width="11" style="1" customWidth="1"/>
    <col min="15114" max="15114" width="11.1640625" style="1" customWidth="1"/>
    <col min="15115" max="15115" width="10.1640625" style="1" customWidth="1"/>
    <col min="15116" max="15116" width="11.83203125" style="1" customWidth="1"/>
    <col min="15117" max="15117" width="9.33203125" style="1"/>
    <col min="15118" max="15118" width="10.1640625" style="1" customWidth="1"/>
    <col min="15119" max="15119" width="10" style="1" customWidth="1"/>
    <col min="15120" max="15120" width="10.83203125" style="1" customWidth="1"/>
    <col min="15121" max="15121" width="11.33203125" style="1" customWidth="1"/>
    <col min="15122" max="15349" width="9.33203125" style="1"/>
    <col min="15350" max="15351" width="4.5" style="1" customWidth="1"/>
    <col min="15352" max="15352" width="8.6640625" style="1" customWidth="1"/>
    <col min="15353" max="15353" width="49.1640625" style="1" customWidth="1"/>
    <col min="15354" max="15354" width="3.1640625" style="1" customWidth="1"/>
    <col min="15355" max="15355" width="8.6640625" style="1" customWidth="1"/>
    <col min="15356" max="15356" width="10.5" style="1" customWidth="1"/>
    <col min="15357" max="15357" width="10.1640625" style="1" customWidth="1"/>
    <col min="15358" max="15358" width="11" style="1" customWidth="1"/>
    <col min="15359" max="15359" width="10.33203125" style="1" customWidth="1"/>
    <col min="15360" max="15360" width="9.83203125" style="1" customWidth="1"/>
    <col min="15361" max="15361" width="11.1640625" style="1" customWidth="1"/>
    <col min="15362" max="15362" width="10.5" style="1" customWidth="1"/>
    <col min="15363" max="15363" width="8.83203125" style="1" customWidth="1"/>
    <col min="15364" max="15364" width="10.33203125" style="1" customWidth="1"/>
    <col min="15365" max="15365" width="10.6640625" style="1" customWidth="1"/>
    <col min="15366" max="15366" width="12.5" style="1" customWidth="1"/>
    <col min="15367" max="15367" width="11.83203125" style="1" customWidth="1"/>
    <col min="15368" max="15368" width="11.1640625" style="1" customWidth="1"/>
    <col min="15369" max="15369" width="11" style="1" customWidth="1"/>
    <col min="15370" max="15370" width="11.1640625" style="1" customWidth="1"/>
    <col min="15371" max="15371" width="10.1640625" style="1" customWidth="1"/>
    <col min="15372" max="15372" width="11.83203125" style="1" customWidth="1"/>
    <col min="15373" max="15373" width="9.33203125" style="1"/>
    <col min="15374" max="15374" width="10.1640625" style="1" customWidth="1"/>
    <col min="15375" max="15375" width="10" style="1" customWidth="1"/>
    <col min="15376" max="15376" width="10.83203125" style="1" customWidth="1"/>
    <col min="15377" max="15377" width="11.33203125" style="1" customWidth="1"/>
    <col min="15378" max="15605" width="9.33203125" style="1"/>
    <col min="15606" max="15607" width="4.5" style="1" customWidth="1"/>
    <col min="15608" max="15608" width="8.6640625" style="1" customWidth="1"/>
    <col min="15609" max="15609" width="49.1640625" style="1" customWidth="1"/>
    <col min="15610" max="15610" width="3.1640625" style="1" customWidth="1"/>
    <col min="15611" max="15611" width="8.6640625" style="1" customWidth="1"/>
    <col min="15612" max="15612" width="10.5" style="1" customWidth="1"/>
    <col min="15613" max="15613" width="10.1640625" style="1" customWidth="1"/>
    <col min="15614" max="15614" width="11" style="1" customWidth="1"/>
    <col min="15615" max="15615" width="10.33203125" style="1" customWidth="1"/>
    <col min="15616" max="15616" width="9.83203125" style="1" customWidth="1"/>
    <col min="15617" max="15617" width="11.1640625" style="1" customWidth="1"/>
    <col min="15618" max="15618" width="10.5" style="1" customWidth="1"/>
    <col min="15619" max="15619" width="8.83203125" style="1" customWidth="1"/>
    <col min="15620" max="15620" width="10.33203125" style="1" customWidth="1"/>
    <col min="15621" max="15621" width="10.6640625" style="1" customWidth="1"/>
    <col min="15622" max="15622" width="12.5" style="1" customWidth="1"/>
    <col min="15623" max="15623" width="11.83203125" style="1" customWidth="1"/>
    <col min="15624" max="15624" width="11.1640625" style="1" customWidth="1"/>
    <col min="15625" max="15625" width="11" style="1" customWidth="1"/>
    <col min="15626" max="15626" width="11.1640625" style="1" customWidth="1"/>
    <col min="15627" max="15627" width="10.1640625" style="1" customWidth="1"/>
    <col min="15628" max="15628" width="11.83203125" style="1" customWidth="1"/>
    <col min="15629" max="15629" width="9.33203125" style="1"/>
    <col min="15630" max="15630" width="10.1640625" style="1" customWidth="1"/>
    <col min="15631" max="15631" width="10" style="1" customWidth="1"/>
    <col min="15632" max="15632" width="10.83203125" style="1" customWidth="1"/>
    <col min="15633" max="15633" width="11.33203125" style="1" customWidth="1"/>
    <col min="15634" max="15861" width="9.33203125" style="1"/>
    <col min="15862" max="15863" width="4.5" style="1" customWidth="1"/>
    <col min="15864" max="15864" width="8.6640625" style="1" customWidth="1"/>
    <col min="15865" max="15865" width="49.1640625" style="1" customWidth="1"/>
    <col min="15866" max="15866" width="3.1640625" style="1" customWidth="1"/>
    <col min="15867" max="15867" width="8.6640625" style="1" customWidth="1"/>
    <col min="15868" max="15868" width="10.5" style="1" customWidth="1"/>
    <col min="15869" max="15869" width="10.1640625" style="1" customWidth="1"/>
    <col min="15870" max="15870" width="11" style="1" customWidth="1"/>
    <col min="15871" max="15871" width="10.33203125" style="1" customWidth="1"/>
    <col min="15872" max="15872" width="9.83203125" style="1" customWidth="1"/>
    <col min="15873" max="15873" width="11.1640625" style="1" customWidth="1"/>
    <col min="15874" max="15874" width="10.5" style="1" customWidth="1"/>
    <col min="15875" max="15875" width="8.83203125" style="1" customWidth="1"/>
    <col min="15876" max="15876" width="10.33203125" style="1" customWidth="1"/>
    <col min="15877" max="15877" width="10.6640625" style="1" customWidth="1"/>
    <col min="15878" max="15878" width="12.5" style="1" customWidth="1"/>
    <col min="15879" max="15879" width="11.83203125" style="1" customWidth="1"/>
    <col min="15880" max="15880" width="11.1640625" style="1" customWidth="1"/>
    <col min="15881" max="15881" width="11" style="1" customWidth="1"/>
    <col min="15882" max="15882" width="11.1640625" style="1" customWidth="1"/>
    <col min="15883" max="15883" width="10.1640625" style="1" customWidth="1"/>
    <col min="15884" max="15884" width="11.83203125" style="1" customWidth="1"/>
    <col min="15885" max="15885" width="9.33203125" style="1"/>
    <col min="15886" max="15886" width="10.1640625" style="1" customWidth="1"/>
    <col min="15887" max="15887" width="10" style="1" customWidth="1"/>
    <col min="15888" max="15888" width="10.83203125" style="1" customWidth="1"/>
    <col min="15889" max="15889" width="11.33203125" style="1" customWidth="1"/>
    <col min="15890" max="16117" width="9.33203125" style="1"/>
    <col min="16118" max="16119" width="4.5" style="1" customWidth="1"/>
    <col min="16120" max="16120" width="8.6640625" style="1" customWidth="1"/>
    <col min="16121" max="16121" width="49.1640625" style="1" customWidth="1"/>
    <col min="16122" max="16122" width="3.1640625" style="1" customWidth="1"/>
    <col min="16123" max="16123" width="8.6640625" style="1" customWidth="1"/>
    <col min="16124" max="16124" width="10.5" style="1" customWidth="1"/>
    <col min="16125" max="16125" width="10.1640625" style="1" customWidth="1"/>
    <col min="16126" max="16126" width="11" style="1" customWidth="1"/>
    <col min="16127" max="16127" width="10.33203125" style="1" customWidth="1"/>
    <col min="16128" max="16128" width="9.83203125" style="1" customWidth="1"/>
    <col min="16129" max="16129" width="11.1640625" style="1" customWidth="1"/>
    <col min="16130" max="16130" width="10.5" style="1" customWidth="1"/>
    <col min="16131" max="16131" width="8.83203125" style="1" customWidth="1"/>
    <col min="16132" max="16132" width="10.33203125" style="1" customWidth="1"/>
    <col min="16133" max="16133" width="10.6640625" style="1" customWidth="1"/>
    <col min="16134" max="16134" width="12.5" style="1" customWidth="1"/>
    <col min="16135" max="16135" width="11.83203125" style="1" customWidth="1"/>
    <col min="16136" max="16136" width="11.1640625" style="1" customWidth="1"/>
    <col min="16137" max="16137" width="11" style="1" customWidth="1"/>
    <col min="16138" max="16138" width="11.1640625" style="1" customWidth="1"/>
    <col min="16139" max="16139" width="10.1640625" style="1" customWidth="1"/>
    <col min="16140" max="16140" width="11.83203125" style="1" customWidth="1"/>
    <col min="16141" max="16141" width="9.33203125" style="1"/>
    <col min="16142" max="16142" width="10.1640625" style="1" customWidth="1"/>
    <col min="16143" max="16143" width="10" style="1" customWidth="1"/>
    <col min="16144" max="16144" width="10.83203125" style="1" customWidth="1"/>
    <col min="16145" max="16145" width="11.33203125" style="1" customWidth="1"/>
    <col min="16146" max="16384" width="9.33203125" style="1"/>
  </cols>
  <sheetData>
    <row r="1" spans="1:18" ht="25.5" customHeight="1" x14ac:dyDescent="0.2">
      <c r="A1" s="949" t="s">
        <v>122</v>
      </c>
      <c r="B1" s="949" t="s">
        <v>123</v>
      </c>
      <c r="C1" s="949" t="s">
        <v>29</v>
      </c>
      <c r="D1" s="951" t="s">
        <v>176</v>
      </c>
      <c r="E1" s="953" t="s">
        <v>465</v>
      </c>
      <c r="F1" s="955" t="s">
        <v>332</v>
      </c>
      <c r="G1" s="942" t="s">
        <v>182</v>
      </c>
      <c r="H1" s="943"/>
      <c r="I1" s="943"/>
      <c r="J1" s="943"/>
      <c r="K1" s="943"/>
      <c r="L1" s="943"/>
      <c r="M1" s="943"/>
      <c r="N1" s="944"/>
      <c r="O1" s="945" t="s">
        <v>181</v>
      </c>
      <c r="P1" s="944"/>
      <c r="Q1" s="965" t="s">
        <v>466</v>
      </c>
      <c r="R1" s="963" t="s">
        <v>1427</v>
      </c>
    </row>
    <row r="2" spans="1:18" ht="57.95" customHeight="1" thickBot="1" x14ac:dyDescent="0.25">
      <c r="A2" s="950"/>
      <c r="B2" s="950"/>
      <c r="C2" s="950"/>
      <c r="D2" s="952"/>
      <c r="E2" s="954"/>
      <c r="F2" s="956"/>
      <c r="G2" s="656" t="s">
        <v>156</v>
      </c>
      <c r="H2" s="186" t="s">
        <v>255</v>
      </c>
      <c r="I2" s="186" t="s">
        <v>249</v>
      </c>
      <c r="J2" s="186" t="s">
        <v>26</v>
      </c>
      <c r="K2" s="186" t="s">
        <v>42</v>
      </c>
      <c r="L2" s="186" t="s">
        <v>32</v>
      </c>
      <c r="M2" s="186" t="s">
        <v>31</v>
      </c>
      <c r="N2" s="186" t="s">
        <v>27</v>
      </c>
      <c r="O2" s="187" t="s">
        <v>186</v>
      </c>
      <c r="P2" s="188" t="s">
        <v>188</v>
      </c>
      <c r="Q2" s="966"/>
      <c r="R2" s="964"/>
    </row>
    <row r="3" spans="1:18" ht="16.5" customHeight="1" x14ac:dyDescent="0.2">
      <c r="A3" s="189">
        <v>1</v>
      </c>
      <c r="B3" s="190"/>
      <c r="C3" s="191"/>
      <c r="D3" s="192" t="s">
        <v>467</v>
      </c>
      <c r="E3" s="193"/>
      <c r="F3" s="194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6"/>
      <c r="R3" s="760"/>
    </row>
    <row r="4" spans="1:18" ht="12.75" customHeight="1" x14ac:dyDescent="0.2">
      <c r="A4" s="190">
        <v>1</v>
      </c>
      <c r="B4" s="190">
        <v>1</v>
      </c>
      <c r="C4" s="190"/>
      <c r="D4" s="192" t="s">
        <v>12</v>
      </c>
      <c r="E4" s="170"/>
      <c r="F4" s="197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760"/>
    </row>
    <row r="5" spans="1:18" ht="12" customHeight="1" x14ac:dyDescent="0.2">
      <c r="A5" s="198">
        <v>1</v>
      </c>
      <c r="B5" s="198">
        <v>12</v>
      </c>
      <c r="C5" s="198"/>
      <c r="D5" s="199" t="s">
        <v>143</v>
      </c>
      <c r="E5" s="200"/>
      <c r="F5" s="201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760"/>
    </row>
    <row r="6" spans="1:18" ht="14.45" hidden="1" customHeight="1" x14ac:dyDescent="0.2">
      <c r="A6" s="198"/>
      <c r="B6" s="198"/>
      <c r="C6" s="203"/>
      <c r="D6" s="204" t="s">
        <v>468</v>
      </c>
      <c r="E6" s="205"/>
      <c r="F6" s="206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760"/>
    </row>
    <row r="7" spans="1:18" ht="14.45" hidden="1" customHeight="1" x14ac:dyDescent="0.2">
      <c r="A7" s="198"/>
      <c r="B7" s="198"/>
      <c r="C7" s="203"/>
      <c r="D7" s="207" t="s">
        <v>469</v>
      </c>
      <c r="E7" s="208">
        <v>2</v>
      </c>
      <c r="F7" s="209">
        <v>121103</v>
      </c>
      <c r="G7" s="202"/>
      <c r="H7" s="202"/>
      <c r="I7" s="202"/>
      <c r="J7" s="202"/>
      <c r="K7" s="202"/>
      <c r="L7" s="202"/>
      <c r="M7" s="202"/>
      <c r="N7" s="202"/>
      <c r="O7" s="202"/>
      <c r="P7" s="202"/>
      <c r="Q7" s="202">
        <f>SUM(G7:P7)</f>
        <v>0</v>
      </c>
      <c r="R7" s="760"/>
    </row>
    <row r="8" spans="1:18" ht="14.45" hidden="1" customHeight="1" x14ac:dyDescent="0.2">
      <c r="A8" s="198"/>
      <c r="B8" s="198"/>
      <c r="C8" s="203"/>
      <c r="D8" s="207" t="s">
        <v>470</v>
      </c>
      <c r="E8" s="208"/>
      <c r="F8" s="209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760"/>
    </row>
    <row r="9" spans="1:18" ht="14.45" hidden="1" customHeight="1" x14ac:dyDescent="0.2">
      <c r="A9" s="198"/>
      <c r="B9" s="198"/>
      <c r="C9" s="203"/>
      <c r="D9" s="207" t="s">
        <v>471</v>
      </c>
      <c r="E9" s="208">
        <v>2</v>
      </c>
      <c r="F9" s="209">
        <v>121104</v>
      </c>
      <c r="G9" s="202"/>
      <c r="H9" s="202"/>
      <c r="I9" s="202"/>
      <c r="J9" s="202"/>
      <c r="K9" s="202"/>
      <c r="L9" s="202"/>
      <c r="M9" s="202"/>
      <c r="N9" s="202"/>
      <c r="O9" s="202"/>
      <c r="P9" s="202"/>
      <c r="Q9" s="202">
        <f>SUM(G9:P9)</f>
        <v>0</v>
      </c>
      <c r="R9" s="760"/>
    </row>
    <row r="10" spans="1:18" ht="24" hidden="1" customHeight="1" x14ac:dyDescent="0.2">
      <c r="A10" s="198"/>
      <c r="B10" s="198"/>
      <c r="C10" s="203"/>
      <c r="D10" s="580" t="s">
        <v>472</v>
      </c>
      <c r="E10" s="208">
        <v>2</v>
      </c>
      <c r="F10" s="209">
        <v>121117</v>
      </c>
      <c r="G10" s="202"/>
      <c r="H10" s="202"/>
      <c r="I10" s="202"/>
      <c r="J10" s="202"/>
      <c r="K10" s="202"/>
      <c r="L10" s="202"/>
      <c r="M10" s="202"/>
      <c r="N10" s="202"/>
      <c r="O10" s="202"/>
      <c r="P10" s="202"/>
      <c r="Q10" s="202">
        <f>SUM(G10:P10)</f>
        <v>0</v>
      </c>
      <c r="R10" s="760"/>
    </row>
    <row r="11" spans="1:18" ht="14.45" customHeight="1" x14ac:dyDescent="0.2">
      <c r="A11" s="198"/>
      <c r="B11" s="198"/>
      <c r="C11" s="203"/>
      <c r="D11" s="581" t="s">
        <v>473</v>
      </c>
      <c r="E11" s="208"/>
      <c r="F11" s="209"/>
      <c r="G11" s="202"/>
      <c r="H11" s="202"/>
      <c r="I11" s="202"/>
      <c r="J11" s="202"/>
      <c r="K11" s="202"/>
      <c r="L11" s="202"/>
      <c r="M11" s="202"/>
      <c r="N11" s="202"/>
      <c r="O11" s="202"/>
      <c r="P11" s="202"/>
      <c r="Q11" s="202"/>
      <c r="R11" s="760"/>
    </row>
    <row r="12" spans="1:18" ht="14.45" hidden="1" customHeight="1" x14ac:dyDescent="0.2">
      <c r="A12" s="198"/>
      <c r="B12" s="198"/>
      <c r="C12" s="203"/>
      <c r="D12" s="581" t="s">
        <v>474</v>
      </c>
      <c r="E12" s="208">
        <v>2</v>
      </c>
      <c r="F12" s="209">
        <v>121111</v>
      </c>
      <c r="G12" s="202"/>
      <c r="H12" s="202"/>
      <c r="I12" s="202"/>
      <c r="J12" s="202"/>
      <c r="K12" s="202"/>
      <c r="L12" s="202"/>
      <c r="M12" s="202"/>
      <c r="N12" s="202"/>
      <c r="O12" s="202"/>
      <c r="P12" s="202"/>
      <c r="Q12" s="202">
        <f t="shared" ref="Q12:Q17" si="0">SUM(G12:P12)</f>
        <v>0</v>
      </c>
      <c r="R12" s="760"/>
    </row>
    <row r="13" spans="1:18" ht="14.45" hidden="1" customHeight="1" x14ac:dyDescent="0.2">
      <c r="A13" s="198"/>
      <c r="B13" s="198"/>
      <c r="C13" s="203"/>
      <c r="D13" s="581" t="s">
        <v>475</v>
      </c>
      <c r="E13" s="208">
        <v>2</v>
      </c>
      <c r="F13" s="208">
        <v>121127</v>
      </c>
      <c r="G13" s="202"/>
      <c r="H13" s="202"/>
      <c r="I13" s="202"/>
      <c r="J13" s="202"/>
      <c r="K13" s="202"/>
      <c r="L13" s="202"/>
      <c r="M13" s="202"/>
      <c r="N13" s="202"/>
      <c r="O13" s="202"/>
      <c r="P13" s="202"/>
      <c r="Q13" s="202">
        <f t="shared" si="0"/>
        <v>0</v>
      </c>
      <c r="R13" s="760"/>
    </row>
    <row r="14" spans="1:18" ht="14.45" hidden="1" customHeight="1" x14ac:dyDescent="0.2">
      <c r="A14" s="198"/>
      <c r="B14" s="198"/>
      <c r="C14" s="203"/>
      <c r="D14" s="581" t="s">
        <v>476</v>
      </c>
      <c r="E14" s="208">
        <v>2</v>
      </c>
      <c r="F14" s="208">
        <v>121115</v>
      </c>
      <c r="G14" s="202"/>
      <c r="H14" s="202"/>
      <c r="I14" s="202"/>
      <c r="J14" s="202"/>
      <c r="K14" s="202"/>
      <c r="L14" s="202"/>
      <c r="M14" s="202"/>
      <c r="N14" s="202"/>
      <c r="O14" s="202"/>
      <c r="P14" s="202"/>
      <c r="Q14" s="202">
        <f t="shared" si="0"/>
        <v>0</v>
      </c>
      <c r="R14" s="760"/>
    </row>
    <row r="15" spans="1:18" ht="14.45" hidden="1" customHeight="1" x14ac:dyDescent="0.2">
      <c r="A15" s="198"/>
      <c r="B15" s="198"/>
      <c r="C15" s="203"/>
      <c r="D15" s="581" t="s">
        <v>477</v>
      </c>
      <c r="E15" s="208">
        <v>2</v>
      </c>
      <c r="F15" s="208">
        <v>121128</v>
      </c>
      <c r="G15" s="202"/>
      <c r="H15" s="202"/>
      <c r="I15" s="202"/>
      <c r="J15" s="202"/>
      <c r="K15" s="202"/>
      <c r="L15" s="202"/>
      <c r="M15" s="202"/>
      <c r="N15" s="202"/>
      <c r="O15" s="202"/>
      <c r="P15" s="202"/>
      <c r="Q15" s="202">
        <f t="shared" si="0"/>
        <v>0</v>
      </c>
      <c r="R15" s="760"/>
    </row>
    <row r="16" spans="1:18" ht="14.45" customHeight="1" x14ac:dyDescent="0.2">
      <c r="A16" s="198"/>
      <c r="B16" s="198"/>
      <c r="C16" s="203"/>
      <c r="D16" s="581" t="s">
        <v>478</v>
      </c>
      <c r="E16" s="208">
        <v>2</v>
      </c>
      <c r="F16" s="208">
        <v>121129</v>
      </c>
      <c r="G16" s="202"/>
      <c r="H16" s="202"/>
      <c r="I16" s="202"/>
      <c r="J16" s="202">
        <v>-500</v>
      </c>
      <c r="K16" s="202"/>
      <c r="L16" s="202"/>
      <c r="M16" s="202"/>
      <c r="N16" s="202"/>
      <c r="O16" s="202"/>
      <c r="P16" s="202"/>
      <c r="Q16" s="202">
        <f t="shared" si="0"/>
        <v>-500</v>
      </c>
      <c r="R16" s="760" t="s">
        <v>1489</v>
      </c>
    </row>
    <row r="17" spans="1:18" ht="14.45" hidden="1" customHeight="1" x14ac:dyDescent="0.2">
      <c r="A17" s="198"/>
      <c r="B17" s="198"/>
      <c r="C17" s="203"/>
      <c r="D17" s="582" t="s">
        <v>479</v>
      </c>
      <c r="E17" s="208">
        <v>2</v>
      </c>
      <c r="F17" s="208">
        <v>121106</v>
      </c>
      <c r="G17" s="202"/>
      <c r="H17" s="202"/>
      <c r="I17" s="202"/>
      <c r="J17" s="202"/>
      <c r="K17" s="202"/>
      <c r="L17" s="202"/>
      <c r="M17" s="202"/>
      <c r="N17" s="202"/>
      <c r="O17" s="202"/>
      <c r="P17" s="202"/>
      <c r="Q17" s="202">
        <f t="shared" si="0"/>
        <v>0</v>
      </c>
      <c r="R17" s="760"/>
    </row>
    <row r="18" spans="1:18" ht="27" customHeight="1" x14ac:dyDescent="0.2">
      <c r="A18" s="198"/>
      <c r="B18" s="198"/>
      <c r="C18" s="203"/>
      <c r="D18" s="583" t="s">
        <v>480</v>
      </c>
      <c r="E18" s="208"/>
      <c r="F18" s="208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760"/>
    </row>
    <row r="19" spans="1:18" ht="14.45" customHeight="1" x14ac:dyDescent="0.2">
      <c r="A19" s="198"/>
      <c r="B19" s="198"/>
      <c r="C19" s="203"/>
      <c r="D19" s="581" t="s">
        <v>481</v>
      </c>
      <c r="E19" s="208">
        <v>2</v>
      </c>
      <c r="F19" s="208">
        <v>121131</v>
      </c>
      <c r="G19" s="202"/>
      <c r="H19" s="202"/>
      <c r="I19" s="202"/>
      <c r="J19" s="202">
        <v>-300</v>
      </c>
      <c r="K19" s="202"/>
      <c r="L19" s="202"/>
      <c r="M19" s="202"/>
      <c r="N19" s="202"/>
      <c r="O19" s="202"/>
      <c r="P19" s="202"/>
      <c r="Q19" s="202">
        <f>SUM(G19:P19)</f>
        <v>-300</v>
      </c>
      <c r="R19" s="760" t="s">
        <v>1489</v>
      </c>
    </row>
    <row r="20" spans="1:18" ht="14.45" hidden="1" customHeight="1" x14ac:dyDescent="0.2">
      <c r="A20" s="198"/>
      <c r="B20" s="198"/>
      <c r="C20" s="203"/>
      <c r="D20" s="581" t="s">
        <v>470</v>
      </c>
      <c r="E20" s="208"/>
      <c r="F20" s="208"/>
      <c r="G20" s="202"/>
      <c r="H20" s="202"/>
      <c r="I20" s="202"/>
      <c r="J20" s="202"/>
      <c r="K20" s="202"/>
      <c r="L20" s="202"/>
      <c r="M20" s="202"/>
      <c r="N20" s="202"/>
      <c r="O20" s="202"/>
      <c r="P20" s="202"/>
      <c r="Q20" s="202"/>
      <c r="R20" s="760"/>
    </row>
    <row r="21" spans="1:18" ht="14.45" hidden="1" customHeight="1" x14ac:dyDescent="0.2">
      <c r="A21" s="198"/>
      <c r="B21" s="198"/>
      <c r="C21" s="203"/>
      <c r="D21" s="581" t="s">
        <v>482</v>
      </c>
      <c r="E21" s="208">
        <v>2</v>
      </c>
      <c r="F21" s="208">
        <v>121130</v>
      </c>
      <c r="G21" s="202"/>
      <c r="H21" s="202"/>
      <c r="I21" s="202"/>
      <c r="J21" s="202"/>
      <c r="K21" s="202"/>
      <c r="L21" s="202"/>
      <c r="M21" s="202"/>
      <c r="N21" s="202"/>
      <c r="O21" s="202"/>
      <c r="P21" s="202"/>
      <c r="Q21" s="202">
        <f>SUM(G21:P21)</f>
        <v>0</v>
      </c>
      <c r="R21" s="760"/>
    </row>
    <row r="22" spans="1:18" ht="14.45" customHeight="1" x14ac:dyDescent="0.2">
      <c r="A22" s="198"/>
      <c r="B22" s="198"/>
      <c r="C22" s="203"/>
      <c r="D22" s="207" t="s">
        <v>473</v>
      </c>
      <c r="E22" s="208"/>
      <c r="F22" s="208"/>
      <c r="G22" s="202"/>
      <c r="H22" s="202"/>
      <c r="I22" s="202"/>
      <c r="J22" s="202"/>
      <c r="K22" s="202"/>
      <c r="L22" s="202"/>
      <c r="M22" s="202"/>
      <c r="N22" s="202"/>
      <c r="O22" s="202"/>
      <c r="P22" s="202"/>
      <c r="Q22" s="202"/>
      <c r="R22" s="760"/>
    </row>
    <row r="23" spans="1:18" ht="14.45" hidden="1" customHeight="1" x14ac:dyDescent="0.2">
      <c r="A23" s="198"/>
      <c r="B23" s="198"/>
      <c r="C23" s="203"/>
      <c r="D23" s="207" t="s">
        <v>483</v>
      </c>
      <c r="E23" s="208">
        <v>1</v>
      </c>
      <c r="F23" s="209">
        <v>121204</v>
      </c>
      <c r="G23" s="202"/>
      <c r="H23" s="202"/>
      <c r="I23" s="202"/>
      <c r="J23" s="202"/>
      <c r="K23" s="202"/>
      <c r="L23" s="202"/>
      <c r="M23" s="202"/>
      <c r="N23" s="202"/>
      <c r="O23" s="202"/>
      <c r="P23" s="202"/>
      <c r="Q23" s="202">
        <f>SUM(G23:P23)</f>
        <v>0</v>
      </c>
      <c r="R23" s="760"/>
    </row>
    <row r="24" spans="1:18" ht="14.45" hidden="1" customHeight="1" x14ac:dyDescent="0.2">
      <c r="A24" s="198"/>
      <c r="B24" s="198"/>
      <c r="C24" s="203"/>
      <c r="D24" s="210" t="s">
        <v>484</v>
      </c>
      <c r="E24" s="211">
        <v>1</v>
      </c>
      <c r="F24" s="209">
        <v>121132</v>
      </c>
      <c r="G24" s="202"/>
      <c r="H24" s="202"/>
      <c r="I24" s="202"/>
      <c r="J24" s="202"/>
      <c r="K24" s="202"/>
      <c r="L24" s="202"/>
      <c r="M24" s="202"/>
      <c r="N24" s="202"/>
      <c r="O24" s="202"/>
      <c r="P24" s="202"/>
      <c r="Q24" s="202">
        <f>SUM(G24:P24)</f>
        <v>0</v>
      </c>
      <c r="R24" s="760"/>
    </row>
    <row r="25" spans="1:18" ht="14.45" customHeight="1" x14ac:dyDescent="0.2">
      <c r="A25" s="198"/>
      <c r="B25" s="198"/>
      <c r="C25" s="203"/>
      <c r="D25" s="212" t="s">
        <v>485</v>
      </c>
      <c r="E25" s="208">
        <v>1</v>
      </c>
      <c r="F25" s="209">
        <v>121203</v>
      </c>
      <c r="G25" s="202"/>
      <c r="H25" s="202"/>
      <c r="I25" s="202">
        <v>320</v>
      </c>
      <c r="J25" s="202">
        <v>-320</v>
      </c>
      <c r="K25" s="202"/>
      <c r="L25" s="202"/>
      <c r="M25" s="202"/>
      <c r="N25" s="202"/>
      <c r="O25" s="202"/>
      <c r="P25" s="202"/>
      <c r="Q25" s="202">
        <f>SUM(G25:P25)</f>
        <v>0</v>
      </c>
      <c r="R25" s="760" t="s">
        <v>1489</v>
      </c>
    </row>
    <row r="26" spans="1:18" ht="14.45" hidden="1" customHeight="1" x14ac:dyDescent="0.2">
      <c r="A26" s="198"/>
      <c r="B26" s="198"/>
      <c r="C26" s="203"/>
      <c r="D26" s="213" t="s">
        <v>486</v>
      </c>
      <c r="E26" s="208"/>
      <c r="F26" s="170"/>
      <c r="G26" s="170"/>
      <c r="H26" s="202"/>
      <c r="I26" s="202"/>
      <c r="J26" s="202"/>
      <c r="K26" s="202"/>
      <c r="L26" s="202"/>
      <c r="M26" s="209"/>
      <c r="N26" s="209"/>
      <c r="O26" s="209"/>
      <c r="P26" s="209"/>
      <c r="Q26" s="202"/>
      <c r="R26" s="760"/>
    </row>
    <row r="27" spans="1:18" ht="14.45" hidden="1" customHeight="1" x14ac:dyDescent="0.2">
      <c r="A27" s="198"/>
      <c r="B27" s="198"/>
      <c r="C27" s="203"/>
      <c r="D27" s="207" t="s">
        <v>487</v>
      </c>
      <c r="E27" s="208">
        <v>2</v>
      </c>
      <c r="F27" s="209">
        <v>121504</v>
      </c>
      <c r="G27" s="202"/>
      <c r="H27" s="202"/>
      <c r="I27" s="202"/>
      <c r="J27" s="202"/>
      <c r="K27" s="202"/>
      <c r="L27" s="202"/>
      <c r="M27" s="202"/>
      <c r="N27" s="202"/>
      <c r="O27" s="209"/>
      <c r="P27" s="209"/>
      <c r="Q27" s="202">
        <f>SUM(G27:P27)</f>
        <v>0</v>
      </c>
      <c r="R27" s="760"/>
    </row>
    <row r="28" spans="1:18" ht="14.45" customHeight="1" x14ac:dyDescent="0.2">
      <c r="A28" s="198"/>
      <c r="B28" s="198"/>
      <c r="C28" s="203"/>
      <c r="D28" s="207" t="s">
        <v>427</v>
      </c>
      <c r="E28" s="208"/>
      <c r="F28" s="209"/>
      <c r="G28" s="209"/>
      <c r="H28" s="202"/>
      <c r="I28" s="202"/>
      <c r="J28" s="202"/>
      <c r="K28" s="202"/>
      <c r="L28" s="202"/>
      <c r="M28" s="209"/>
      <c r="N28" s="209"/>
      <c r="O28" s="214"/>
      <c r="P28" s="214"/>
      <c r="Q28" s="202"/>
      <c r="R28" s="760"/>
    </row>
    <row r="29" spans="1:18" ht="12.6" customHeight="1" x14ac:dyDescent="0.2">
      <c r="A29" s="197"/>
      <c r="B29" s="215"/>
      <c r="C29" s="216"/>
      <c r="D29" s="170" t="s">
        <v>488</v>
      </c>
      <c r="E29" s="208">
        <v>1</v>
      </c>
      <c r="F29" s="170">
        <v>121403</v>
      </c>
      <c r="G29" s="170"/>
      <c r="H29" s="202"/>
      <c r="I29" s="202">
        <v>-5</v>
      </c>
      <c r="J29" s="202"/>
      <c r="K29" s="202"/>
      <c r="L29" s="202"/>
      <c r="M29" s="170"/>
      <c r="N29" s="170"/>
      <c r="O29" s="170"/>
      <c r="P29" s="170"/>
      <c r="Q29" s="202">
        <f>SUM(G29:P29)</f>
        <v>-5</v>
      </c>
      <c r="R29" s="760" t="s">
        <v>1489</v>
      </c>
    </row>
    <row r="30" spans="1:18" ht="12.6" hidden="1" customHeight="1" x14ac:dyDescent="0.2">
      <c r="A30" s="197"/>
      <c r="B30" s="215"/>
      <c r="C30" s="216"/>
      <c r="D30" s="170" t="s">
        <v>489</v>
      </c>
      <c r="E30" s="170"/>
      <c r="F30" s="170"/>
      <c r="G30" s="170"/>
      <c r="H30" s="202"/>
      <c r="I30" s="202"/>
      <c r="J30" s="202"/>
      <c r="K30" s="202"/>
      <c r="L30" s="202"/>
      <c r="M30" s="170"/>
      <c r="N30" s="170"/>
      <c r="O30" s="170"/>
      <c r="P30" s="170"/>
      <c r="Q30" s="202"/>
      <c r="R30" s="760"/>
    </row>
    <row r="31" spans="1:18" ht="12.6" hidden="1" customHeight="1" x14ac:dyDescent="0.2">
      <c r="A31" s="197"/>
      <c r="B31" s="197"/>
      <c r="C31" s="217"/>
      <c r="D31" s="213" t="s">
        <v>490</v>
      </c>
      <c r="E31" s="170">
        <v>1</v>
      </c>
      <c r="F31" s="170">
        <v>121301</v>
      </c>
      <c r="G31" s="170"/>
      <c r="H31" s="202"/>
      <c r="I31" s="202"/>
      <c r="J31" s="202"/>
      <c r="K31" s="202"/>
      <c r="L31" s="202"/>
      <c r="M31" s="170"/>
      <c r="N31" s="170"/>
      <c r="O31" s="170"/>
      <c r="P31" s="170"/>
      <c r="Q31" s="202">
        <f>SUM(G31:P31)</f>
        <v>0</v>
      </c>
      <c r="R31" s="760"/>
    </row>
    <row r="32" spans="1:18" ht="12.6" hidden="1" customHeight="1" x14ac:dyDescent="0.2">
      <c r="A32" s="197"/>
      <c r="B32" s="197"/>
      <c r="C32" s="217"/>
      <c r="D32" s="218" t="s">
        <v>333</v>
      </c>
      <c r="E32" s="208"/>
      <c r="F32" s="170"/>
      <c r="G32" s="170"/>
      <c r="H32" s="202"/>
      <c r="I32" s="202"/>
      <c r="J32" s="202"/>
      <c r="K32" s="202"/>
      <c r="L32" s="202"/>
      <c r="M32" s="170"/>
      <c r="N32" s="170"/>
      <c r="O32" s="170"/>
      <c r="P32" s="170"/>
      <c r="Q32" s="202"/>
      <c r="R32" s="760"/>
    </row>
    <row r="33" spans="1:18" ht="12.6" hidden="1" customHeight="1" x14ac:dyDescent="0.2">
      <c r="A33" s="197"/>
      <c r="B33" s="197"/>
      <c r="C33" s="217"/>
      <c r="D33" s="219" t="s">
        <v>491</v>
      </c>
      <c r="E33" s="208">
        <v>2</v>
      </c>
      <c r="F33" s="170">
        <v>221902</v>
      </c>
      <c r="G33" s="170"/>
      <c r="H33" s="202"/>
      <c r="I33" s="202"/>
      <c r="J33" s="202"/>
      <c r="K33" s="202"/>
      <c r="L33" s="202"/>
      <c r="M33" s="170"/>
      <c r="N33" s="170"/>
      <c r="O33" s="170"/>
      <c r="P33" s="170"/>
      <c r="Q33" s="202">
        <f>SUM(G33:P33)</f>
        <v>0</v>
      </c>
      <c r="R33" s="760"/>
    </row>
    <row r="34" spans="1:18" ht="12.6" hidden="1" customHeight="1" x14ac:dyDescent="0.2">
      <c r="A34" s="197"/>
      <c r="B34" s="197"/>
      <c r="C34" s="217"/>
      <c r="D34" s="220" t="s">
        <v>492</v>
      </c>
      <c r="E34" s="208">
        <v>2</v>
      </c>
      <c r="F34" s="170" t="s">
        <v>493</v>
      </c>
      <c r="G34" s="221"/>
      <c r="H34" s="202"/>
      <c r="I34" s="202"/>
      <c r="J34" s="202"/>
      <c r="K34" s="202"/>
      <c r="L34" s="202"/>
      <c r="M34" s="170"/>
      <c r="N34" s="170"/>
      <c r="O34" s="170"/>
      <c r="P34" s="170"/>
      <c r="Q34" s="202">
        <f>SUM(G34:P34)</f>
        <v>0</v>
      </c>
      <c r="R34" s="760"/>
    </row>
    <row r="35" spans="1:18" ht="14.1" hidden="1" customHeight="1" x14ac:dyDescent="0.2">
      <c r="A35" s="197"/>
      <c r="B35" s="197"/>
      <c r="C35" s="217"/>
      <c r="D35" s="204" t="s">
        <v>494</v>
      </c>
      <c r="E35" s="208"/>
      <c r="F35" s="170"/>
      <c r="G35" s="170"/>
      <c r="H35" s="202"/>
      <c r="I35" s="202"/>
      <c r="J35" s="202"/>
      <c r="K35" s="202"/>
      <c r="L35" s="202"/>
      <c r="M35" s="170"/>
      <c r="N35" s="170"/>
      <c r="O35" s="170"/>
      <c r="P35" s="170"/>
      <c r="Q35" s="202"/>
      <c r="R35" s="760"/>
    </row>
    <row r="36" spans="1:18" ht="14.1" hidden="1" customHeight="1" x14ac:dyDescent="0.2">
      <c r="A36" s="197"/>
      <c r="B36" s="197"/>
      <c r="C36" s="217"/>
      <c r="D36" s="213" t="s">
        <v>495</v>
      </c>
      <c r="E36" s="208">
        <v>1</v>
      </c>
      <c r="F36" s="170">
        <v>121601</v>
      </c>
      <c r="G36" s="170"/>
      <c r="H36" s="202"/>
      <c r="I36" s="202"/>
      <c r="J36" s="202"/>
      <c r="K36" s="202"/>
      <c r="L36" s="202"/>
      <c r="M36" s="170"/>
      <c r="N36" s="170"/>
      <c r="O36" s="170"/>
      <c r="P36" s="170"/>
      <c r="Q36" s="202">
        <f>SUM(G36:P36)</f>
        <v>0</v>
      </c>
      <c r="R36" s="760"/>
    </row>
    <row r="37" spans="1:18" ht="14.1" hidden="1" customHeight="1" x14ac:dyDescent="0.2">
      <c r="A37" s="197"/>
      <c r="B37" s="197"/>
      <c r="C37" s="217"/>
      <c r="D37" s="222" t="s">
        <v>496</v>
      </c>
      <c r="E37" s="208"/>
      <c r="F37" s="208"/>
      <c r="G37" s="170"/>
      <c r="H37" s="202"/>
      <c r="I37" s="202"/>
      <c r="J37" s="202"/>
      <c r="K37" s="202"/>
      <c r="L37" s="202"/>
      <c r="M37" s="170"/>
      <c r="N37" s="170"/>
      <c r="O37" s="170"/>
      <c r="P37" s="170"/>
      <c r="Q37" s="202"/>
      <c r="R37" s="760"/>
    </row>
    <row r="38" spans="1:18" ht="14.1" hidden="1" customHeight="1" x14ac:dyDescent="0.2">
      <c r="A38" s="197"/>
      <c r="B38" s="197"/>
      <c r="C38" s="217"/>
      <c r="D38" s="213" t="s">
        <v>497</v>
      </c>
      <c r="E38" s="176">
        <v>2</v>
      </c>
      <c r="F38" s="170">
        <v>121517</v>
      </c>
      <c r="G38" s="170"/>
      <c r="H38" s="202"/>
      <c r="I38" s="202"/>
      <c r="J38" s="202"/>
      <c r="K38" s="202"/>
      <c r="L38" s="202"/>
      <c r="M38" s="170"/>
      <c r="N38" s="170"/>
      <c r="O38" s="170"/>
      <c r="P38" s="170"/>
      <c r="Q38" s="202">
        <f>SUM(G38:P38)</f>
        <v>0</v>
      </c>
      <c r="R38" s="760"/>
    </row>
    <row r="39" spans="1:18" ht="13.5" x14ac:dyDescent="0.2">
      <c r="A39" s="223"/>
      <c r="B39" s="223"/>
      <c r="C39" s="224"/>
      <c r="D39" s="225" t="s">
        <v>498</v>
      </c>
      <c r="E39" s="226"/>
      <c r="F39" s="227"/>
      <c r="G39" s="228">
        <f t="shared" ref="G39:Q39" si="1">SUM(G7:G38)</f>
        <v>0</v>
      </c>
      <c r="H39" s="228">
        <f t="shared" si="1"/>
        <v>0</v>
      </c>
      <c r="I39" s="228">
        <f t="shared" si="1"/>
        <v>315</v>
      </c>
      <c r="J39" s="228">
        <f t="shared" si="1"/>
        <v>-1120</v>
      </c>
      <c r="K39" s="228">
        <f t="shared" si="1"/>
        <v>0</v>
      </c>
      <c r="L39" s="228">
        <f t="shared" si="1"/>
        <v>0</v>
      </c>
      <c r="M39" s="228">
        <f t="shared" si="1"/>
        <v>0</v>
      </c>
      <c r="N39" s="228">
        <f t="shared" si="1"/>
        <v>0</v>
      </c>
      <c r="O39" s="228">
        <f t="shared" si="1"/>
        <v>0</v>
      </c>
      <c r="P39" s="228">
        <f t="shared" si="1"/>
        <v>0</v>
      </c>
      <c r="Q39" s="228">
        <f t="shared" si="1"/>
        <v>-805</v>
      </c>
      <c r="R39" s="761"/>
    </row>
    <row r="40" spans="1:18" ht="13.5" x14ac:dyDescent="0.2">
      <c r="A40" s="229"/>
      <c r="B40" s="229"/>
      <c r="C40" s="217"/>
      <c r="D40" s="213" t="s">
        <v>499</v>
      </c>
      <c r="E40" s="230"/>
      <c r="F40" s="170"/>
      <c r="G40" s="231"/>
      <c r="H40" s="231"/>
      <c r="I40" s="231"/>
      <c r="J40" s="231"/>
      <c r="K40" s="231"/>
      <c r="L40" s="231"/>
      <c r="M40" s="231"/>
      <c r="N40" s="231"/>
      <c r="O40" s="231"/>
      <c r="P40" s="231"/>
      <c r="Q40" s="231"/>
      <c r="R40" s="760"/>
    </row>
    <row r="41" spans="1:18" ht="24" hidden="1" x14ac:dyDescent="0.2">
      <c r="A41" s="229"/>
      <c r="B41" s="229"/>
      <c r="C41" s="217" t="s">
        <v>500</v>
      </c>
      <c r="D41" s="584" t="s">
        <v>501</v>
      </c>
      <c r="E41" s="230"/>
      <c r="F41" s="170">
        <v>121401</v>
      </c>
      <c r="G41" s="231"/>
      <c r="H41" s="231"/>
      <c r="I41" s="231"/>
      <c r="J41" s="231"/>
      <c r="K41" s="231"/>
      <c r="L41" s="231"/>
      <c r="M41" s="231"/>
      <c r="N41" s="170"/>
      <c r="O41" s="170"/>
      <c r="P41" s="170"/>
      <c r="Q41" s="170">
        <f>SUM(G41:P41)</f>
        <v>0</v>
      </c>
      <c r="R41" s="760"/>
    </row>
    <row r="42" spans="1:18" ht="13.5" hidden="1" x14ac:dyDescent="0.2">
      <c r="A42" s="229"/>
      <c r="B42" s="229"/>
      <c r="C42" s="217"/>
      <c r="D42" s="585" t="s">
        <v>502</v>
      </c>
      <c r="E42" s="230"/>
      <c r="F42" s="170"/>
      <c r="G42" s="231"/>
      <c r="H42" s="231"/>
      <c r="I42" s="231"/>
      <c r="J42" s="231"/>
      <c r="K42" s="231"/>
      <c r="L42" s="231"/>
      <c r="M42" s="231"/>
      <c r="N42" s="170"/>
      <c r="O42" s="170"/>
      <c r="P42" s="170"/>
      <c r="Q42" s="170"/>
      <c r="R42" s="760"/>
    </row>
    <row r="43" spans="1:18" ht="13.5" hidden="1" x14ac:dyDescent="0.2">
      <c r="A43" s="229"/>
      <c r="B43" s="229"/>
      <c r="C43" s="217" t="s">
        <v>503</v>
      </c>
      <c r="D43" s="586" t="s">
        <v>504</v>
      </c>
      <c r="E43" s="230"/>
      <c r="F43" s="170">
        <v>121405</v>
      </c>
      <c r="G43" s="231"/>
      <c r="H43" s="231"/>
      <c r="I43" s="231"/>
      <c r="J43" s="231"/>
      <c r="K43" s="231"/>
      <c r="L43" s="231"/>
      <c r="M43" s="231"/>
      <c r="N43" s="170"/>
      <c r="O43" s="170"/>
      <c r="P43" s="170"/>
      <c r="Q43" s="170">
        <f>SUM(G43:P43)</f>
        <v>0</v>
      </c>
      <c r="R43" s="760"/>
    </row>
    <row r="44" spans="1:18" ht="24" hidden="1" x14ac:dyDescent="0.2">
      <c r="A44" s="229"/>
      <c r="B44" s="229"/>
      <c r="C44" s="217" t="s">
        <v>505</v>
      </c>
      <c r="D44" s="587" t="s">
        <v>506</v>
      </c>
      <c r="E44" s="230"/>
      <c r="F44" s="170">
        <v>121402</v>
      </c>
      <c r="G44" s="231"/>
      <c r="H44" s="231"/>
      <c r="I44" s="231"/>
      <c r="J44" s="231"/>
      <c r="K44" s="231"/>
      <c r="L44" s="231"/>
      <c r="M44" s="231"/>
      <c r="N44" s="170"/>
      <c r="O44" s="170"/>
      <c r="P44" s="170"/>
      <c r="Q44" s="170">
        <f>SUM(G44:P44)</f>
        <v>0</v>
      </c>
      <c r="R44" s="760"/>
    </row>
    <row r="45" spans="1:18" ht="13.5" x14ac:dyDescent="0.2">
      <c r="A45" s="223"/>
      <c r="B45" s="223"/>
      <c r="C45" s="224"/>
      <c r="D45" s="225" t="s">
        <v>507</v>
      </c>
      <c r="E45" s="226"/>
      <c r="F45" s="227"/>
      <c r="G45" s="228">
        <f t="shared" ref="G45:Q45" si="2">SUM(G39:G44)</f>
        <v>0</v>
      </c>
      <c r="H45" s="228">
        <f t="shared" si="2"/>
        <v>0</v>
      </c>
      <c r="I45" s="228">
        <f t="shared" si="2"/>
        <v>315</v>
      </c>
      <c r="J45" s="228">
        <f t="shared" si="2"/>
        <v>-1120</v>
      </c>
      <c r="K45" s="228">
        <f t="shared" si="2"/>
        <v>0</v>
      </c>
      <c r="L45" s="228">
        <f t="shared" si="2"/>
        <v>0</v>
      </c>
      <c r="M45" s="228">
        <f t="shared" si="2"/>
        <v>0</v>
      </c>
      <c r="N45" s="228">
        <f t="shared" si="2"/>
        <v>0</v>
      </c>
      <c r="O45" s="228">
        <f t="shared" si="2"/>
        <v>0</v>
      </c>
      <c r="P45" s="228">
        <f t="shared" si="2"/>
        <v>0</v>
      </c>
      <c r="Q45" s="228">
        <f t="shared" si="2"/>
        <v>-805</v>
      </c>
      <c r="R45" s="761"/>
    </row>
    <row r="46" spans="1:18" ht="12" customHeight="1" x14ac:dyDescent="0.2">
      <c r="A46" s="197">
        <v>1</v>
      </c>
      <c r="B46" s="197">
        <v>13</v>
      </c>
      <c r="C46" s="197"/>
      <c r="D46" s="199" t="s">
        <v>144</v>
      </c>
      <c r="E46" s="232" t="s">
        <v>508</v>
      </c>
      <c r="F46" s="233"/>
      <c r="G46" s="233"/>
      <c r="H46" s="202"/>
      <c r="I46" s="202"/>
      <c r="J46" s="202"/>
      <c r="K46" s="202"/>
      <c r="L46" s="202"/>
      <c r="M46" s="233"/>
      <c r="N46" s="233"/>
      <c r="O46" s="233"/>
      <c r="P46" s="233"/>
      <c r="Q46" s="233"/>
      <c r="R46" s="760"/>
    </row>
    <row r="47" spans="1:18" x14ac:dyDescent="0.2">
      <c r="A47" s="197"/>
      <c r="B47" s="197"/>
      <c r="C47" s="217"/>
      <c r="D47" s="234" t="s">
        <v>509</v>
      </c>
      <c r="E47" s="232"/>
      <c r="F47" s="233"/>
      <c r="G47" s="233"/>
      <c r="H47" s="202"/>
      <c r="I47" s="202"/>
      <c r="J47" s="202"/>
      <c r="K47" s="202"/>
      <c r="L47" s="202"/>
      <c r="M47" s="233"/>
      <c r="N47" s="233"/>
      <c r="O47" s="233"/>
      <c r="P47" s="233"/>
      <c r="Q47" s="233"/>
      <c r="R47" s="760"/>
    </row>
    <row r="48" spans="1:18" ht="12" customHeight="1" x14ac:dyDescent="0.2">
      <c r="A48" s="197"/>
      <c r="B48" s="197"/>
      <c r="C48" s="217"/>
      <c r="D48" s="212" t="s">
        <v>510</v>
      </c>
      <c r="E48" s="235"/>
      <c r="F48" s="208"/>
      <c r="G48" s="170"/>
      <c r="H48" s="202"/>
      <c r="I48" s="202"/>
      <c r="J48" s="202"/>
      <c r="K48" s="202"/>
      <c r="L48" s="202"/>
      <c r="M48" s="170"/>
      <c r="N48" s="170"/>
      <c r="O48" s="170"/>
      <c r="P48" s="170"/>
      <c r="Q48" s="170"/>
      <c r="R48" s="760"/>
    </row>
    <row r="49" spans="1:18" ht="27" hidden="1" customHeight="1" x14ac:dyDescent="0.2">
      <c r="A49" s="197"/>
      <c r="B49" s="197"/>
      <c r="C49" s="217"/>
      <c r="D49" s="222" t="s">
        <v>511</v>
      </c>
      <c r="E49" s="170">
        <v>2</v>
      </c>
      <c r="F49" s="170">
        <v>131112</v>
      </c>
      <c r="G49" s="170"/>
      <c r="H49" s="202"/>
      <c r="I49" s="202"/>
      <c r="J49" s="202"/>
      <c r="K49" s="202"/>
      <c r="L49" s="202"/>
      <c r="M49" s="170"/>
      <c r="N49" s="170"/>
      <c r="O49" s="170"/>
      <c r="P49" s="170"/>
      <c r="Q49" s="170">
        <f t="shared" ref="Q49:Q54" si="3">SUM(G49:P49)</f>
        <v>0</v>
      </c>
      <c r="R49" s="760"/>
    </row>
    <row r="50" spans="1:18" ht="24.75" hidden="1" customHeight="1" x14ac:dyDescent="0.2">
      <c r="A50" s="197"/>
      <c r="B50" s="197"/>
      <c r="C50" s="217"/>
      <c r="D50" s="236" t="s">
        <v>512</v>
      </c>
      <c r="E50" s="170">
        <v>2</v>
      </c>
      <c r="F50" s="170">
        <v>131123</v>
      </c>
      <c r="G50" s="170"/>
      <c r="H50" s="202"/>
      <c r="I50" s="202"/>
      <c r="J50" s="202"/>
      <c r="K50" s="202"/>
      <c r="L50" s="202"/>
      <c r="M50" s="170"/>
      <c r="N50" s="170"/>
      <c r="O50" s="170"/>
      <c r="P50" s="170"/>
      <c r="Q50" s="170">
        <f t="shared" si="3"/>
        <v>0</v>
      </c>
      <c r="R50" s="760"/>
    </row>
    <row r="51" spans="1:18" ht="15" hidden="1" customHeight="1" x14ac:dyDescent="0.2">
      <c r="A51" s="197"/>
      <c r="B51" s="197"/>
      <c r="C51" s="217"/>
      <c r="D51" s="236" t="s">
        <v>513</v>
      </c>
      <c r="E51" s="170">
        <v>2</v>
      </c>
      <c r="F51" s="170">
        <v>131122</v>
      </c>
      <c r="G51" s="170"/>
      <c r="H51" s="202"/>
      <c r="I51" s="202"/>
      <c r="J51" s="202"/>
      <c r="K51" s="202"/>
      <c r="L51" s="202"/>
      <c r="M51" s="170"/>
      <c r="N51" s="170"/>
      <c r="O51" s="170"/>
      <c r="P51" s="170"/>
      <c r="Q51" s="170">
        <f t="shared" si="3"/>
        <v>0</v>
      </c>
      <c r="R51" s="760"/>
    </row>
    <row r="52" spans="1:18" ht="15" hidden="1" customHeight="1" x14ac:dyDescent="0.2">
      <c r="A52" s="197"/>
      <c r="B52" s="197"/>
      <c r="C52" s="217"/>
      <c r="D52" s="213" t="s">
        <v>514</v>
      </c>
      <c r="E52" s="170">
        <v>2</v>
      </c>
      <c r="F52" s="170">
        <v>131107</v>
      </c>
      <c r="G52" s="170"/>
      <c r="H52" s="202"/>
      <c r="I52" s="202"/>
      <c r="J52" s="202"/>
      <c r="K52" s="202"/>
      <c r="L52" s="202"/>
      <c r="M52" s="170"/>
      <c r="N52" s="170"/>
      <c r="O52" s="170"/>
      <c r="P52" s="170"/>
      <c r="Q52" s="170">
        <f t="shared" si="3"/>
        <v>0</v>
      </c>
      <c r="R52" s="760"/>
    </row>
    <row r="53" spans="1:18" ht="24" x14ac:dyDescent="0.2">
      <c r="A53" s="197"/>
      <c r="B53" s="197"/>
      <c r="C53" s="217"/>
      <c r="D53" s="237" t="s">
        <v>515</v>
      </c>
      <c r="E53" s="170">
        <v>2</v>
      </c>
      <c r="F53" s="170">
        <v>131103</v>
      </c>
      <c r="G53" s="170"/>
      <c r="H53" s="202"/>
      <c r="I53" s="202"/>
      <c r="J53" s="202"/>
      <c r="K53" s="202">
        <v>-5000</v>
      </c>
      <c r="L53" s="202"/>
      <c r="M53" s="170"/>
      <c r="N53" s="170"/>
      <c r="O53" s="170"/>
      <c r="P53" s="170"/>
      <c r="Q53" s="170">
        <f t="shared" si="3"/>
        <v>-5000</v>
      </c>
      <c r="R53" s="760" t="s">
        <v>1489</v>
      </c>
    </row>
    <row r="54" spans="1:18" ht="10.5" hidden="1" customHeight="1" x14ac:dyDescent="0.2">
      <c r="A54" s="197"/>
      <c r="B54" s="197"/>
      <c r="C54" s="217"/>
      <c r="D54" s="213" t="s">
        <v>516</v>
      </c>
      <c r="E54" s="170">
        <v>2</v>
      </c>
      <c r="F54" s="170">
        <v>131128</v>
      </c>
      <c r="G54" s="170"/>
      <c r="H54" s="202"/>
      <c r="I54" s="202"/>
      <c r="J54" s="202"/>
      <c r="K54" s="202"/>
      <c r="L54" s="202"/>
      <c r="M54" s="170"/>
      <c r="N54" s="170"/>
      <c r="O54" s="170"/>
      <c r="P54" s="170"/>
      <c r="Q54" s="170">
        <f t="shared" si="3"/>
        <v>0</v>
      </c>
      <c r="R54" s="760"/>
    </row>
    <row r="55" spans="1:18" ht="12.75" x14ac:dyDescent="0.2">
      <c r="A55" s="197"/>
      <c r="B55" s="197"/>
      <c r="C55" s="217"/>
      <c r="D55" s="238" t="s">
        <v>517</v>
      </c>
      <c r="E55" s="239"/>
      <c r="F55" s="240"/>
      <c r="G55" s="170"/>
      <c r="H55" s="202"/>
      <c r="I55" s="202"/>
      <c r="J55" s="202"/>
      <c r="K55" s="202"/>
      <c r="L55" s="202"/>
      <c r="M55" s="170"/>
      <c r="N55" s="170"/>
      <c r="O55" s="170"/>
      <c r="P55" s="170"/>
      <c r="Q55" s="170"/>
      <c r="R55" s="760"/>
    </row>
    <row r="56" spans="1:18" ht="24" hidden="1" x14ac:dyDescent="0.2">
      <c r="A56" s="197"/>
      <c r="B56" s="197"/>
      <c r="C56" s="217"/>
      <c r="D56" s="236" t="s">
        <v>518</v>
      </c>
      <c r="E56" s="241"/>
      <c r="F56" s="241"/>
      <c r="G56" s="170"/>
      <c r="H56" s="202"/>
      <c r="I56" s="202"/>
      <c r="J56" s="202"/>
      <c r="K56" s="202"/>
      <c r="L56" s="202"/>
      <c r="M56" s="170"/>
      <c r="N56" s="170"/>
      <c r="O56" s="170"/>
      <c r="P56" s="170"/>
      <c r="Q56" s="170"/>
      <c r="R56" s="760"/>
    </row>
    <row r="57" spans="1:18" hidden="1" x14ac:dyDescent="0.2">
      <c r="A57" s="197"/>
      <c r="B57" s="197"/>
      <c r="C57" s="217"/>
      <c r="D57" s="213" t="s">
        <v>519</v>
      </c>
      <c r="E57" s="170">
        <v>2</v>
      </c>
      <c r="F57" s="170">
        <v>131201</v>
      </c>
      <c r="G57" s="170"/>
      <c r="H57" s="202"/>
      <c r="I57" s="202"/>
      <c r="J57" s="202"/>
      <c r="K57" s="202"/>
      <c r="L57" s="202"/>
      <c r="M57" s="170"/>
      <c r="N57" s="170"/>
      <c r="O57" s="170"/>
      <c r="P57" s="170"/>
      <c r="Q57" s="170">
        <f t="shared" ref="Q57:Q62" si="4">SUM(G57:P57)</f>
        <v>0</v>
      </c>
      <c r="R57" s="760"/>
    </row>
    <row r="58" spans="1:18" hidden="1" x14ac:dyDescent="0.2">
      <c r="A58" s="197"/>
      <c r="B58" s="197"/>
      <c r="C58" s="217"/>
      <c r="D58" s="213" t="s">
        <v>520</v>
      </c>
      <c r="E58" s="170">
        <v>2</v>
      </c>
      <c r="F58" s="170">
        <v>131202</v>
      </c>
      <c r="G58" s="170"/>
      <c r="H58" s="202"/>
      <c r="I58" s="202"/>
      <c r="J58" s="202"/>
      <c r="K58" s="202"/>
      <c r="L58" s="202"/>
      <c r="M58" s="170"/>
      <c r="N58" s="170"/>
      <c r="O58" s="170"/>
      <c r="P58" s="170"/>
      <c r="Q58" s="170">
        <f t="shared" si="4"/>
        <v>0</v>
      </c>
      <c r="R58" s="760"/>
    </row>
    <row r="59" spans="1:18" hidden="1" x14ac:dyDescent="0.2">
      <c r="A59" s="197"/>
      <c r="B59" s="197"/>
      <c r="C59" s="217"/>
      <c r="D59" s="213" t="s">
        <v>521</v>
      </c>
      <c r="E59" s="170">
        <v>2</v>
      </c>
      <c r="F59" s="170">
        <v>131205</v>
      </c>
      <c r="G59" s="202"/>
      <c r="H59" s="202"/>
      <c r="I59" s="202"/>
      <c r="J59" s="202"/>
      <c r="K59" s="202"/>
      <c r="L59" s="202"/>
      <c r="M59" s="170"/>
      <c r="N59" s="170"/>
      <c r="O59" s="170"/>
      <c r="P59" s="170"/>
      <c r="Q59" s="170">
        <f t="shared" si="4"/>
        <v>0</v>
      </c>
      <c r="R59" s="760"/>
    </row>
    <row r="60" spans="1:18" hidden="1" x14ac:dyDescent="0.2">
      <c r="A60" s="197"/>
      <c r="B60" s="197"/>
      <c r="C60" s="217"/>
      <c r="D60" s="213" t="s">
        <v>522</v>
      </c>
      <c r="E60" s="170">
        <v>2</v>
      </c>
      <c r="F60" s="170">
        <v>131206</v>
      </c>
      <c r="G60" s="170"/>
      <c r="H60" s="202"/>
      <c r="I60" s="202"/>
      <c r="J60" s="202"/>
      <c r="K60" s="202"/>
      <c r="L60" s="202"/>
      <c r="M60" s="170"/>
      <c r="N60" s="170"/>
      <c r="O60" s="170"/>
      <c r="P60" s="170"/>
      <c r="Q60" s="170">
        <f t="shared" si="4"/>
        <v>0</v>
      </c>
      <c r="R60" s="760"/>
    </row>
    <row r="61" spans="1:18" hidden="1" x14ac:dyDescent="0.2">
      <c r="A61" s="197"/>
      <c r="B61" s="197"/>
      <c r="C61" s="217"/>
      <c r="D61" s="212" t="s">
        <v>523</v>
      </c>
      <c r="E61" s="170">
        <v>2</v>
      </c>
      <c r="F61" s="170">
        <v>131209</v>
      </c>
      <c r="G61" s="170"/>
      <c r="H61" s="202"/>
      <c r="I61" s="202"/>
      <c r="J61" s="202"/>
      <c r="K61" s="202"/>
      <c r="L61" s="202"/>
      <c r="M61" s="170"/>
      <c r="N61" s="170"/>
      <c r="O61" s="170"/>
      <c r="P61" s="170"/>
      <c r="Q61" s="170">
        <f t="shared" si="4"/>
        <v>0</v>
      </c>
      <c r="R61" s="760"/>
    </row>
    <row r="62" spans="1:18" hidden="1" x14ac:dyDescent="0.2">
      <c r="A62" s="197"/>
      <c r="B62" s="197"/>
      <c r="C62" s="217"/>
      <c r="D62" s="213" t="s">
        <v>524</v>
      </c>
      <c r="E62" s="170">
        <v>2</v>
      </c>
      <c r="F62" s="170">
        <v>131211</v>
      </c>
      <c r="G62" s="170"/>
      <c r="H62" s="202"/>
      <c r="I62" s="202"/>
      <c r="J62" s="202"/>
      <c r="K62" s="202"/>
      <c r="L62" s="202"/>
      <c r="M62" s="170"/>
      <c r="N62" s="170"/>
      <c r="O62" s="170"/>
      <c r="P62" s="170"/>
      <c r="Q62" s="170">
        <f t="shared" si="4"/>
        <v>0</v>
      </c>
      <c r="R62" s="760"/>
    </row>
    <row r="63" spans="1:18" hidden="1" x14ac:dyDescent="0.2">
      <c r="A63" s="197"/>
      <c r="B63" s="197"/>
      <c r="C63" s="217"/>
      <c r="D63" s="213" t="s">
        <v>486</v>
      </c>
      <c r="E63" s="170"/>
      <c r="F63" s="170"/>
      <c r="G63" s="170"/>
      <c r="H63" s="202"/>
      <c r="I63" s="202"/>
      <c r="J63" s="202"/>
      <c r="K63" s="202"/>
      <c r="L63" s="202"/>
      <c r="M63" s="170"/>
      <c r="N63" s="170"/>
      <c r="O63" s="170"/>
      <c r="P63" s="170"/>
      <c r="Q63" s="170"/>
      <c r="R63" s="760"/>
    </row>
    <row r="64" spans="1:18" hidden="1" x14ac:dyDescent="0.2">
      <c r="A64" s="197"/>
      <c r="B64" s="197"/>
      <c r="C64" s="217"/>
      <c r="D64" s="212" t="s">
        <v>525</v>
      </c>
      <c r="E64" s="170">
        <v>2</v>
      </c>
      <c r="F64" s="170">
        <v>131101</v>
      </c>
      <c r="G64" s="170"/>
      <c r="H64" s="202"/>
      <c r="I64" s="202"/>
      <c r="J64" s="202"/>
      <c r="K64" s="202"/>
      <c r="L64" s="202"/>
      <c r="M64" s="170"/>
      <c r="N64" s="170"/>
      <c r="O64" s="170"/>
      <c r="P64" s="170"/>
      <c r="Q64" s="170">
        <f>SUM(G64:P64)</f>
        <v>0</v>
      </c>
      <c r="R64" s="760"/>
    </row>
    <row r="65" spans="1:18" hidden="1" x14ac:dyDescent="0.2">
      <c r="A65" s="197"/>
      <c r="B65" s="197"/>
      <c r="C65" s="217"/>
      <c r="D65" s="212" t="s">
        <v>526</v>
      </c>
      <c r="E65" s="170"/>
      <c r="F65" s="170"/>
      <c r="G65" s="170"/>
      <c r="H65" s="202"/>
      <c r="I65" s="202"/>
      <c r="J65" s="202"/>
      <c r="K65" s="202"/>
      <c r="L65" s="202"/>
      <c r="M65" s="170"/>
      <c r="N65" s="170"/>
      <c r="O65" s="170"/>
      <c r="P65" s="170"/>
      <c r="Q65" s="170"/>
      <c r="R65" s="760"/>
    </row>
    <row r="66" spans="1:18" hidden="1" x14ac:dyDescent="0.2">
      <c r="A66" s="197"/>
      <c r="B66" s="197"/>
      <c r="C66" s="217"/>
      <c r="D66" s="213" t="s">
        <v>527</v>
      </c>
      <c r="E66" s="170">
        <v>2</v>
      </c>
      <c r="F66" s="170">
        <v>131120</v>
      </c>
      <c r="G66" s="170"/>
      <c r="H66" s="202"/>
      <c r="I66" s="202"/>
      <c r="J66" s="202"/>
      <c r="K66" s="202"/>
      <c r="L66" s="202"/>
      <c r="M66" s="170"/>
      <c r="N66" s="170"/>
      <c r="O66" s="170"/>
      <c r="P66" s="170"/>
      <c r="Q66" s="170">
        <f>SUM(G66:P66)</f>
        <v>0</v>
      </c>
      <c r="R66" s="760"/>
    </row>
    <row r="67" spans="1:18" x14ac:dyDescent="0.2">
      <c r="A67" s="197"/>
      <c r="B67" s="197"/>
      <c r="C67" s="217"/>
      <c r="D67" s="213" t="s">
        <v>528</v>
      </c>
      <c r="E67" s="208"/>
      <c r="F67" s="208"/>
      <c r="G67" s="170"/>
      <c r="H67" s="202"/>
      <c r="I67" s="202"/>
      <c r="J67" s="202"/>
      <c r="K67" s="202"/>
      <c r="L67" s="202"/>
      <c r="M67" s="170"/>
      <c r="N67" s="170"/>
      <c r="O67" s="170"/>
      <c r="P67" s="170"/>
      <c r="Q67" s="170"/>
      <c r="R67" s="760"/>
    </row>
    <row r="68" spans="1:18" hidden="1" x14ac:dyDescent="0.2">
      <c r="A68" s="197"/>
      <c r="B68" s="197"/>
      <c r="C68" s="217"/>
      <c r="D68" s="213" t="s">
        <v>529</v>
      </c>
      <c r="E68" s="170">
        <v>2</v>
      </c>
      <c r="F68" s="170">
        <v>131346</v>
      </c>
      <c r="G68" s="170"/>
      <c r="H68" s="202"/>
      <c r="I68" s="202"/>
      <c r="J68" s="202"/>
      <c r="K68" s="202"/>
      <c r="L68" s="202"/>
      <c r="M68" s="170"/>
      <c r="N68" s="170"/>
      <c r="O68" s="170"/>
      <c r="P68" s="170"/>
      <c r="Q68" s="170">
        <f t="shared" ref="Q68:Q85" si="5">SUM(G68:P68)</f>
        <v>0</v>
      </c>
      <c r="R68" s="760"/>
    </row>
    <row r="69" spans="1:18" hidden="1" x14ac:dyDescent="0.2">
      <c r="A69" s="197"/>
      <c r="B69" s="197"/>
      <c r="C69" s="217"/>
      <c r="D69" s="213" t="s">
        <v>530</v>
      </c>
      <c r="E69" s="170">
        <v>2</v>
      </c>
      <c r="F69" s="170">
        <v>131305</v>
      </c>
      <c r="G69" s="170"/>
      <c r="H69" s="202"/>
      <c r="I69" s="202"/>
      <c r="J69" s="202"/>
      <c r="K69" s="202"/>
      <c r="L69" s="202"/>
      <c r="M69" s="170"/>
      <c r="N69" s="170"/>
      <c r="O69" s="170"/>
      <c r="P69" s="170"/>
      <c r="Q69" s="170">
        <f t="shared" si="5"/>
        <v>0</v>
      </c>
      <c r="R69" s="760"/>
    </row>
    <row r="70" spans="1:18" ht="14.1" hidden="1" customHeight="1" x14ac:dyDescent="0.2">
      <c r="A70" s="197"/>
      <c r="B70" s="197"/>
      <c r="C70" s="217"/>
      <c r="D70" s="213" t="s">
        <v>531</v>
      </c>
      <c r="E70" s="170">
        <v>2</v>
      </c>
      <c r="F70" s="170">
        <v>131306</v>
      </c>
      <c r="G70" s="170"/>
      <c r="H70" s="202"/>
      <c r="I70" s="202"/>
      <c r="J70" s="202"/>
      <c r="K70" s="202"/>
      <c r="L70" s="202"/>
      <c r="M70" s="170"/>
      <c r="N70" s="170"/>
      <c r="O70" s="170"/>
      <c r="P70" s="170"/>
      <c r="Q70" s="170">
        <f t="shared" si="5"/>
        <v>0</v>
      </c>
      <c r="R70" s="760"/>
    </row>
    <row r="71" spans="1:18" ht="14.1" hidden="1" customHeight="1" x14ac:dyDescent="0.2">
      <c r="A71" s="197"/>
      <c r="B71" s="197"/>
      <c r="C71" s="217"/>
      <c r="D71" s="222" t="s">
        <v>532</v>
      </c>
      <c r="E71" s="170">
        <v>2</v>
      </c>
      <c r="F71" s="170">
        <v>131325</v>
      </c>
      <c r="G71" s="170"/>
      <c r="H71" s="202"/>
      <c r="I71" s="202"/>
      <c r="J71" s="202"/>
      <c r="K71" s="202"/>
      <c r="L71" s="202"/>
      <c r="M71" s="170"/>
      <c r="N71" s="170"/>
      <c r="O71" s="170"/>
      <c r="P71" s="170"/>
      <c r="Q71" s="170">
        <f t="shared" si="5"/>
        <v>0</v>
      </c>
      <c r="R71" s="760"/>
    </row>
    <row r="72" spans="1:18" ht="14.1" hidden="1" customHeight="1" x14ac:dyDescent="0.2">
      <c r="A72" s="197"/>
      <c r="B72" s="197"/>
      <c r="C72" s="217"/>
      <c r="D72" s="222" t="s">
        <v>1370</v>
      </c>
      <c r="E72" s="170">
        <v>2</v>
      </c>
      <c r="F72" s="170">
        <v>131321</v>
      </c>
      <c r="G72" s="170"/>
      <c r="H72" s="202"/>
      <c r="I72" s="202"/>
      <c r="J72" s="202"/>
      <c r="K72" s="202"/>
      <c r="L72" s="202"/>
      <c r="M72" s="170"/>
      <c r="N72" s="170"/>
      <c r="O72" s="170"/>
      <c r="P72" s="170"/>
      <c r="Q72" s="170">
        <f t="shared" si="5"/>
        <v>0</v>
      </c>
      <c r="R72" s="760"/>
    </row>
    <row r="73" spans="1:18" ht="23.25" customHeight="1" x14ac:dyDescent="0.2">
      <c r="A73" s="197"/>
      <c r="B73" s="197"/>
      <c r="C73" s="217"/>
      <c r="D73" s="222" t="s">
        <v>533</v>
      </c>
      <c r="E73" s="170">
        <v>2</v>
      </c>
      <c r="F73" s="170">
        <v>131313</v>
      </c>
      <c r="G73" s="170"/>
      <c r="H73" s="202"/>
      <c r="I73" s="202"/>
      <c r="J73" s="202"/>
      <c r="K73" s="202">
        <v>-17500</v>
      </c>
      <c r="L73" s="202"/>
      <c r="M73" s="170"/>
      <c r="N73" s="170"/>
      <c r="O73" s="170"/>
      <c r="P73" s="170"/>
      <c r="Q73" s="170">
        <f t="shared" si="5"/>
        <v>-17500</v>
      </c>
      <c r="R73" s="760" t="s">
        <v>1489</v>
      </c>
    </row>
    <row r="74" spans="1:18" ht="14.1" hidden="1" customHeight="1" x14ac:dyDescent="0.2">
      <c r="A74" s="197"/>
      <c r="B74" s="197"/>
      <c r="C74" s="217"/>
      <c r="D74" s="236" t="s">
        <v>534</v>
      </c>
      <c r="E74" s="170">
        <v>2</v>
      </c>
      <c r="F74" s="170">
        <v>131501</v>
      </c>
      <c r="G74" s="170"/>
      <c r="H74" s="202"/>
      <c r="I74" s="202"/>
      <c r="J74" s="202"/>
      <c r="K74" s="202"/>
      <c r="L74" s="202"/>
      <c r="M74" s="170"/>
      <c r="N74" s="170"/>
      <c r="O74" s="170"/>
      <c r="P74" s="170"/>
      <c r="Q74" s="170">
        <f t="shared" si="5"/>
        <v>0</v>
      </c>
      <c r="R74" s="760"/>
    </row>
    <row r="75" spans="1:18" ht="14.1" hidden="1" customHeight="1" x14ac:dyDescent="0.2">
      <c r="A75" s="197"/>
      <c r="B75" s="197"/>
      <c r="C75" s="217"/>
      <c r="D75" s="236" t="s">
        <v>535</v>
      </c>
      <c r="E75" s="170">
        <v>2</v>
      </c>
      <c r="F75" s="170">
        <v>131307</v>
      </c>
      <c r="G75" s="170"/>
      <c r="H75" s="202"/>
      <c r="I75" s="202"/>
      <c r="J75" s="202"/>
      <c r="K75" s="202"/>
      <c r="L75" s="202"/>
      <c r="M75" s="170"/>
      <c r="N75" s="170"/>
      <c r="O75" s="170"/>
      <c r="P75" s="170"/>
      <c r="Q75" s="170">
        <f t="shared" si="5"/>
        <v>0</v>
      </c>
      <c r="R75" s="760"/>
    </row>
    <row r="76" spans="1:18" ht="15" hidden="1" customHeight="1" x14ac:dyDescent="0.2">
      <c r="A76" s="197"/>
      <c r="B76" s="197"/>
      <c r="C76" s="217"/>
      <c r="D76" s="242" t="s">
        <v>536</v>
      </c>
      <c r="E76" s="170">
        <v>2</v>
      </c>
      <c r="F76" s="170">
        <v>131340</v>
      </c>
      <c r="G76" s="170"/>
      <c r="H76" s="202"/>
      <c r="I76" s="202"/>
      <c r="J76" s="202"/>
      <c r="K76" s="202"/>
      <c r="L76" s="202"/>
      <c r="M76" s="170"/>
      <c r="N76" s="170"/>
      <c r="O76" s="170"/>
      <c r="P76" s="170"/>
      <c r="Q76" s="170">
        <f t="shared" si="5"/>
        <v>0</v>
      </c>
      <c r="R76" s="760"/>
    </row>
    <row r="77" spans="1:18" ht="15" hidden="1" customHeight="1" x14ac:dyDescent="0.2">
      <c r="A77" s="197"/>
      <c r="B77" s="197"/>
      <c r="C77" s="217"/>
      <c r="D77" s="242" t="s">
        <v>537</v>
      </c>
      <c r="E77" s="170">
        <v>2</v>
      </c>
      <c r="F77" s="170">
        <v>131343</v>
      </c>
      <c r="G77" s="170"/>
      <c r="H77" s="202"/>
      <c r="I77" s="202"/>
      <c r="J77" s="202"/>
      <c r="K77" s="202"/>
      <c r="L77" s="202"/>
      <c r="M77" s="170"/>
      <c r="N77" s="170"/>
      <c r="O77" s="170"/>
      <c r="P77" s="170"/>
      <c r="Q77" s="170">
        <f t="shared" si="5"/>
        <v>0</v>
      </c>
      <c r="R77" s="760"/>
    </row>
    <row r="78" spans="1:18" ht="15" hidden="1" customHeight="1" x14ac:dyDescent="0.2">
      <c r="A78" s="197"/>
      <c r="B78" s="197"/>
      <c r="C78" s="217"/>
      <c r="D78" s="242" t="s">
        <v>538</v>
      </c>
      <c r="E78" s="170">
        <v>2</v>
      </c>
      <c r="F78" s="170">
        <v>131344</v>
      </c>
      <c r="G78" s="170"/>
      <c r="H78" s="202"/>
      <c r="I78" s="202"/>
      <c r="J78" s="202"/>
      <c r="K78" s="202"/>
      <c r="L78" s="202"/>
      <c r="M78" s="170"/>
      <c r="N78" s="170"/>
      <c r="O78" s="170"/>
      <c r="P78" s="170"/>
      <c r="Q78" s="170">
        <f t="shared" si="5"/>
        <v>0</v>
      </c>
      <c r="R78" s="760"/>
    </row>
    <row r="79" spans="1:18" ht="15" hidden="1" customHeight="1" x14ac:dyDescent="0.2">
      <c r="A79" s="197"/>
      <c r="B79" s="197"/>
      <c r="C79" s="217"/>
      <c r="D79" s="243" t="s">
        <v>1445</v>
      </c>
      <c r="E79" s="170">
        <v>2</v>
      </c>
      <c r="F79" s="170">
        <v>131323</v>
      </c>
      <c r="G79" s="170"/>
      <c r="H79" s="202"/>
      <c r="I79" s="202"/>
      <c r="J79" s="202"/>
      <c r="K79" s="202"/>
      <c r="L79" s="202"/>
      <c r="M79" s="170"/>
      <c r="N79" s="170"/>
      <c r="O79" s="170"/>
      <c r="P79" s="170"/>
      <c r="Q79" s="170">
        <f t="shared" si="5"/>
        <v>0</v>
      </c>
      <c r="R79" s="760"/>
    </row>
    <row r="80" spans="1:18" ht="15" hidden="1" customHeight="1" x14ac:dyDescent="0.2">
      <c r="A80" s="197"/>
      <c r="B80" s="197"/>
      <c r="C80" s="217"/>
      <c r="D80" s="243" t="s">
        <v>540</v>
      </c>
      <c r="E80" s="170">
        <v>2</v>
      </c>
      <c r="F80" s="170">
        <v>131310</v>
      </c>
      <c r="G80" s="170"/>
      <c r="H80" s="202"/>
      <c r="I80" s="202"/>
      <c r="J80" s="202"/>
      <c r="K80" s="202"/>
      <c r="L80" s="202"/>
      <c r="M80" s="170"/>
      <c r="N80" s="170"/>
      <c r="O80" s="170"/>
      <c r="P80" s="170"/>
      <c r="Q80" s="170">
        <f t="shared" si="5"/>
        <v>0</v>
      </c>
      <c r="R80" s="760"/>
    </row>
    <row r="81" spans="1:18" ht="15" hidden="1" customHeight="1" x14ac:dyDescent="0.2">
      <c r="A81" s="197"/>
      <c r="B81" s="197"/>
      <c r="C81" s="217"/>
      <c r="D81" s="243" t="s">
        <v>1375</v>
      </c>
      <c r="E81" s="170">
        <v>2</v>
      </c>
      <c r="F81" s="170">
        <v>131315</v>
      </c>
      <c r="G81" s="170"/>
      <c r="H81" s="202"/>
      <c r="I81" s="202"/>
      <c r="J81" s="202"/>
      <c r="K81" s="202"/>
      <c r="L81" s="202"/>
      <c r="M81" s="170"/>
      <c r="N81" s="170"/>
      <c r="O81" s="170"/>
      <c r="P81" s="170"/>
      <c r="Q81" s="170">
        <f t="shared" si="5"/>
        <v>0</v>
      </c>
      <c r="R81" s="760"/>
    </row>
    <row r="82" spans="1:18" ht="15" hidden="1" customHeight="1" x14ac:dyDescent="0.2">
      <c r="A82" s="197"/>
      <c r="B82" s="197"/>
      <c r="C82" s="217"/>
      <c r="D82" s="243" t="s">
        <v>541</v>
      </c>
      <c r="E82" s="170">
        <v>2</v>
      </c>
      <c r="F82" s="170">
        <v>131316</v>
      </c>
      <c r="G82" s="170"/>
      <c r="H82" s="202"/>
      <c r="I82" s="202"/>
      <c r="J82" s="202"/>
      <c r="K82" s="202"/>
      <c r="L82" s="202"/>
      <c r="M82" s="170"/>
      <c r="N82" s="170"/>
      <c r="O82" s="170"/>
      <c r="P82" s="170"/>
      <c r="Q82" s="170">
        <f t="shared" si="5"/>
        <v>0</v>
      </c>
      <c r="R82" s="760"/>
    </row>
    <row r="83" spans="1:18" ht="15" hidden="1" customHeight="1" x14ac:dyDescent="0.2">
      <c r="A83" s="197"/>
      <c r="B83" s="197"/>
      <c r="C83" s="217"/>
      <c r="D83" s="242" t="s">
        <v>542</v>
      </c>
      <c r="E83" s="170">
        <v>2</v>
      </c>
      <c r="F83" s="170">
        <v>131348</v>
      </c>
      <c r="G83" s="170"/>
      <c r="H83" s="202"/>
      <c r="I83" s="202"/>
      <c r="J83" s="202"/>
      <c r="K83" s="202"/>
      <c r="L83" s="202"/>
      <c r="M83" s="170"/>
      <c r="N83" s="170"/>
      <c r="O83" s="170"/>
      <c r="P83" s="170"/>
      <c r="Q83" s="170">
        <f t="shared" si="5"/>
        <v>0</v>
      </c>
      <c r="R83" s="760"/>
    </row>
    <row r="84" spans="1:18" ht="23.25" hidden="1" customHeight="1" x14ac:dyDescent="0.2">
      <c r="A84" s="197"/>
      <c r="B84" s="197"/>
      <c r="C84" s="217"/>
      <c r="D84" s="244" t="s">
        <v>543</v>
      </c>
      <c r="E84" s="170">
        <v>2</v>
      </c>
      <c r="F84" s="170">
        <v>131345</v>
      </c>
      <c r="G84" s="170"/>
      <c r="H84" s="202"/>
      <c r="I84" s="202"/>
      <c r="J84" s="202"/>
      <c r="K84" s="202"/>
      <c r="L84" s="202"/>
      <c r="M84" s="170"/>
      <c r="N84" s="170"/>
      <c r="O84" s="170"/>
      <c r="P84" s="170"/>
      <c r="Q84" s="170">
        <f t="shared" si="5"/>
        <v>0</v>
      </c>
      <c r="R84" s="760"/>
    </row>
    <row r="85" spans="1:18" ht="17.25" hidden="1" customHeight="1" x14ac:dyDescent="0.2">
      <c r="A85" s="197"/>
      <c r="B85" s="197"/>
      <c r="C85" s="217"/>
      <c r="D85" s="611" t="s">
        <v>544</v>
      </c>
      <c r="E85" s="230">
        <v>2</v>
      </c>
      <c r="F85" s="170">
        <v>131327</v>
      </c>
      <c r="G85" s="170"/>
      <c r="H85" s="202"/>
      <c r="I85" s="202"/>
      <c r="J85" s="202"/>
      <c r="K85" s="202"/>
      <c r="L85" s="202"/>
      <c r="M85" s="170"/>
      <c r="N85" s="170"/>
      <c r="O85" s="170"/>
      <c r="P85" s="170"/>
      <c r="Q85" s="170">
        <f t="shared" si="5"/>
        <v>0</v>
      </c>
      <c r="R85" s="760"/>
    </row>
    <row r="86" spans="1:18" ht="14.1" hidden="1" customHeight="1" x14ac:dyDescent="0.2">
      <c r="A86" s="197"/>
      <c r="B86" s="197"/>
      <c r="C86" s="217"/>
      <c r="D86" s="170" t="s">
        <v>545</v>
      </c>
      <c r="E86" s="235"/>
      <c r="F86" s="208"/>
      <c r="G86" s="170"/>
      <c r="H86" s="202"/>
      <c r="I86" s="202"/>
      <c r="J86" s="202"/>
      <c r="K86" s="202"/>
      <c r="L86" s="202"/>
      <c r="M86" s="170"/>
      <c r="N86" s="170"/>
      <c r="O86" s="170"/>
      <c r="P86" s="170"/>
      <c r="Q86" s="170"/>
      <c r="R86" s="760"/>
    </row>
    <row r="87" spans="1:18" ht="24.95" hidden="1" customHeight="1" x14ac:dyDescent="0.2">
      <c r="A87" s="197"/>
      <c r="B87" s="197"/>
      <c r="C87" s="217"/>
      <c r="D87" s="222" t="s">
        <v>546</v>
      </c>
      <c r="E87" s="208">
        <v>2</v>
      </c>
      <c r="F87" s="170">
        <v>131401</v>
      </c>
      <c r="G87" s="170"/>
      <c r="H87" s="202"/>
      <c r="I87" s="202"/>
      <c r="J87" s="202"/>
      <c r="K87" s="202"/>
      <c r="L87" s="202"/>
      <c r="M87" s="170"/>
      <c r="N87" s="170"/>
      <c r="O87" s="170"/>
      <c r="P87" s="170"/>
      <c r="Q87" s="170">
        <f t="shared" ref="Q87:Q95" si="6">SUM(G87:P87)</f>
        <v>0</v>
      </c>
      <c r="R87" s="760"/>
    </row>
    <row r="88" spans="1:18" ht="14.1" hidden="1" customHeight="1" x14ac:dyDescent="0.2">
      <c r="A88" s="197"/>
      <c r="B88" s="197"/>
      <c r="C88" s="246"/>
      <c r="D88" s="247" t="s">
        <v>547</v>
      </c>
      <c r="E88" s="208">
        <v>2</v>
      </c>
      <c r="F88" s="170">
        <v>131402</v>
      </c>
      <c r="G88" s="170"/>
      <c r="H88" s="202"/>
      <c r="I88" s="202"/>
      <c r="J88" s="202"/>
      <c r="K88" s="202"/>
      <c r="L88" s="202"/>
      <c r="M88" s="170"/>
      <c r="N88" s="170"/>
      <c r="O88" s="170"/>
      <c r="P88" s="170"/>
      <c r="Q88" s="170">
        <f t="shared" si="6"/>
        <v>0</v>
      </c>
      <c r="R88" s="760"/>
    </row>
    <row r="89" spans="1:18" ht="14.1" hidden="1" customHeight="1" x14ac:dyDescent="0.2">
      <c r="A89" s="197"/>
      <c r="B89" s="197"/>
      <c r="C89" s="217"/>
      <c r="D89" s="213" t="s">
        <v>548</v>
      </c>
      <c r="E89" s="208">
        <v>2</v>
      </c>
      <c r="F89" s="170">
        <v>131403</v>
      </c>
      <c r="G89" s="170"/>
      <c r="H89" s="202"/>
      <c r="I89" s="202"/>
      <c r="J89" s="202"/>
      <c r="K89" s="202"/>
      <c r="L89" s="202"/>
      <c r="M89" s="170"/>
      <c r="N89" s="170"/>
      <c r="O89" s="170"/>
      <c r="P89" s="170"/>
      <c r="Q89" s="170">
        <f t="shared" si="6"/>
        <v>0</v>
      </c>
      <c r="R89" s="760"/>
    </row>
    <row r="90" spans="1:18" ht="14.1" hidden="1" customHeight="1" x14ac:dyDescent="0.2">
      <c r="A90" s="197"/>
      <c r="B90" s="197"/>
      <c r="C90" s="217"/>
      <c r="D90" s="213" t="s">
        <v>549</v>
      </c>
      <c r="E90" s="208">
        <v>2</v>
      </c>
      <c r="F90" s="170">
        <v>131404</v>
      </c>
      <c r="G90" s="170"/>
      <c r="H90" s="202"/>
      <c r="I90" s="202"/>
      <c r="J90" s="202"/>
      <c r="K90" s="202"/>
      <c r="L90" s="202"/>
      <c r="M90" s="170"/>
      <c r="N90" s="170"/>
      <c r="O90" s="170"/>
      <c r="P90" s="170"/>
      <c r="Q90" s="170">
        <f t="shared" si="6"/>
        <v>0</v>
      </c>
      <c r="R90" s="760"/>
    </row>
    <row r="91" spans="1:18" ht="14.1" hidden="1" customHeight="1" x14ac:dyDescent="0.2">
      <c r="A91" s="197"/>
      <c r="B91" s="197"/>
      <c r="C91" s="217"/>
      <c r="D91" s="213" t="s">
        <v>550</v>
      </c>
      <c r="E91" s="208">
        <v>2</v>
      </c>
      <c r="F91" s="170">
        <v>131330</v>
      </c>
      <c r="G91" s="170"/>
      <c r="H91" s="202"/>
      <c r="I91" s="202"/>
      <c r="J91" s="202"/>
      <c r="K91" s="202"/>
      <c r="L91" s="202"/>
      <c r="M91" s="170"/>
      <c r="N91" s="170"/>
      <c r="O91" s="170"/>
      <c r="P91" s="170"/>
      <c r="Q91" s="170">
        <f t="shared" si="6"/>
        <v>0</v>
      </c>
      <c r="R91" s="760"/>
    </row>
    <row r="92" spans="1:18" ht="14.1" hidden="1" customHeight="1" x14ac:dyDescent="0.2">
      <c r="A92" s="197"/>
      <c r="B92" s="197"/>
      <c r="C92" s="217"/>
      <c r="D92" s="213" t="s">
        <v>551</v>
      </c>
      <c r="E92" s="208">
        <v>2</v>
      </c>
      <c r="F92" s="170">
        <v>131507</v>
      </c>
      <c r="G92" s="170"/>
      <c r="H92" s="202"/>
      <c r="I92" s="202"/>
      <c r="J92" s="202"/>
      <c r="K92" s="202"/>
      <c r="L92" s="202"/>
      <c r="M92" s="170"/>
      <c r="N92" s="170"/>
      <c r="O92" s="170"/>
      <c r="P92" s="170"/>
      <c r="Q92" s="170">
        <f t="shared" si="6"/>
        <v>0</v>
      </c>
      <c r="R92" s="760"/>
    </row>
    <row r="93" spans="1:18" ht="14.1" hidden="1" customHeight="1" x14ac:dyDescent="0.2">
      <c r="A93" s="197"/>
      <c r="B93" s="197"/>
      <c r="C93" s="246"/>
      <c r="D93" s="248" t="s">
        <v>552</v>
      </c>
      <c r="E93" s="208">
        <v>2</v>
      </c>
      <c r="F93" s="170">
        <v>171943</v>
      </c>
      <c r="G93" s="170"/>
      <c r="H93" s="202"/>
      <c r="I93" s="202"/>
      <c r="J93" s="202"/>
      <c r="K93" s="202"/>
      <c r="L93" s="202"/>
      <c r="M93" s="170"/>
      <c r="N93" s="170"/>
      <c r="O93" s="170"/>
      <c r="P93" s="170"/>
      <c r="Q93" s="170">
        <f t="shared" si="6"/>
        <v>0</v>
      </c>
      <c r="R93" s="760"/>
    </row>
    <row r="94" spans="1:18" ht="14.1" hidden="1" customHeight="1" x14ac:dyDescent="0.2">
      <c r="A94" s="197"/>
      <c r="B94" s="197"/>
      <c r="C94" s="197"/>
      <c r="D94" s="213" t="s">
        <v>553</v>
      </c>
      <c r="E94" s="208">
        <v>2</v>
      </c>
      <c r="F94" s="170">
        <v>131409</v>
      </c>
      <c r="G94" s="170"/>
      <c r="H94" s="202"/>
      <c r="I94" s="202"/>
      <c r="J94" s="202"/>
      <c r="K94" s="202"/>
      <c r="L94" s="202"/>
      <c r="M94" s="170"/>
      <c r="N94" s="170"/>
      <c r="O94" s="170"/>
      <c r="P94" s="170"/>
      <c r="Q94" s="170">
        <f t="shared" si="6"/>
        <v>0</v>
      </c>
      <c r="R94" s="760"/>
    </row>
    <row r="95" spans="1:18" ht="14.1" hidden="1" customHeight="1" x14ac:dyDescent="0.2">
      <c r="A95" s="197"/>
      <c r="B95" s="197"/>
      <c r="C95" s="197"/>
      <c r="D95" s="213" t="s">
        <v>554</v>
      </c>
      <c r="E95" s="208">
        <v>2</v>
      </c>
      <c r="F95" s="170">
        <v>131410</v>
      </c>
      <c r="G95" s="170"/>
      <c r="H95" s="202"/>
      <c r="I95" s="202"/>
      <c r="J95" s="202"/>
      <c r="K95" s="202"/>
      <c r="L95" s="202"/>
      <c r="M95" s="170"/>
      <c r="N95" s="170"/>
      <c r="O95" s="170"/>
      <c r="P95" s="170"/>
      <c r="Q95" s="170">
        <f t="shared" si="6"/>
        <v>0</v>
      </c>
      <c r="R95" s="760"/>
    </row>
    <row r="96" spans="1:18" ht="14.1" hidden="1" customHeight="1" x14ac:dyDescent="0.2">
      <c r="A96" s="197"/>
      <c r="B96" s="197"/>
      <c r="C96" s="217"/>
      <c r="D96" s="236" t="s">
        <v>555</v>
      </c>
      <c r="E96" s="241"/>
      <c r="F96" s="241"/>
      <c r="G96" s="170"/>
      <c r="H96" s="202"/>
      <c r="I96" s="202"/>
      <c r="J96" s="202"/>
      <c r="K96" s="202"/>
      <c r="L96" s="202"/>
      <c r="M96" s="170"/>
      <c r="N96" s="170"/>
      <c r="O96" s="170"/>
      <c r="P96" s="170"/>
      <c r="Q96" s="170"/>
      <c r="R96" s="760"/>
    </row>
    <row r="97" spans="1:18" ht="14.1" hidden="1" customHeight="1" x14ac:dyDescent="0.2">
      <c r="A97" s="197"/>
      <c r="B97" s="197"/>
      <c r="C97" s="217"/>
      <c r="D97" s="236" t="s">
        <v>556</v>
      </c>
      <c r="E97" s="249">
        <v>2</v>
      </c>
      <c r="F97" s="250">
        <v>131502</v>
      </c>
      <c r="G97" s="170"/>
      <c r="H97" s="202"/>
      <c r="I97" s="202"/>
      <c r="J97" s="202"/>
      <c r="K97" s="202"/>
      <c r="L97" s="202"/>
      <c r="M97" s="170"/>
      <c r="N97" s="170"/>
      <c r="O97" s="170"/>
      <c r="P97" s="170"/>
      <c r="Q97" s="170">
        <f>SUM(G97:P97)</f>
        <v>0</v>
      </c>
      <c r="R97" s="760"/>
    </row>
    <row r="98" spans="1:18" ht="25.5" hidden="1" customHeight="1" x14ac:dyDescent="0.2">
      <c r="A98" s="708"/>
      <c r="B98" s="708"/>
      <c r="C98" s="709"/>
      <c r="D98" s="801" t="s">
        <v>1446</v>
      </c>
      <c r="E98" s="802">
        <v>1</v>
      </c>
      <c r="F98" s="819">
        <v>131508</v>
      </c>
      <c r="G98" s="712"/>
      <c r="H98" s="713"/>
      <c r="I98" s="713"/>
      <c r="J98" s="713"/>
      <c r="K98" s="713"/>
      <c r="L98" s="713"/>
      <c r="M98" s="712"/>
      <c r="N98" s="712"/>
      <c r="O98" s="712"/>
      <c r="P98" s="712"/>
      <c r="Q98" s="170">
        <f>SUM(G98:P98)</f>
        <v>0</v>
      </c>
      <c r="R98" s="760"/>
    </row>
    <row r="99" spans="1:18" ht="14.1" hidden="1" customHeight="1" x14ac:dyDescent="0.2">
      <c r="A99" s="708"/>
      <c r="B99" s="708"/>
      <c r="C99" s="709"/>
      <c r="D99" s="801" t="s">
        <v>1447</v>
      </c>
      <c r="E99" s="802">
        <v>1</v>
      </c>
      <c r="F99" s="819">
        <v>131509</v>
      </c>
      <c r="G99" s="712"/>
      <c r="H99" s="713"/>
      <c r="I99" s="713"/>
      <c r="J99" s="713"/>
      <c r="K99" s="713"/>
      <c r="L99" s="713"/>
      <c r="M99" s="712"/>
      <c r="N99" s="712"/>
      <c r="O99" s="712"/>
      <c r="P99" s="712"/>
      <c r="Q99" s="170">
        <f>SUM(G99:P99)</f>
        <v>0</v>
      </c>
      <c r="R99" s="760"/>
    </row>
    <row r="100" spans="1:18" ht="14.1" customHeight="1" x14ac:dyDescent="0.2">
      <c r="A100" s="197"/>
      <c r="B100" s="197"/>
      <c r="C100" s="217"/>
      <c r="D100" s="612" t="s">
        <v>557</v>
      </c>
      <c r="E100" s="251"/>
      <c r="F100" s="252"/>
      <c r="G100" s="253"/>
      <c r="H100" s="254"/>
      <c r="I100" s="254"/>
      <c r="J100" s="254"/>
      <c r="K100" s="254"/>
      <c r="L100" s="254"/>
      <c r="M100" s="253"/>
      <c r="N100" s="253"/>
      <c r="O100" s="253"/>
      <c r="P100" s="253"/>
      <c r="Q100" s="253"/>
      <c r="R100" s="760"/>
    </row>
    <row r="101" spans="1:18" ht="14.1" customHeight="1" x14ac:dyDescent="0.2">
      <c r="A101" s="255"/>
      <c r="B101" s="255"/>
      <c r="C101" s="256"/>
      <c r="D101" s="209" t="s">
        <v>558</v>
      </c>
      <c r="E101" s="258"/>
      <c r="F101" s="259"/>
      <c r="G101" s="253"/>
      <c r="H101" s="254"/>
      <c r="I101" s="254"/>
      <c r="J101" s="254"/>
      <c r="K101" s="254"/>
      <c r="L101" s="254"/>
      <c r="M101" s="253"/>
      <c r="N101" s="253"/>
      <c r="O101" s="253"/>
      <c r="P101" s="253"/>
      <c r="Q101" s="253"/>
      <c r="R101" s="760"/>
    </row>
    <row r="102" spans="1:18" ht="14.1" hidden="1" customHeight="1" x14ac:dyDescent="0.2">
      <c r="A102" s="255"/>
      <c r="B102" s="255"/>
      <c r="C102" s="256"/>
      <c r="D102" s="257" t="s">
        <v>559</v>
      </c>
      <c r="E102" s="259">
        <v>1</v>
      </c>
      <c r="F102" s="253">
        <v>131703</v>
      </c>
      <c r="G102" s="253"/>
      <c r="H102" s="254"/>
      <c r="I102" s="254"/>
      <c r="J102" s="254"/>
      <c r="K102" s="254"/>
      <c r="L102" s="254"/>
      <c r="M102" s="253"/>
      <c r="N102" s="253"/>
      <c r="O102" s="253"/>
      <c r="P102" s="253"/>
      <c r="Q102" s="253">
        <f>SUM(G102:P102)</f>
        <v>0</v>
      </c>
      <c r="R102" s="760"/>
    </row>
    <row r="103" spans="1:18" ht="15" customHeight="1" x14ac:dyDescent="0.2">
      <c r="A103" s="255"/>
      <c r="B103" s="255"/>
      <c r="C103" s="256"/>
      <c r="D103" s="260" t="s">
        <v>560</v>
      </c>
      <c r="E103" s="259">
        <v>1</v>
      </c>
      <c r="F103" s="253">
        <v>121319</v>
      </c>
      <c r="G103" s="253"/>
      <c r="H103" s="254"/>
      <c r="I103" s="254">
        <v>-3303</v>
      </c>
      <c r="J103" s="254"/>
      <c r="K103" s="254">
        <v>3303</v>
      </c>
      <c r="L103" s="254"/>
      <c r="M103" s="253"/>
      <c r="N103" s="253"/>
      <c r="O103" s="253"/>
      <c r="P103" s="253"/>
      <c r="Q103" s="253">
        <f>SUM(G103:P103)</f>
        <v>0</v>
      </c>
      <c r="R103" s="760" t="s">
        <v>1489</v>
      </c>
    </row>
    <row r="104" spans="1:18" ht="27" hidden="1" customHeight="1" x14ac:dyDescent="0.2">
      <c r="A104" s="255"/>
      <c r="B104" s="255"/>
      <c r="C104" s="256"/>
      <c r="D104" s="261" t="s">
        <v>561</v>
      </c>
      <c r="E104" s="253"/>
      <c r="F104" s="253"/>
      <c r="G104" s="253"/>
      <c r="H104" s="254"/>
      <c r="I104" s="254"/>
      <c r="J104" s="254"/>
      <c r="K104" s="254"/>
      <c r="L104" s="254"/>
      <c r="M104" s="262"/>
      <c r="N104" s="262"/>
      <c r="O104" s="262"/>
      <c r="P104" s="262"/>
      <c r="Q104" s="253"/>
      <c r="R104" s="760"/>
    </row>
    <row r="105" spans="1:18" ht="16.5" hidden="1" customHeight="1" x14ac:dyDescent="0.2">
      <c r="A105" s="255"/>
      <c r="B105" s="255"/>
      <c r="C105" s="256"/>
      <c r="D105" s="261" t="s">
        <v>562</v>
      </c>
      <c r="E105" s="253">
        <v>2</v>
      </c>
      <c r="F105" s="253">
        <v>131506</v>
      </c>
      <c r="G105" s="253"/>
      <c r="H105" s="254"/>
      <c r="I105" s="254"/>
      <c r="J105" s="254"/>
      <c r="K105" s="254"/>
      <c r="L105" s="254"/>
      <c r="M105" s="262"/>
      <c r="N105" s="262"/>
      <c r="O105" s="262"/>
      <c r="P105" s="262"/>
      <c r="Q105" s="253">
        <f>SUM(G105:P105)</f>
        <v>0</v>
      </c>
      <c r="R105" s="760"/>
    </row>
    <row r="106" spans="1:18" ht="15" hidden="1" customHeight="1" x14ac:dyDescent="0.2">
      <c r="A106" s="255"/>
      <c r="B106" s="255"/>
      <c r="C106" s="256"/>
      <c r="D106" s="263" t="s">
        <v>563</v>
      </c>
      <c r="E106" s="253"/>
      <c r="F106" s="253"/>
      <c r="G106" s="253"/>
      <c r="H106" s="254"/>
      <c r="I106" s="254"/>
      <c r="J106" s="254"/>
      <c r="K106" s="254"/>
      <c r="L106" s="254"/>
      <c r="M106" s="262"/>
      <c r="N106" s="262"/>
      <c r="O106" s="262"/>
      <c r="P106" s="262"/>
      <c r="Q106" s="253"/>
      <c r="R106" s="760"/>
    </row>
    <row r="107" spans="1:18" ht="15" hidden="1" customHeight="1" x14ac:dyDescent="0.2">
      <c r="A107" s="255"/>
      <c r="B107" s="255"/>
      <c r="C107" s="256"/>
      <c r="D107" s="263" t="s">
        <v>1382</v>
      </c>
      <c r="E107" s="253">
        <v>2</v>
      </c>
      <c r="F107" s="253">
        <v>131707</v>
      </c>
      <c r="G107" s="253"/>
      <c r="H107" s="254"/>
      <c r="I107" s="254"/>
      <c r="J107" s="254"/>
      <c r="K107" s="254"/>
      <c r="L107" s="254"/>
      <c r="M107" s="262"/>
      <c r="N107" s="262"/>
      <c r="O107" s="262"/>
      <c r="P107" s="262"/>
      <c r="Q107" s="253">
        <f>SUM(G107:P107)</f>
        <v>0</v>
      </c>
      <c r="R107" s="760"/>
    </row>
    <row r="108" spans="1:18" ht="15" hidden="1" customHeight="1" x14ac:dyDescent="0.2">
      <c r="A108" s="255"/>
      <c r="B108" s="255"/>
      <c r="C108" s="256"/>
      <c r="D108" s="263" t="s">
        <v>564</v>
      </c>
      <c r="E108" s="253">
        <v>2</v>
      </c>
      <c r="F108" s="253">
        <v>131713</v>
      </c>
      <c r="G108" s="253"/>
      <c r="H108" s="254"/>
      <c r="I108" s="254"/>
      <c r="J108" s="254"/>
      <c r="K108" s="254"/>
      <c r="L108" s="254"/>
      <c r="M108" s="262"/>
      <c r="N108" s="262"/>
      <c r="O108" s="262"/>
      <c r="P108" s="262"/>
      <c r="Q108" s="253">
        <f>SUM(G108:P108)</f>
        <v>0</v>
      </c>
      <c r="R108" s="760"/>
    </row>
    <row r="109" spans="1:18" ht="16.5" customHeight="1" x14ac:dyDescent="0.2">
      <c r="A109" s="255"/>
      <c r="B109" s="255"/>
      <c r="C109" s="256"/>
      <c r="D109" s="167" t="s">
        <v>496</v>
      </c>
      <c r="E109" s="264"/>
      <c r="F109" s="265"/>
      <c r="G109" s="253"/>
      <c r="H109" s="254"/>
      <c r="I109" s="254"/>
      <c r="J109" s="254"/>
      <c r="K109" s="254"/>
      <c r="L109" s="254"/>
      <c r="M109" s="253"/>
      <c r="N109" s="253"/>
      <c r="O109" s="253"/>
      <c r="P109" s="253"/>
      <c r="Q109" s="253"/>
      <c r="R109" s="760"/>
    </row>
    <row r="110" spans="1:18" ht="15" hidden="1" customHeight="1" x14ac:dyDescent="0.2">
      <c r="A110" s="255"/>
      <c r="B110" s="255"/>
      <c r="C110" s="256"/>
      <c r="D110" s="263" t="s">
        <v>565</v>
      </c>
      <c r="E110" s="165">
        <v>2</v>
      </c>
      <c r="F110" s="253">
        <v>131706</v>
      </c>
      <c r="G110" s="253"/>
      <c r="H110" s="254"/>
      <c r="I110" s="254"/>
      <c r="J110" s="254"/>
      <c r="K110" s="254"/>
      <c r="L110" s="254"/>
      <c r="M110" s="253"/>
      <c r="N110" s="253"/>
      <c r="O110" s="253"/>
      <c r="P110" s="253"/>
      <c r="Q110" s="253">
        <f>SUM(G110:P110)</f>
        <v>0</v>
      </c>
      <c r="R110" s="760"/>
    </row>
    <row r="111" spans="1:18" ht="15" hidden="1" customHeight="1" x14ac:dyDescent="0.2">
      <c r="A111" s="255"/>
      <c r="B111" s="255"/>
      <c r="C111" s="256"/>
      <c r="D111" s="263" t="s">
        <v>566</v>
      </c>
      <c r="E111" s="165">
        <v>2</v>
      </c>
      <c r="F111" s="253">
        <v>131712</v>
      </c>
      <c r="G111" s="253"/>
      <c r="H111" s="254"/>
      <c r="I111" s="254"/>
      <c r="J111" s="254"/>
      <c r="K111" s="254"/>
      <c r="L111" s="254"/>
      <c r="M111" s="253"/>
      <c r="N111" s="253"/>
      <c r="O111" s="253"/>
      <c r="P111" s="253"/>
      <c r="Q111" s="253">
        <f>SUM(G111:P111)</f>
        <v>0</v>
      </c>
      <c r="R111" s="760"/>
    </row>
    <row r="112" spans="1:18" ht="15" customHeight="1" x14ac:dyDescent="0.2">
      <c r="A112" s="255"/>
      <c r="B112" s="255"/>
      <c r="C112" s="256"/>
      <c r="D112" s="167" t="s">
        <v>567</v>
      </c>
      <c r="E112" s="165">
        <v>2</v>
      </c>
      <c r="F112" s="253">
        <v>131714</v>
      </c>
      <c r="G112" s="253"/>
      <c r="H112" s="254"/>
      <c r="I112" s="254"/>
      <c r="J112" s="254"/>
      <c r="K112" s="254">
        <v>-200</v>
      </c>
      <c r="L112" s="254"/>
      <c r="M112" s="253"/>
      <c r="N112" s="253"/>
      <c r="O112" s="253"/>
      <c r="P112" s="253"/>
      <c r="Q112" s="253">
        <f>SUM(G112:P112)</f>
        <v>-200</v>
      </c>
      <c r="R112" s="760" t="s">
        <v>1489</v>
      </c>
    </row>
    <row r="113" spans="1:18" ht="25.5" hidden="1" customHeight="1" x14ac:dyDescent="0.2">
      <c r="A113" s="708"/>
      <c r="B113" s="708"/>
      <c r="C113" s="709"/>
      <c r="D113" s="710" t="s">
        <v>1432</v>
      </c>
      <c r="E113" s="711"/>
      <c r="F113" s="712"/>
      <c r="G113" s="712"/>
      <c r="H113" s="713"/>
      <c r="I113" s="713"/>
      <c r="J113" s="713"/>
      <c r="K113" s="713"/>
      <c r="L113" s="713"/>
      <c r="M113" s="712"/>
      <c r="N113" s="712"/>
      <c r="O113" s="712"/>
      <c r="P113" s="712"/>
      <c r="Q113" s="253"/>
      <c r="R113" s="760"/>
    </row>
    <row r="114" spans="1:18" ht="15" hidden="1" customHeight="1" x14ac:dyDescent="0.2">
      <c r="A114" s="708"/>
      <c r="B114" s="708"/>
      <c r="C114" s="709"/>
      <c r="D114" s="710" t="s">
        <v>1414</v>
      </c>
      <c r="E114" s="711"/>
      <c r="F114" s="774">
        <v>131716</v>
      </c>
      <c r="G114" s="712"/>
      <c r="H114" s="713"/>
      <c r="I114" s="713"/>
      <c r="J114" s="713"/>
      <c r="K114" s="756"/>
      <c r="L114" s="713"/>
      <c r="M114" s="712"/>
      <c r="N114" s="712"/>
      <c r="O114" s="712"/>
      <c r="P114" s="712"/>
      <c r="Q114" s="253">
        <f>SUM(G114:P114)</f>
        <v>0</v>
      </c>
      <c r="R114" s="760"/>
    </row>
    <row r="115" spans="1:18" ht="15" hidden="1" customHeight="1" x14ac:dyDescent="0.2">
      <c r="A115" s="255"/>
      <c r="B115" s="255"/>
      <c r="C115" s="256"/>
      <c r="D115" s="170" t="s">
        <v>545</v>
      </c>
      <c r="E115" s="266"/>
      <c r="F115" s="253"/>
      <c r="G115" s="253"/>
      <c r="H115" s="254"/>
      <c r="I115" s="254"/>
      <c r="J115" s="254"/>
      <c r="K115" s="254"/>
      <c r="L115" s="254"/>
      <c r="M115" s="253"/>
      <c r="N115" s="253"/>
      <c r="O115" s="253"/>
      <c r="P115" s="253"/>
      <c r="Q115" s="253"/>
      <c r="R115" s="760"/>
    </row>
    <row r="116" spans="1:18" ht="15" hidden="1" customHeight="1" x14ac:dyDescent="0.2">
      <c r="A116" s="255"/>
      <c r="B116" s="255"/>
      <c r="C116" s="256"/>
      <c r="D116" s="263" t="s">
        <v>568</v>
      </c>
      <c r="E116" s="165">
        <v>2</v>
      </c>
      <c r="F116" s="253">
        <v>128901</v>
      </c>
      <c r="G116" s="253"/>
      <c r="H116" s="254"/>
      <c r="I116" s="254"/>
      <c r="J116" s="254"/>
      <c r="K116" s="254"/>
      <c r="L116" s="254"/>
      <c r="M116" s="253"/>
      <c r="N116" s="253"/>
      <c r="O116" s="253"/>
      <c r="P116" s="253"/>
      <c r="Q116" s="253">
        <f>SUM(G116:P116)</f>
        <v>0</v>
      </c>
      <c r="R116" s="760"/>
    </row>
    <row r="117" spans="1:18" ht="15" customHeight="1" x14ac:dyDescent="0.2">
      <c r="A117" s="255"/>
      <c r="B117" s="255"/>
      <c r="C117" s="256"/>
      <c r="D117" s="267" t="s">
        <v>569</v>
      </c>
      <c r="E117" s="253"/>
      <c r="F117" s="253"/>
      <c r="G117" s="253"/>
      <c r="H117" s="254"/>
      <c r="I117" s="254"/>
      <c r="J117" s="254"/>
      <c r="K117" s="254"/>
      <c r="L117" s="254"/>
      <c r="M117" s="253"/>
      <c r="N117" s="253"/>
      <c r="O117" s="253"/>
      <c r="P117" s="253"/>
      <c r="Q117" s="253"/>
      <c r="R117" s="760"/>
    </row>
    <row r="118" spans="1:18" ht="15" customHeight="1" x14ac:dyDescent="0.2">
      <c r="A118" s="255"/>
      <c r="B118" s="255"/>
      <c r="C118" s="256"/>
      <c r="D118" s="260" t="s">
        <v>570</v>
      </c>
      <c r="E118" s="259"/>
      <c r="F118" s="259"/>
      <c r="G118" s="253"/>
      <c r="H118" s="254"/>
      <c r="I118" s="254"/>
      <c r="J118" s="254"/>
      <c r="K118" s="254"/>
      <c r="L118" s="254"/>
      <c r="M118" s="253"/>
      <c r="N118" s="253"/>
      <c r="O118" s="253"/>
      <c r="P118" s="253"/>
      <c r="Q118" s="253"/>
      <c r="R118" s="760"/>
    </row>
    <row r="119" spans="1:18" ht="15" customHeight="1" x14ac:dyDescent="0.2">
      <c r="A119" s="255"/>
      <c r="B119" s="255"/>
      <c r="C119" s="256"/>
      <c r="D119" s="263" t="s">
        <v>571</v>
      </c>
      <c r="E119" s="253">
        <v>2</v>
      </c>
      <c r="F119" s="253">
        <v>131803</v>
      </c>
      <c r="G119" s="268"/>
      <c r="H119" s="254"/>
      <c r="I119" s="254"/>
      <c r="J119" s="254"/>
      <c r="K119" s="254">
        <v>356</v>
      </c>
      <c r="L119" s="254"/>
      <c r="M119" s="253"/>
      <c r="N119" s="253"/>
      <c r="O119" s="253"/>
      <c r="P119" s="253"/>
      <c r="Q119" s="253">
        <f>SUM(G119:P119)</f>
        <v>356</v>
      </c>
      <c r="R119" s="760" t="s">
        <v>1489</v>
      </c>
    </row>
    <row r="120" spans="1:18" ht="15" hidden="1" customHeight="1" x14ac:dyDescent="0.2">
      <c r="A120" s="255"/>
      <c r="B120" s="255"/>
      <c r="C120" s="256"/>
      <c r="D120" s="263" t="s">
        <v>572</v>
      </c>
      <c r="E120" s="253">
        <v>2</v>
      </c>
      <c r="F120" s="253">
        <v>131804</v>
      </c>
      <c r="G120" s="268"/>
      <c r="H120" s="254"/>
      <c r="I120" s="254"/>
      <c r="J120" s="254"/>
      <c r="K120" s="254"/>
      <c r="L120" s="254"/>
      <c r="M120" s="253"/>
      <c r="N120" s="253"/>
      <c r="O120" s="253"/>
      <c r="P120" s="253"/>
      <c r="Q120" s="253">
        <f>SUM(G120:P120)</f>
        <v>0</v>
      </c>
      <c r="R120" s="760"/>
    </row>
    <row r="121" spans="1:18" ht="15" hidden="1" customHeight="1" x14ac:dyDescent="0.2">
      <c r="A121" s="255"/>
      <c r="B121" s="255"/>
      <c r="C121" s="256"/>
      <c r="D121" s="263" t="s">
        <v>573</v>
      </c>
      <c r="E121" s="253">
        <v>2</v>
      </c>
      <c r="F121" s="253">
        <v>131805</v>
      </c>
      <c r="G121" s="268"/>
      <c r="H121" s="254"/>
      <c r="I121" s="254"/>
      <c r="J121" s="254"/>
      <c r="K121" s="254"/>
      <c r="L121" s="254"/>
      <c r="M121" s="253"/>
      <c r="N121" s="253"/>
      <c r="O121" s="253"/>
      <c r="P121" s="253"/>
      <c r="Q121" s="253">
        <f>SUM(G121:P121)</f>
        <v>0</v>
      </c>
      <c r="R121" s="760"/>
    </row>
    <row r="122" spans="1:18" ht="15" hidden="1" customHeight="1" x14ac:dyDescent="0.2">
      <c r="A122" s="255"/>
      <c r="B122" s="255"/>
      <c r="C122" s="256"/>
      <c r="D122" s="260" t="s">
        <v>574</v>
      </c>
      <c r="E122" s="259"/>
      <c r="F122" s="259"/>
      <c r="G122" s="268"/>
      <c r="H122" s="254"/>
      <c r="I122" s="254"/>
      <c r="J122" s="254"/>
      <c r="K122" s="254"/>
      <c r="L122" s="254"/>
      <c r="M122" s="253"/>
      <c r="N122" s="253"/>
      <c r="O122" s="253"/>
      <c r="P122" s="253"/>
      <c r="Q122" s="253"/>
      <c r="R122" s="760"/>
    </row>
    <row r="123" spans="1:18" ht="15" hidden="1" customHeight="1" x14ac:dyDescent="0.2">
      <c r="A123" s="255"/>
      <c r="B123" s="255"/>
      <c r="C123" s="256"/>
      <c r="D123" s="263" t="s">
        <v>575</v>
      </c>
      <c r="E123" s="259">
        <v>1</v>
      </c>
      <c r="F123" s="253">
        <v>131808</v>
      </c>
      <c r="G123" s="268"/>
      <c r="H123" s="254"/>
      <c r="I123" s="254"/>
      <c r="J123" s="254"/>
      <c r="K123" s="254"/>
      <c r="L123" s="254"/>
      <c r="M123" s="253"/>
      <c r="N123" s="253"/>
      <c r="O123" s="253"/>
      <c r="P123" s="253"/>
      <c r="Q123" s="253">
        <f>SUM(G123:P123)</f>
        <v>0</v>
      </c>
      <c r="R123" s="760"/>
    </row>
    <row r="124" spans="1:18" ht="15" hidden="1" customHeight="1" x14ac:dyDescent="0.2">
      <c r="A124" s="255"/>
      <c r="B124" s="255"/>
      <c r="C124" s="256"/>
      <c r="D124" s="263" t="s">
        <v>576</v>
      </c>
      <c r="E124" s="253">
        <v>1</v>
      </c>
      <c r="F124" s="253">
        <v>131807</v>
      </c>
      <c r="G124" s="268"/>
      <c r="H124" s="254"/>
      <c r="I124" s="254"/>
      <c r="J124" s="254"/>
      <c r="K124" s="254"/>
      <c r="L124" s="254"/>
      <c r="M124" s="253"/>
      <c r="N124" s="253"/>
      <c r="O124" s="253"/>
      <c r="P124" s="253"/>
      <c r="Q124" s="253">
        <f>SUM(G124:P124)</f>
        <v>0</v>
      </c>
      <c r="R124" s="760"/>
    </row>
    <row r="125" spans="1:18" ht="15" hidden="1" customHeight="1" x14ac:dyDescent="0.2">
      <c r="A125" s="255"/>
      <c r="B125" s="255"/>
      <c r="C125" s="256"/>
      <c r="D125" s="263" t="s">
        <v>577</v>
      </c>
      <c r="E125" s="259">
        <v>1</v>
      </c>
      <c r="F125" s="253">
        <v>131809</v>
      </c>
      <c r="G125" s="268"/>
      <c r="H125" s="254"/>
      <c r="I125" s="254"/>
      <c r="J125" s="254"/>
      <c r="K125" s="254"/>
      <c r="L125" s="254"/>
      <c r="M125" s="253"/>
      <c r="N125" s="253"/>
      <c r="O125" s="253"/>
      <c r="P125" s="253"/>
      <c r="Q125" s="253">
        <f>SUM(G125:P125)</f>
        <v>0</v>
      </c>
      <c r="R125" s="760"/>
    </row>
    <row r="126" spans="1:18" ht="15" hidden="1" customHeight="1" x14ac:dyDescent="0.2">
      <c r="A126" s="255"/>
      <c r="B126" s="255"/>
      <c r="C126" s="256"/>
      <c r="D126" s="269" t="s">
        <v>578</v>
      </c>
      <c r="E126" s="253">
        <v>2</v>
      </c>
      <c r="F126" s="253">
        <v>131835</v>
      </c>
      <c r="G126" s="268"/>
      <c r="H126" s="254"/>
      <c r="I126" s="254"/>
      <c r="J126" s="254"/>
      <c r="K126" s="254"/>
      <c r="L126" s="254"/>
      <c r="M126" s="253"/>
      <c r="N126" s="253"/>
      <c r="O126" s="253"/>
      <c r="P126" s="253"/>
      <c r="Q126" s="253">
        <f>SUM(G126:P126)</f>
        <v>0</v>
      </c>
      <c r="R126" s="760"/>
    </row>
    <row r="127" spans="1:18" ht="15" customHeight="1" x14ac:dyDescent="0.2">
      <c r="A127" s="255"/>
      <c r="B127" s="255"/>
      <c r="C127" s="256"/>
      <c r="D127" s="260" t="s">
        <v>579</v>
      </c>
      <c r="E127" s="259"/>
      <c r="F127" s="259"/>
      <c r="G127" s="268"/>
      <c r="H127" s="254"/>
      <c r="I127" s="254"/>
      <c r="J127" s="254"/>
      <c r="K127" s="254"/>
      <c r="L127" s="254"/>
      <c r="M127" s="253"/>
      <c r="N127" s="253"/>
      <c r="O127" s="253"/>
      <c r="P127" s="253"/>
      <c r="Q127" s="253"/>
      <c r="R127" s="760"/>
    </row>
    <row r="128" spans="1:18" ht="15" hidden="1" customHeight="1" x14ac:dyDescent="0.2">
      <c r="A128" s="255"/>
      <c r="B128" s="255"/>
      <c r="C128" s="256"/>
      <c r="D128" s="263" t="s">
        <v>580</v>
      </c>
      <c r="E128" s="253">
        <v>1</v>
      </c>
      <c r="F128" s="253">
        <v>131811</v>
      </c>
      <c r="G128" s="268"/>
      <c r="H128" s="254"/>
      <c r="I128" s="254"/>
      <c r="J128" s="254"/>
      <c r="K128" s="254"/>
      <c r="L128" s="254"/>
      <c r="M128" s="253"/>
      <c r="N128" s="253"/>
      <c r="O128" s="253"/>
      <c r="P128" s="253"/>
      <c r="Q128" s="253">
        <f t="shared" ref="Q128:Q136" si="7">SUM(G128:P128)</f>
        <v>0</v>
      </c>
      <c r="R128" s="760"/>
    </row>
    <row r="129" spans="1:18" ht="15" hidden="1" customHeight="1" x14ac:dyDescent="0.2">
      <c r="A129" s="255"/>
      <c r="B129" s="255"/>
      <c r="C129" s="256"/>
      <c r="D129" s="263" t="s">
        <v>581</v>
      </c>
      <c r="E129" s="253">
        <v>1</v>
      </c>
      <c r="F129" s="253">
        <v>131812</v>
      </c>
      <c r="G129" s="268"/>
      <c r="H129" s="254"/>
      <c r="I129" s="254"/>
      <c r="J129" s="254"/>
      <c r="K129" s="254"/>
      <c r="L129" s="254"/>
      <c r="M129" s="253"/>
      <c r="N129" s="253"/>
      <c r="O129" s="253"/>
      <c r="P129" s="253"/>
      <c r="Q129" s="253">
        <f t="shared" si="7"/>
        <v>0</v>
      </c>
      <c r="R129" s="760"/>
    </row>
    <row r="130" spans="1:18" ht="15" hidden="1" customHeight="1" x14ac:dyDescent="0.2">
      <c r="A130" s="255"/>
      <c r="B130" s="255"/>
      <c r="C130" s="256"/>
      <c r="D130" s="263" t="s">
        <v>582</v>
      </c>
      <c r="E130" s="253">
        <v>1</v>
      </c>
      <c r="F130" s="253">
        <v>131813</v>
      </c>
      <c r="G130" s="268"/>
      <c r="H130" s="254"/>
      <c r="I130" s="254"/>
      <c r="J130" s="254"/>
      <c r="K130" s="253"/>
      <c r="L130" s="254"/>
      <c r="M130" s="253"/>
      <c r="N130" s="253"/>
      <c r="O130" s="253"/>
      <c r="P130" s="253"/>
      <c r="Q130" s="253">
        <f t="shared" si="7"/>
        <v>0</v>
      </c>
      <c r="R130" s="760"/>
    </row>
    <row r="131" spans="1:18" ht="15" hidden="1" customHeight="1" x14ac:dyDescent="0.2">
      <c r="A131" s="255"/>
      <c r="B131" s="255"/>
      <c r="C131" s="256"/>
      <c r="D131" s="263" t="s">
        <v>583</v>
      </c>
      <c r="E131" s="253">
        <v>1</v>
      </c>
      <c r="F131" s="253">
        <v>131816</v>
      </c>
      <c r="G131" s="268"/>
      <c r="H131" s="254"/>
      <c r="I131" s="254"/>
      <c r="J131" s="254"/>
      <c r="K131" s="253"/>
      <c r="L131" s="254"/>
      <c r="M131" s="253"/>
      <c r="N131" s="253"/>
      <c r="O131" s="253"/>
      <c r="P131" s="253"/>
      <c r="Q131" s="253">
        <f t="shared" si="7"/>
        <v>0</v>
      </c>
      <c r="R131" s="760"/>
    </row>
    <row r="132" spans="1:18" ht="15" hidden="1" customHeight="1" x14ac:dyDescent="0.2">
      <c r="A132" s="255"/>
      <c r="B132" s="255"/>
      <c r="C132" s="256"/>
      <c r="D132" s="263" t="s">
        <v>584</v>
      </c>
      <c r="E132" s="253">
        <v>1</v>
      </c>
      <c r="F132" s="253">
        <v>131817</v>
      </c>
      <c r="G132" s="268"/>
      <c r="H132" s="254"/>
      <c r="I132" s="254"/>
      <c r="J132" s="254"/>
      <c r="K132" s="253"/>
      <c r="L132" s="254"/>
      <c r="M132" s="253"/>
      <c r="N132" s="253"/>
      <c r="O132" s="253"/>
      <c r="P132" s="253"/>
      <c r="Q132" s="253">
        <f t="shared" si="7"/>
        <v>0</v>
      </c>
      <c r="R132" s="760"/>
    </row>
    <row r="133" spans="1:18" ht="15" hidden="1" customHeight="1" x14ac:dyDescent="0.2">
      <c r="A133" s="255"/>
      <c r="B133" s="255"/>
      <c r="C133" s="256"/>
      <c r="D133" s="263" t="s">
        <v>585</v>
      </c>
      <c r="E133" s="253">
        <v>1</v>
      </c>
      <c r="F133" s="253">
        <v>131818</v>
      </c>
      <c r="G133" s="268"/>
      <c r="H133" s="254"/>
      <c r="I133" s="254"/>
      <c r="J133" s="254"/>
      <c r="K133" s="253"/>
      <c r="L133" s="254"/>
      <c r="M133" s="253"/>
      <c r="N133" s="253"/>
      <c r="O133" s="253"/>
      <c r="P133" s="253"/>
      <c r="Q133" s="253">
        <f t="shared" si="7"/>
        <v>0</v>
      </c>
      <c r="R133" s="760"/>
    </row>
    <row r="134" spans="1:18" ht="15" hidden="1" customHeight="1" x14ac:dyDescent="0.2">
      <c r="A134" s="255"/>
      <c r="B134" s="255"/>
      <c r="C134" s="256"/>
      <c r="D134" s="263" t="s">
        <v>586</v>
      </c>
      <c r="E134" s="253">
        <v>1</v>
      </c>
      <c r="F134" s="253">
        <v>131819</v>
      </c>
      <c r="G134" s="268"/>
      <c r="H134" s="254"/>
      <c r="I134" s="254"/>
      <c r="J134" s="254"/>
      <c r="K134" s="253"/>
      <c r="L134" s="254"/>
      <c r="M134" s="253"/>
      <c r="N134" s="253"/>
      <c r="O134" s="253"/>
      <c r="P134" s="253"/>
      <c r="Q134" s="253">
        <f t="shared" si="7"/>
        <v>0</v>
      </c>
      <c r="R134" s="760"/>
    </row>
    <row r="135" spans="1:18" ht="15" hidden="1" customHeight="1" x14ac:dyDescent="0.2">
      <c r="A135" s="255"/>
      <c r="B135" s="255"/>
      <c r="C135" s="256"/>
      <c r="D135" s="263" t="s">
        <v>587</v>
      </c>
      <c r="E135" s="253">
        <v>1</v>
      </c>
      <c r="F135" s="253">
        <v>131832</v>
      </c>
      <c r="G135" s="268"/>
      <c r="H135" s="254"/>
      <c r="I135" s="254"/>
      <c r="J135" s="254"/>
      <c r="K135" s="253"/>
      <c r="L135" s="254"/>
      <c r="M135" s="253"/>
      <c r="N135" s="253"/>
      <c r="O135" s="253"/>
      <c r="P135" s="253"/>
      <c r="Q135" s="253">
        <f t="shared" si="7"/>
        <v>0</v>
      </c>
      <c r="R135" s="760"/>
    </row>
    <row r="136" spans="1:18" ht="15" customHeight="1" x14ac:dyDescent="0.2">
      <c r="A136" s="255"/>
      <c r="B136" s="255"/>
      <c r="C136" s="256"/>
      <c r="D136" s="263" t="s">
        <v>588</v>
      </c>
      <c r="E136" s="253">
        <v>1</v>
      </c>
      <c r="F136" s="253">
        <v>131820</v>
      </c>
      <c r="G136" s="268"/>
      <c r="H136" s="254">
        <v>9</v>
      </c>
      <c r="I136" s="254">
        <v>50</v>
      </c>
      <c r="J136" s="254"/>
      <c r="K136" s="253">
        <v>-59</v>
      </c>
      <c r="L136" s="254"/>
      <c r="M136" s="253"/>
      <c r="N136" s="253"/>
      <c r="O136" s="253"/>
      <c r="P136" s="253"/>
      <c r="Q136" s="253">
        <f t="shared" si="7"/>
        <v>0</v>
      </c>
      <c r="R136" s="760" t="s">
        <v>1489</v>
      </c>
    </row>
    <row r="137" spans="1:18" ht="15" hidden="1" customHeight="1" x14ac:dyDescent="0.2">
      <c r="A137" s="255"/>
      <c r="B137" s="255"/>
      <c r="C137" s="256"/>
      <c r="D137" s="263" t="s">
        <v>589</v>
      </c>
      <c r="E137" s="253"/>
      <c r="F137" s="253"/>
      <c r="G137" s="268"/>
      <c r="H137" s="254"/>
      <c r="I137" s="254"/>
      <c r="J137" s="254"/>
      <c r="K137" s="253"/>
      <c r="L137" s="254"/>
      <c r="M137" s="253"/>
      <c r="N137" s="253"/>
      <c r="O137" s="253"/>
      <c r="P137" s="253"/>
      <c r="Q137" s="253"/>
      <c r="R137" s="760"/>
    </row>
    <row r="138" spans="1:18" ht="15" hidden="1" customHeight="1" x14ac:dyDescent="0.2">
      <c r="A138" s="255"/>
      <c r="B138" s="255"/>
      <c r="C138" s="256"/>
      <c r="D138" s="263" t="s">
        <v>590</v>
      </c>
      <c r="E138" s="259">
        <v>2</v>
      </c>
      <c r="F138" s="253">
        <v>131821</v>
      </c>
      <c r="G138" s="268"/>
      <c r="H138" s="254"/>
      <c r="I138" s="254"/>
      <c r="J138" s="254"/>
      <c r="K138" s="253"/>
      <c r="L138" s="254"/>
      <c r="M138" s="253"/>
      <c r="N138" s="253"/>
      <c r="O138" s="253"/>
      <c r="P138" s="253"/>
      <c r="Q138" s="253">
        <f t="shared" ref="Q138:Q166" si="8">SUM(G138:P138)</f>
        <v>0</v>
      </c>
      <c r="R138" s="760"/>
    </row>
    <row r="139" spans="1:18" ht="15" hidden="1" customHeight="1" x14ac:dyDescent="0.2">
      <c r="A139" s="255"/>
      <c r="B139" s="255"/>
      <c r="C139" s="256"/>
      <c r="D139" s="263" t="s">
        <v>591</v>
      </c>
      <c r="E139" s="259">
        <v>2</v>
      </c>
      <c r="F139" s="253">
        <v>131822</v>
      </c>
      <c r="G139" s="268"/>
      <c r="H139" s="254"/>
      <c r="I139" s="254"/>
      <c r="J139" s="254"/>
      <c r="K139" s="253"/>
      <c r="L139" s="254"/>
      <c r="M139" s="253"/>
      <c r="N139" s="253"/>
      <c r="O139" s="253"/>
      <c r="P139" s="253"/>
      <c r="Q139" s="253">
        <f t="shared" si="8"/>
        <v>0</v>
      </c>
      <c r="R139" s="760"/>
    </row>
    <row r="140" spans="1:18" ht="15" hidden="1" customHeight="1" x14ac:dyDescent="0.2">
      <c r="A140" s="255"/>
      <c r="B140" s="255"/>
      <c r="C140" s="256"/>
      <c r="D140" s="270" t="s">
        <v>592</v>
      </c>
      <c r="E140" s="271">
        <v>2</v>
      </c>
      <c r="F140" s="253">
        <v>131823</v>
      </c>
      <c r="G140" s="268"/>
      <c r="H140" s="254"/>
      <c r="I140" s="254"/>
      <c r="J140" s="254"/>
      <c r="K140" s="253"/>
      <c r="L140" s="254"/>
      <c r="M140" s="253"/>
      <c r="N140" s="253"/>
      <c r="O140" s="253"/>
      <c r="P140" s="253"/>
      <c r="Q140" s="253">
        <f t="shared" si="8"/>
        <v>0</v>
      </c>
      <c r="R140" s="760"/>
    </row>
    <row r="141" spans="1:18" ht="15" hidden="1" customHeight="1" x14ac:dyDescent="0.2">
      <c r="A141" s="255"/>
      <c r="B141" s="255"/>
      <c r="C141" s="256"/>
      <c r="D141" s="270" t="s">
        <v>593</v>
      </c>
      <c r="E141" s="271">
        <v>2</v>
      </c>
      <c r="F141" s="253">
        <v>131846</v>
      </c>
      <c r="G141" s="268"/>
      <c r="H141" s="254"/>
      <c r="I141" s="254"/>
      <c r="J141" s="254"/>
      <c r="K141" s="253"/>
      <c r="L141" s="254"/>
      <c r="M141" s="253"/>
      <c r="N141" s="253"/>
      <c r="O141" s="253"/>
      <c r="P141" s="253"/>
      <c r="Q141" s="253">
        <f t="shared" si="8"/>
        <v>0</v>
      </c>
      <c r="R141" s="760"/>
    </row>
    <row r="142" spans="1:18" ht="15" hidden="1" customHeight="1" x14ac:dyDescent="0.2">
      <c r="A142" s="255"/>
      <c r="B142" s="255"/>
      <c r="C142" s="256"/>
      <c r="D142" s="270" t="s">
        <v>594</v>
      </c>
      <c r="E142" s="272">
        <v>2</v>
      </c>
      <c r="F142" s="253">
        <v>131824</v>
      </c>
      <c r="G142" s="268"/>
      <c r="H142" s="254"/>
      <c r="I142" s="254"/>
      <c r="J142" s="254"/>
      <c r="K142" s="253"/>
      <c r="L142" s="254"/>
      <c r="M142" s="253"/>
      <c r="N142" s="253"/>
      <c r="O142" s="253"/>
      <c r="P142" s="253"/>
      <c r="Q142" s="253">
        <f t="shared" si="8"/>
        <v>0</v>
      </c>
      <c r="R142" s="760"/>
    </row>
    <row r="143" spans="1:18" ht="15" hidden="1" customHeight="1" x14ac:dyDescent="0.2">
      <c r="A143" s="255"/>
      <c r="B143" s="255"/>
      <c r="C143" s="256"/>
      <c r="D143" s="270" t="s">
        <v>595</v>
      </c>
      <c r="E143" s="272">
        <v>2</v>
      </c>
      <c r="F143" s="273">
        <v>131833</v>
      </c>
      <c r="G143" s="274"/>
      <c r="H143" s="254"/>
      <c r="I143" s="254"/>
      <c r="J143" s="254"/>
      <c r="K143" s="253"/>
      <c r="L143" s="254"/>
      <c r="M143" s="253"/>
      <c r="N143" s="253"/>
      <c r="O143" s="253"/>
      <c r="P143" s="253"/>
      <c r="Q143" s="253">
        <f t="shared" si="8"/>
        <v>0</v>
      </c>
      <c r="R143" s="760"/>
    </row>
    <row r="144" spans="1:18" ht="15" hidden="1" customHeight="1" x14ac:dyDescent="0.2">
      <c r="A144" s="255"/>
      <c r="B144" s="255"/>
      <c r="C144" s="256"/>
      <c r="D144" s="270" t="s">
        <v>596</v>
      </c>
      <c r="E144" s="272">
        <v>2</v>
      </c>
      <c r="F144" s="273">
        <v>131834</v>
      </c>
      <c r="G144" s="274"/>
      <c r="H144" s="254"/>
      <c r="I144" s="254"/>
      <c r="J144" s="254"/>
      <c r="K144" s="253"/>
      <c r="L144" s="254"/>
      <c r="M144" s="253"/>
      <c r="N144" s="253"/>
      <c r="O144" s="253"/>
      <c r="P144" s="253"/>
      <c r="Q144" s="253">
        <f t="shared" si="8"/>
        <v>0</v>
      </c>
      <c r="R144" s="760"/>
    </row>
    <row r="145" spans="1:18" ht="15" hidden="1" customHeight="1" x14ac:dyDescent="0.2">
      <c r="A145" s="255"/>
      <c r="B145" s="255"/>
      <c r="C145" s="256"/>
      <c r="D145" s="270" t="s">
        <v>597</v>
      </c>
      <c r="E145" s="272">
        <v>2</v>
      </c>
      <c r="F145" s="273">
        <v>131836</v>
      </c>
      <c r="G145" s="274"/>
      <c r="H145" s="254"/>
      <c r="I145" s="254"/>
      <c r="J145" s="254"/>
      <c r="K145" s="253"/>
      <c r="L145" s="254"/>
      <c r="M145" s="253"/>
      <c r="N145" s="253"/>
      <c r="O145" s="253"/>
      <c r="P145" s="253"/>
      <c r="Q145" s="253">
        <f t="shared" si="8"/>
        <v>0</v>
      </c>
      <c r="R145" s="760"/>
    </row>
    <row r="146" spans="1:18" ht="15" hidden="1" customHeight="1" x14ac:dyDescent="0.2">
      <c r="A146" s="255"/>
      <c r="B146" s="255"/>
      <c r="C146" s="256"/>
      <c r="D146" s="270" t="s">
        <v>598</v>
      </c>
      <c r="E146" s="272">
        <v>2</v>
      </c>
      <c r="F146" s="273">
        <v>131837</v>
      </c>
      <c r="G146" s="274"/>
      <c r="H146" s="254"/>
      <c r="I146" s="254"/>
      <c r="J146" s="254"/>
      <c r="K146" s="253"/>
      <c r="L146" s="254"/>
      <c r="M146" s="253"/>
      <c r="N146" s="253"/>
      <c r="O146" s="253"/>
      <c r="P146" s="253"/>
      <c r="Q146" s="253">
        <f t="shared" si="8"/>
        <v>0</v>
      </c>
      <c r="R146" s="760"/>
    </row>
    <row r="147" spans="1:18" ht="15" hidden="1" customHeight="1" x14ac:dyDescent="0.2">
      <c r="A147" s="255"/>
      <c r="B147" s="255"/>
      <c r="C147" s="256"/>
      <c r="D147" s="270" t="s">
        <v>599</v>
      </c>
      <c r="E147" s="272">
        <v>2</v>
      </c>
      <c r="F147" s="273">
        <v>131838</v>
      </c>
      <c r="G147" s="274"/>
      <c r="H147" s="254"/>
      <c r="I147" s="254"/>
      <c r="J147" s="254"/>
      <c r="K147" s="253"/>
      <c r="L147" s="254"/>
      <c r="M147" s="253"/>
      <c r="N147" s="253"/>
      <c r="O147" s="253"/>
      <c r="P147" s="253"/>
      <c r="Q147" s="253">
        <f t="shared" si="8"/>
        <v>0</v>
      </c>
      <c r="R147" s="760"/>
    </row>
    <row r="148" spans="1:18" ht="15" hidden="1" customHeight="1" x14ac:dyDescent="0.2">
      <c r="A148" s="255"/>
      <c r="B148" s="255"/>
      <c r="C148" s="256"/>
      <c r="D148" s="270" t="s">
        <v>600</v>
      </c>
      <c r="E148" s="272">
        <v>2</v>
      </c>
      <c r="F148" s="273">
        <v>131840</v>
      </c>
      <c r="G148" s="274"/>
      <c r="H148" s="254"/>
      <c r="I148" s="254"/>
      <c r="J148" s="254"/>
      <c r="K148" s="253"/>
      <c r="L148" s="254"/>
      <c r="M148" s="253"/>
      <c r="N148" s="253"/>
      <c r="O148" s="253"/>
      <c r="P148" s="253"/>
      <c r="Q148" s="253">
        <f t="shared" si="8"/>
        <v>0</v>
      </c>
      <c r="R148" s="760"/>
    </row>
    <row r="149" spans="1:18" ht="15" hidden="1" customHeight="1" x14ac:dyDescent="0.2">
      <c r="A149" s="255"/>
      <c r="B149" s="255"/>
      <c r="C149" s="256"/>
      <c r="D149" s="270" t="s">
        <v>601</v>
      </c>
      <c r="E149" s="272">
        <v>2</v>
      </c>
      <c r="F149" s="273">
        <v>131841</v>
      </c>
      <c r="G149" s="274"/>
      <c r="H149" s="254"/>
      <c r="I149" s="254"/>
      <c r="J149" s="254"/>
      <c r="K149" s="253"/>
      <c r="L149" s="254"/>
      <c r="M149" s="253"/>
      <c r="N149" s="253"/>
      <c r="O149" s="253"/>
      <c r="P149" s="253"/>
      <c r="Q149" s="253">
        <f t="shared" si="8"/>
        <v>0</v>
      </c>
      <c r="R149" s="760"/>
    </row>
    <row r="150" spans="1:18" ht="15" hidden="1" customHeight="1" x14ac:dyDescent="0.2">
      <c r="A150" s="255"/>
      <c r="B150" s="255"/>
      <c r="C150" s="256"/>
      <c r="D150" s="270" t="s">
        <v>602</v>
      </c>
      <c r="E150" s="272">
        <v>2</v>
      </c>
      <c r="F150" s="273">
        <v>131842</v>
      </c>
      <c r="G150" s="274"/>
      <c r="H150" s="254"/>
      <c r="I150" s="254"/>
      <c r="J150" s="254"/>
      <c r="K150" s="253"/>
      <c r="L150" s="254"/>
      <c r="M150" s="253"/>
      <c r="N150" s="253"/>
      <c r="O150" s="253"/>
      <c r="P150" s="253"/>
      <c r="Q150" s="253">
        <f t="shared" si="8"/>
        <v>0</v>
      </c>
      <c r="R150" s="760"/>
    </row>
    <row r="151" spans="1:18" ht="15" hidden="1" customHeight="1" x14ac:dyDescent="0.2">
      <c r="A151" s="255"/>
      <c r="B151" s="255"/>
      <c r="C151" s="256"/>
      <c r="D151" s="270" t="s">
        <v>603</v>
      </c>
      <c r="E151" s="272">
        <v>2</v>
      </c>
      <c r="F151" s="273">
        <v>131843</v>
      </c>
      <c r="G151" s="274"/>
      <c r="H151" s="254"/>
      <c r="I151" s="254"/>
      <c r="J151" s="254"/>
      <c r="K151" s="253"/>
      <c r="L151" s="254"/>
      <c r="M151" s="253"/>
      <c r="N151" s="253"/>
      <c r="O151" s="253"/>
      <c r="P151" s="253"/>
      <c r="Q151" s="253">
        <f t="shared" si="8"/>
        <v>0</v>
      </c>
      <c r="R151" s="760"/>
    </row>
    <row r="152" spans="1:18" ht="15" hidden="1" customHeight="1" x14ac:dyDescent="0.2">
      <c r="A152" s="255"/>
      <c r="B152" s="255"/>
      <c r="C152" s="255"/>
      <c r="D152" s="253" t="s">
        <v>604</v>
      </c>
      <c r="E152" s="272">
        <v>2</v>
      </c>
      <c r="F152" s="273">
        <v>131847</v>
      </c>
      <c r="G152" s="274"/>
      <c r="H152" s="254"/>
      <c r="I152" s="254"/>
      <c r="J152" s="254"/>
      <c r="K152" s="253"/>
      <c r="L152" s="254"/>
      <c r="M152" s="253"/>
      <c r="N152" s="253"/>
      <c r="O152" s="253"/>
      <c r="P152" s="253"/>
      <c r="Q152" s="253">
        <f t="shared" si="8"/>
        <v>0</v>
      </c>
      <c r="R152" s="760"/>
    </row>
    <row r="153" spans="1:18" ht="15" hidden="1" customHeight="1" x14ac:dyDescent="0.2">
      <c r="A153" s="255"/>
      <c r="B153" s="255"/>
      <c r="C153" s="255"/>
      <c r="D153" s="275" t="s">
        <v>605</v>
      </c>
      <c r="E153" s="276">
        <v>2</v>
      </c>
      <c r="F153" s="277">
        <v>131848</v>
      </c>
      <c r="G153" s="278"/>
      <c r="H153" s="202"/>
      <c r="I153" s="202"/>
      <c r="J153" s="202"/>
      <c r="K153" s="170"/>
      <c r="L153" s="202"/>
      <c r="M153" s="170"/>
      <c r="N153" s="170"/>
      <c r="O153" s="170"/>
      <c r="P153" s="170"/>
      <c r="Q153" s="170">
        <f t="shared" si="8"/>
        <v>0</v>
      </c>
      <c r="R153" s="760"/>
    </row>
    <row r="154" spans="1:18" ht="15" hidden="1" customHeight="1" x14ac:dyDescent="0.2">
      <c r="A154" s="197"/>
      <c r="B154" s="197"/>
      <c r="C154" s="197"/>
      <c r="D154" s="275" t="s">
        <v>606</v>
      </c>
      <c r="E154" s="276">
        <v>2</v>
      </c>
      <c r="F154" s="277">
        <v>131850</v>
      </c>
      <c r="G154" s="278"/>
      <c r="H154" s="202"/>
      <c r="I154" s="202"/>
      <c r="J154" s="202"/>
      <c r="K154" s="170"/>
      <c r="L154" s="202"/>
      <c r="M154" s="170"/>
      <c r="N154" s="170"/>
      <c r="O154" s="170"/>
      <c r="P154" s="170"/>
      <c r="Q154" s="170">
        <f t="shared" si="8"/>
        <v>0</v>
      </c>
      <c r="R154" s="760"/>
    </row>
    <row r="155" spans="1:18" ht="15" hidden="1" customHeight="1" x14ac:dyDescent="0.2">
      <c r="A155" s="197"/>
      <c r="B155" s="197"/>
      <c r="C155" s="197"/>
      <c r="D155" s="275" t="s">
        <v>607</v>
      </c>
      <c r="E155" s="276">
        <v>2</v>
      </c>
      <c r="F155" s="277">
        <v>131851</v>
      </c>
      <c r="G155" s="278"/>
      <c r="H155" s="202"/>
      <c r="I155" s="202"/>
      <c r="J155" s="202"/>
      <c r="K155" s="170"/>
      <c r="L155" s="202"/>
      <c r="M155" s="170"/>
      <c r="N155" s="170"/>
      <c r="O155" s="170"/>
      <c r="P155" s="170"/>
      <c r="Q155" s="170">
        <f t="shared" si="8"/>
        <v>0</v>
      </c>
      <c r="R155" s="760"/>
    </row>
    <row r="156" spans="1:18" ht="15" hidden="1" customHeight="1" x14ac:dyDescent="0.2">
      <c r="A156" s="197"/>
      <c r="B156" s="197"/>
      <c r="C156" s="197"/>
      <c r="D156" s="248" t="s">
        <v>608</v>
      </c>
      <c r="E156" s="276">
        <v>2</v>
      </c>
      <c r="F156" s="277">
        <v>131852</v>
      </c>
      <c r="G156" s="278"/>
      <c r="H156" s="202"/>
      <c r="I156" s="202"/>
      <c r="J156" s="202"/>
      <c r="K156" s="170"/>
      <c r="L156" s="202"/>
      <c r="M156" s="170"/>
      <c r="N156" s="170"/>
      <c r="O156" s="170"/>
      <c r="P156" s="170"/>
      <c r="Q156" s="170">
        <f t="shared" si="8"/>
        <v>0</v>
      </c>
      <c r="R156" s="760"/>
    </row>
    <row r="157" spans="1:18" ht="40.5" hidden="1" customHeight="1" x14ac:dyDescent="0.2">
      <c r="A157" s="197"/>
      <c r="B157" s="197"/>
      <c r="C157" s="197"/>
      <c r="D157" s="279" t="s">
        <v>609</v>
      </c>
      <c r="E157" s="280">
        <v>2</v>
      </c>
      <c r="F157" s="250">
        <v>131853</v>
      </c>
      <c r="G157" s="278"/>
      <c r="H157" s="202"/>
      <c r="I157" s="202"/>
      <c r="J157" s="202"/>
      <c r="K157" s="170"/>
      <c r="L157" s="202"/>
      <c r="M157" s="170"/>
      <c r="N157" s="170"/>
      <c r="O157" s="170"/>
      <c r="P157" s="170"/>
      <c r="Q157" s="170">
        <f t="shared" si="8"/>
        <v>0</v>
      </c>
      <c r="R157" s="760"/>
    </row>
    <row r="158" spans="1:18" ht="26.25" hidden="1" customHeight="1" x14ac:dyDescent="0.2">
      <c r="A158" s="197"/>
      <c r="B158" s="197"/>
      <c r="C158" s="197"/>
      <c r="D158" s="279" t="s">
        <v>610</v>
      </c>
      <c r="E158" s="280">
        <v>2</v>
      </c>
      <c r="F158" s="250">
        <v>131862</v>
      </c>
      <c r="G158" s="278"/>
      <c r="H158" s="202"/>
      <c r="I158" s="202"/>
      <c r="J158" s="202"/>
      <c r="K158" s="170"/>
      <c r="L158" s="202"/>
      <c r="M158" s="170"/>
      <c r="N158" s="170"/>
      <c r="O158" s="170"/>
      <c r="P158" s="170"/>
      <c r="Q158" s="170">
        <f t="shared" si="8"/>
        <v>0</v>
      </c>
      <c r="R158" s="760"/>
    </row>
    <row r="159" spans="1:18" ht="24.75" hidden="1" customHeight="1" x14ac:dyDescent="0.2">
      <c r="A159" s="197"/>
      <c r="B159" s="197"/>
      <c r="C159" s="197"/>
      <c r="D159" s="279" t="s">
        <v>611</v>
      </c>
      <c r="E159" s="280">
        <v>2</v>
      </c>
      <c r="F159" s="250">
        <v>131863</v>
      </c>
      <c r="G159" s="278"/>
      <c r="H159" s="202"/>
      <c r="I159" s="202"/>
      <c r="J159" s="202"/>
      <c r="K159" s="170"/>
      <c r="L159" s="202"/>
      <c r="M159" s="170"/>
      <c r="N159" s="170"/>
      <c r="O159" s="170"/>
      <c r="P159" s="170"/>
      <c r="Q159" s="170">
        <f t="shared" si="8"/>
        <v>0</v>
      </c>
      <c r="R159" s="760"/>
    </row>
    <row r="160" spans="1:18" ht="15" hidden="1" customHeight="1" x14ac:dyDescent="0.2">
      <c r="A160" s="197"/>
      <c r="B160" s="197"/>
      <c r="C160" s="197"/>
      <c r="D160" s="170" t="s">
        <v>612</v>
      </c>
      <c r="E160" s="276">
        <v>2</v>
      </c>
      <c r="F160" s="277">
        <v>131854</v>
      </c>
      <c r="G160" s="278"/>
      <c r="H160" s="202"/>
      <c r="I160" s="202"/>
      <c r="J160" s="202"/>
      <c r="K160" s="170"/>
      <c r="L160" s="202"/>
      <c r="M160" s="170"/>
      <c r="N160" s="170"/>
      <c r="O160" s="170"/>
      <c r="P160" s="170"/>
      <c r="Q160" s="170">
        <f t="shared" si="8"/>
        <v>0</v>
      </c>
      <c r="R160" s="760"/>
    </row>
    <row r="161" spans="1:18" ht="15" hidden="1" customHeight="1" x14ac:dyDescent="0.2">
      <c r="A161" s="197"/>
      <c r="B161" s="197"/>
      <c r="C161" s="197"/>
      <c r="D161" s="170" t="s">
        <v>613</v>
      </c>
      <c r="E161" s="276">
        <v>2</v>
      </c>
      <c r="F161" s="277">
        <v>131856</v>
      </c>
      <c r="G161" s="278"/>
      <c r="H161" s="202"/>
      <c r="I161" s="202"/>
      <c r="J161" s="202"/>
      <c r="K161" s="170"/>
      <c r="L161" s="202"/>
      <c r="M161" s="170"/>
      <c r="N161" s="170"/>
      <c r="O161" s="170"/>
      <c r="P161" s="170"/>
      <c r="Q161" s="170">
        <f t="shared" si="8"/>
        <v>0</v>
      </c>
      <c r="R161" s="760"/>
    </row>
    <row r="162" spans="1:18" ht="15" hidden="1" customHeight="1" x14ac:dyDescent="0.2">
      <c r="A162" s="197"/>
      <c r="B162" s="197"/>
      <c r="C162" s="197"/>
      <c r="D162" s="281" t="s">
        <v>614</v>
      </c>
      <c r="E162" s="276">
        <v>2</v>
      </c>
      <c r="F162" s="277">
        <v>131859</v>
      </c>
      <c r="G162" s="278"/>
      <c r="H162" s="202"/>
      <c r="I162" s="202"/>
      <c r="J162" s="202"/>
      <c r="K162" s="170"/>
      <c r="L162" s="202"/>
      <c r="M162" s="170"/>
      <c r="N162" s="170"/>
      <c r="O162" s="170"/>
      <c r="P162" s="170"/>
      <c r="Q162" s="170">
        <f t="shared" si="8"/>
        <v>0</v>
      </c>
      <c r="R162" s="760"/>
    </row>
    <row r="163" spans="1:18" ht="15" hidden="1" customHeight="1" x14ac:dyDescent="0.2">
      <c r="A163" s="197"/>
      <c r="B163" s="197"/>
      <c r="C163" s="197"/>
      <c r="D163" s="281" t="s">
        <v>615</v>
      </c>
      <c r="E163" s="276">
        <v>2</v>
      </c>
      <c r="F163" s="277">
        <v>131860</v>
      </c>
      <c r="G163" s="278"/>
      <c r="H163" s="202"/>
      <c r="I163" s="202"/>
      <c r="J163" s="202"/>
      <c r="K163" s="170"/>
      <c r="L163" s="202"/>
      <c r="M163" s="170"/>
      <c r="N163" s="170"/>
      <c r="O163" s="170"/>
      <c r="P163" s="170"/>
      <c r="Q163" s="170">
        <f t="shared" si="8"/>
        <v>0</v>
      </c>
      <c r="R163" s="760"/>
    </row>
    <row r="164" spans="1:18" ht="15" hidden="1" customHeight="1" x14ac:dyDescent="0.2">
      <c r="A164" s="197"/>
      <c r="B164" s="197"/>
      <c r="C164" s="197"/>
      <c r="D164" s="281" t="s">
        <v>616</v>
      </c>
      <c r="E164" s="276">
        <v>2</v>
      </c>
      <c r="F164" s="277">
        <v>131861</v>
      </c>
      <c r="G164" s="278"/>
      <c r="H164" s="202"/>
      <c r="I164" s="202"/>
      <c r="J164" s="202"/>
      <c r="K164" s="170"/>
      <c r="L164" s="202"/>
      <c r="M164" s="170"/>
      <c r="N164" s="170"/>
      <c r="O164" s="170"/>
      <c r="P164" s="170"/>
      <c r="Q164" s="170">
        <f t="shared" si="8"/>
        <v>0</v>
      </c>
      <c r="R164" s="760"/>
    </row>
    <row r="165" spans="1:18" ht="15" hidden="1" customHeight="1" x14ac:dyDescent="0.2">
      <c r="A165" s="197"/>
      <c r="B165" s="197"/>
      <c r="C165" s="197"/>
      <c r="D165" s="212" t="s">
        <v>617</v>
      </c>
      <c r="E165" s="208">
        <v>2</v>
      </c>
      <c r="F165" s="170">
        <v>131829</v>
      </c>
      <c r="G165" s="249"/>
      <c r="H165" s="202"/>
      <c r="I165" s="202"/>
      <c r="J165" s="202"/>
      <c r="K165" s="170"/>
      <c r="L165" s="202"/>
      <c r="M165" s="170"/>
      <c r="N165" s="170"/>
      <c r="O165" s="170"/>
      <c r="P165" s="170"/>
      <c r="Q165" s="170">
        <f t="shared" si="8"/>
        <v>0</v>
      </c>
      <c r="R165" s="760"/>
    </row>
    <row r="166" spans="1:18" ht="15" hidden="1" customHeight="1" x14ac:dyDescent="0.2">
      <c r="A166" s="197"/>
      <c r="B166" s="197"/>
      <c r="C166" s="197"/>
      <c r="D166" s="212" t="s">
        <v>1362</v>
      </c>
      <c r="E166" s="208">
        <v>2</v>
      </c>
      <c r="F166" s="170">
        <v>131864</v>
      </c>
      <c r="G166" s="249"/>
      <c r="H166" s="202"/>
      <c r="I166" s="202"/>
      <c r="J166" s="202"/>
      <c r="K166" s="170"/>
      <c r="L166" s="202"/>
      <c r="M166" s="170"/>
      <c r="N166" s="170"/>
      <c r="O166" s="170"/>
      <c r="P166" s="170"/>
      <c r="Q166" s="170">
        <f t="shared" si="8"/>
        <v>0</v>
      </c>
      <c r="R166" s="760"/>
    </row>
    <row r="167" spans="1:18" ht="15" customHeight="1" x14ac:dyDescent="0.2">
      <c r="A167" s="197"/>
      <c r="B167" s="197"/>
      <c r="C167" s="197"/>
      <c r="D167" s="170" t="s">
        <v>618</v>
      </c>
      <c r="E167" s="208"/>
      <c r="F167" s="170"/>
      <c r="G167" s="221"/>
      <c r="H167" s="202"/>
      <c r="I167" s="202"/>
      <c r="J167" s="202"/>
      <c r="K167" s="202"/>
      <c r="L167" s="202"/>
      <c r="M167" s="170"/>
      <c r="N167" s="170"/>
      <c r="O167" s="170"/>
      <c r="P167" s="170"/>
      <c r="Q167" s="170"/>
      <c r="R167" s="760"/>
    </row>
    <row r="168" spans="1:18" ht="15" hidden="1" customHeight="1" x14ac:dyDescent="0.2">
      <c r="A168" s="197"/>
      <c r="B168" s="197"/>
      <c r="C168" s="217"/>
      <c r="D168" s="213" t="s">
        <v>619</v>
      </c>
      <c r="E168" s="208">
        <v>1</v>
      </c>
      <c r="F168" s="170">
        <v>131827</v>
      </c>
      <c r="G168" s="221"/>
      <c r="H168" s="202"/>
      <c r="I168" s="202"/>
      <c r="J168" s="202"/>
      <c r="K168" s="202"/>
      <c r="L168" s="202"/>
      <c r="M168" s="170"/>
      <c r="N168" s="170"/>
      <c r="O168" s="170"/>
      <c r="P168" s="170"/>
      <c r="Q168" s="170">
        <f>SUM(G168:P168)</f>
        <v>0</v>
      </c>
      <c r="R168" s="760"/>
    </row>
    <row r="169" spans="1:18" ht="15" hidden="1" customHeight="1" x14ac:dyDescent="0.2">
      <c r="A169" s="197"/>
      <c r="B169" s="197"/>
      <c r="C169" s="217"/>
      <c r="D169" s="213" t="s">
        <v>620</v>
      </c>
      <c r="E169" s="170">
        <v>2</v>
      </c>
      <c r="F169" s="170">
        <v>131857</v>
      </c>
      <c r="G169" s="221"/>
      <c r="H169" s="202"/>
      <c r="I169" s="202"/>
      <c r="J169" s="202"/>
      <c r="K169" s="202"/>
      <c r="L169" s="202"/>
      <c r="M169" s="170"/>
      <c r="N169" s="170"/>
      <c r="O169" s="170"/>
      <c r="P169" s="170"/>
      <c r="Q169" s="170">
        <f>SUM(G169:P169)</f>
        <v>0</v>
      </c>
      <c r="R169" s="760"/>
    </row>
    <row r="170" spans="1:18" ht="15" customHeight="1" x14ac:dyDescent="0.2">
      <c r="A170" s="197"/>
      <c r="B170" s="197"/>
      <c r="C170" s="217"/>
      <c r="D170" s="282" t="s">
        <v>621</v>
      </c>
      <c r="E170" s="170">
        <v>2</v>
      </c>
      <c r="F170" s="170">
        <v>131844</v>
      </c>
      <c r="G170" s="221"/>
      <c r="H170" s="202"/>
      <c r="I170" s="202"/>
      <c r="J170" s="202"/>
      <c r="K170" s="202">
        <v>-4546</v>
      </c>
      <c r="L170" s="202"/>
      <c r="M170" s="170"/>
      <c r="N170" s="170"/>
      <c r="O170" s="170"/>
      <c r="P170" s="170"/>
      <c r="Q170" s="170">
        <f>SUM(G170:P170)</f>
        <v>-4546</v>
      </c>
      <c r="R170" s="760" t="s">
        <v>1489</v>
      </c>
    </row>
    <row r="171" spans="1:18" ht="12" customHeight="1" x14ac:dyDescent="0.2">
      <c r="A171" s="223"/>
      <c r="B171" s="223"/>
      <c r="C171" s="224"/>
      <c r="D171" s="225" t="s">
        <v>622</v>
      </c>
      <c r="E171" s="226"/>
      <c r="F171" s="227"/>
      <c r="G171" s="283">
        <f t="shared" ref="G171:Q171" si="9">SUM(G49:G170)</f>
        <v>0</v>
      </c>
      <c r="H171" s="283">
        <f t="shared" si="9"/>
        <v>9</v>
      </c>
      <c r="I171" s="283">
        <f t="shared" si="9"/>
        <v>-3253</v>
      </c>
      <c r="J171" s="283">
        <f t="shared" si="9"/>
        <v>0</v>
      </c>
      <c r="K171" s="283">
        <f t="shared" si="9"/>
        <v>-23646</v>
      </c>
      <c r="L171" s="283">
        <f t="shared" si="9"/>
        <v>0</v>
      </c>
      <c r="M171" s="283">
        <f t="shared" si="9"/>
        <v>0</v>
      </c>
      <c r="N171" s="283">
        <f t="shared" si="9"/>
        <v>0</v>
      </c>
      <c r="O171" s="283">
        <f t="shared" si="9"/>
        <v>0</v>
      </c>
      <c r="P171" s="283">
        <f t="shared" si="9"/>
        <v>0</v>
      </c>
      <c r="Q171" s="283">
        <f t="shared" si="9"/>
        <v>-26890</v>
      </c>
      <c r="R171" s="761"/>
    </row>
    <row r="172" spans="1:18" ht="12" customHeight="1" x14ac:dyDescent="0.2">
      <c r="A172" s="229"/>
      <c r="B172" s="229"/>
      <c r="C172" s="284"/>
      <c r="D172" s="285" t="s">
        <v>499</v>
      </c>
      <c r="E172" s="232"/>
      <c r="F172" s="233"/>
      <c r="G172" s="286"/>
      <c r="H172" s="286"/>
      <c r="I172" s="286"/>
      <c r="J172" s="286"/>
      <c r="K172" s="286"/>
      <c r="L172" s="286"/>
      <c r="M172" s="286"/>
      <c r="N172" s="286"/>
      <c r="O172" s="286"/>
      <c r="P172" s="286"/>
      <c r="Q172" s="286"/>
      <c r="R172" s="760"/>
    </row>
    <row r="173" spans="1:18" ht="15" customHeight="1" x14ac:dyDescent="0.2">
      <c r="A173" s="229"/>
      <c r="B173" s="229"/>
      <c r="C173" s="288" t="s">
        <v>125</v>
      </c>
      <c r="D173" s="289" t="s">
        <v>509</v>
      </c>
      <c r="E173" s="232"/>
      <c r="F173" s="233"/>
      <c r="G173" s="286"/>
      <c r="H173" s="286"/>
      <c r="I173" s="286"/>
      <c r="J173" s="286"/>
      <c r="K173" s="286"/>
      <c r="L173" s="286"/>
      <c r="M173" s="286"/>
      <c r="N173" s="286"/>
      <c r="O173" s="286"/>
      <c r="P173" s="286"/>
      <c r="Q173" s="286"/>
      <c r="R173" s="760"/>
    </row>
    <row r="174" spans="1:18" ht="15" customHeight="1" x14ac:dyDescent="0.2">
      <c r="A174" s="229"/>
      <c r="B174" s="229"/>
      <c r="C174" s="290" t="s">
        <v>623</v>
      </c>
      <c r="D174" s="291" t="s">
        <v>624</v>
      </c>
      <c r="E174" s="292"/>
      <c r="F174" s="233"/>
      <c r="G174" s="293"/>
      <c r="H174" s="293"/>
      <c r="I174" s="293"/>
      <c r="J174" s="293"/>
      <c r="K174" s="293"/>
      <c r="L174" s="293"/>
      <c r="M174" s="293"/>
      <c r="N174" s="293"/>
      <c r="O174" s="293"/>
      <c r="P174" s="293"/>
      <c r="Q174" s="293"/>
      <c r="R174" s="760"/>
    </row>
    <row r="175" spans="1:18" ht="39.75" hidden="1" customHeight="1" x14ac:dyDescent="0.2">
      <c r="A175" s="229"/>
      <c r="B175" s="229"/>
      <c r="C175" s="294" t="s">
        <v>625</v>
      </c>
      <c r="D175" s="613" t="s">
        <v>626</v>
      </c>
      <c r="E175" s="230"/>
      <c r="F175" s="170">
        <v>132903</v>
      </c>
      <c r="G175" s="221"/>
      <c r="H175" s="221"/>
      <c r="I175" s="221"/>
      <c r="J175" s="293"/>
      <c r="K175" s="293"/>
      <c r="L175" s="293"/>
      <c r="M175" s="293"/>
      <c r="N175" s="293"/>
      <c r="O175" s="293"/>
      <c r="P175" s="293"/>
      <c r="Q175" s="293">
        <f t="shared" ref="Q175:Q186" si="10">SUM(G175:P175)</f>
        <v>0</v>
      </c>
      <c r="R175" s="760"/>
    </row>
    <row r="176" spans="1:18" ht="17.100000000000001" hidden="1" customHeight="1" x14ac:dyDescent="0.2">
      <c r="A176" s="229"/>
      <c r="B176" s="229"/>
      <c r="C176" s="294" t="s">
        <v>627</v>
      </c>
      <c r="D176" s="614" t="s">
        <v>628</v>
      </c>
      <c r="E176" s="230"/>
      <c r="F176" s="170">
        <v>134920</v>
      </c>
      <c r="G176" s="221"/>
      <c r="H176" s="221"/>
      <c r="I176" s="221"/>
      <c r="J176" s="293"/>
      <c r="K176" s="293"/>
      <c r="L176" s="293"/>
      <c r="M176" s="293"/>
      <c r="N176" s="293"/>
      <c r="O176" s="293"/>
      <c r="P176" s="293"/>
      <c r="Q176" s="293">
        <f t="shared" si="10"/>
        <v>0</v>
      </c>
      <c r="R176" s="760"/>
    </row>
    <row r="177" spans="1:18" ht="17.100000000000001" hidden="1" customHeight="1" x14ac:dyDescent="0.2">
      <c r="A177" s="229"/>
      <c r="B177" s="229"/>
      <c r="C177" s="294" t="s">
        <v>629</v>
      </c>
      <c r="D177" s="245" t="s">
        <v>630</v>
      </c>
      <c r="E177" s="295"/>
      <c r="F177" s="170">
        <v>134995</v>
      </c>
      <c r="G177" s="221"/>
      <c r="H177" s="221"/>
      <c r="I177" s="221"/>
      <c r="J177" s="293"/>
      <c r="K177" s="293"/>
      <c r="L177" s="293"/>
      <c r="M177" s="293"/>
      <c r="N177" s="293"/>
      <c r="O177" s="293"/>
      <c r="P177" s="293"/>
      <c r="Q177" s="293">
        <f t="shared" si="10"/>
        <v>0</v>
      </c>
      <c r="R177" s="760"/>
    </row>
    <row r="178" spans="1:18" ht="17.100000000000001" hidden="1" customHeight="1" x14ac:dyDescent="0.2">
      <c r="A178" s="229"/>
      <c r="B178" s="229"/>
      <c r="C178" s="294" t="s">
        <v>631</v>
      </c>
      <c r="D178" s="296" t="s">
        <v>632</v>
      </c>
      <c r="E178" s="295"/>
      <c r="F178" s="170">
        <v>132928</v>
      </c>
      <c r="G178" s="221"/>
      <c r="H178" s="221"/>
      <c r="I178" s="221"/>
      <c r="J178" s="293"/>
      <c r="K178" s="293"/>
      <c r="L178" s="293"/>
      <c r="M178" s="293"/>
      <c r="N178" s="293"/>
      <c r="O178" s="293"/>
      <c r="P178" s="293"/>
      <c r="Q178" s="293">
        <f t="shared" si="10"/>
        <v>0</v>
      </c>
      <c r="R178" s="760"/>
    </row>
    <row r="179" spans="1:18" ht="17.100000000000001" hidden="1" customHeight="1" x14ac:dyDescent="0.2">
      <c r="A179" s="229"/>
      <c r="B179" s="229"/>
      <c r="C179" s="294" t="s">
        <v>633</v>
      </c>
      <c r="D179" s="296" t="s">
        <v>634</v>
      </c>
      <c r="E179" s="295"/>
      <c r="F179" s="170">
        <v>132929</v>
      </c>
      <c r="G179" s="221"/>
      <c r="H179" s="221"/>
      <c r="I179" s="221"/>
      <c r="J179" s="293"/>
      <c r="K179" s="293"/>
      <c r="L179" s="293"/>
      <c r="M179" s="293"/>
      <c r="N179" s="293"/>
      <c r="O179" s="293"/>
      <c r="P179" s="293"/>
      <c r="Q179" s="293">
        <f t="shared" si="10"/>
        <v>0</v>
      </c>
      <c r="R179" s="760"/>
    </row>
    <row r="180" spans="1:18" ht="17.100000000000001" customHeight="1" x14ac:dyDescent="0.2">
      <c r="A180" s="229"/>
      <c r="B180" s="229"/>
      <c r="C180" s="294" t="s">
        <v>635</v>
      </c>
      <c r="D180" s="297" t="s">
        <v>636</v>
      </c>
      <c r="E180" s="230"/>
      <c r="F180" s="170">
        <v>132930</v>
      </c>
      <c r="G180" s="221"/>
      <c r="H180" s="221"/>
      <c r="I180" s="221"/>
      <c r="J180" s="293"/>
      <c r="K180" s="293"/>
      <c r="L180" s="293">
        <v>190</v>
      </c>
      <c r="M180" s="293"/>
      <c r="N180" s="293"/>
      <c r="O180" s="293"/>
      <c r="P180" s="293"/>
      <c r="Q180" s="293">
        <f t="shared" si="10"/>
        <v>190</v>
      </c>
      <c r="R180" s="760" t="s">
        <v>1490</v>
      </c>
    </row>
    <row r="181" spans="1:18" ht="15" hidden="1" customHeight="1" x14ac:dyDescent="0.2">
      <c r="A181" s="229"/>
      <c r="B181" s="229"/>
      <c r="C181" s="294" t="s">
        <v>637</v>
      </c>
      <c r="D181" s="353" t="s">
        <v>638</v>
      </c>
      <c r="E181" s="230"/>
      <c r="F181" s="649">
        <v>134919</v>
      </c>
      <c r="G181" s="221"/>
      <c r="H181" s="221"/>
      <c r="I181" s="221"/>
      <c r="J181" s="293"/>
      <c r="K181" s="293"/>
      <c r="L181" s="293"/>
      <c r="M181" s="293"/>
      <c r="N181" s="293"/>
      <c r="O181" s="293"/>
      <c r="P181" s="293"/>
      <c r="Q181" s="293">
        <f t="shared" si="10"/>
        <v>0</v>
      </c>
      <c r="R181" s="760"/>
    </row>
    <row r="182" spans="1:18" ht="25.5" customHeight="1" x14ac:dyDescent="0.2">
      <c r="A182" s="229"/>
      <c r="B182" s="229"/>
      <c r="C182" s="294" t="s">
        <v>639</v>
      </c>
      <c r="D182" s="245" t="s">
        <v>640</v>
      </c>
      <c r="E182" s="230"/>
      <c r="F182" s="170">
        <v>132904</v>
      </c>
      <c r="G182" s="221"/>
      <c r="H182" s="221"/>
      <c r="I182" s="221"/>
      <c r="J182" s="293"/>
      <c r="K182" s="293"/>
      <c r="L182" s="293">
        <v>556</v>
      </c>
      <c r="M182" s="293"/>
      <c r="N182" s="293"/>
      <c r="O182" s="293"/>
      <c r="P182" s="293"/>
      <c r="Q182" s="293">
        <f t="shared" si="10"/>
        <v>556</v>
      </c>
      <c r="R182" s="760" t="s">
        <v>1490</v>
      </c>
    </row>
    <row r="183" spans="1:18" ht="14.25" customHeight="1" x14ac:dyDescent="0.2">
      <c r="A183" s="229"/>
      <c r="B183" s="229"/>
      <c r="C183" s="294" t="s">
        <v>641</v>
      </c>
      <c r="D183" s="245" t="s">
        <v>642</v>
      </c>
      <c r="E183" s="230"/>
      <c r="F183" s="170">
        <v>134908</v>
      </c>
      <c r="G183" s="221"/>
      <c r="H183" s="221"/>
      <c r="I183" s="221">
        <v>148</v>
      </c>
      <c r="J183" s="293"/>
      <c r="K183" s="293"/>
      <c r="L183" s="293"/>
      <c r="M183" s="293">
        <v>-563</v>
      </c>
      <c r="N183" s="293"/>
      <c r="O183" s="293"/>
      <c r="P183" s="293"/>
      <c r="Q183" s="293">
        <f t="shared" si="10"/>
        <v>-415</v>
      </c>
      <c r="R183" s="760" t="s">
        <v>1490</v>
      </c>
    </row>
    <row r="184" spans="1:18" ht="14.25" hidden="1" customHeight="1" x14ac:dyDescent="0.2">
      <c r="A184" s="715"/>
      <c r="B184" s="715"/>
      <c r="C184" s="716" t="s">
        <v>1415</v>
      </c>
      <c r="D184" s="721" t="s">
        <v>1416</v>
      </c>
      <c r="E184" s="722"/>
      <c r="F184" s="774">
        <v>132934</v>
      </c>
      <c r="G184" s="719"/>
      <c r="H184" s="719"/>
      <c r="I184" s="719"/>
      <c r="J184" s="720"/>
      <c r="K184" s="720"/>
      <c r="L184" s="720"/>
      <c r="M184" s="720"/>
      <c r="N184" s="720"/>
      <c r="O184" s="720"/>
      <c r="P184" s="720"/>
      <c r="Q184" s="293">
        <f t="shared" si="10"/>
        <v>0</v>
      </c>
      <c r="R184" s="760"/>
    </row>
    <row r="185" spans="1:18" ht="18" hidden="1" customHeight="1" x14ac:dyDescent="0.2">
      <c r="A185" s="715"/>
      <c r="B185" s="715"/>
      <c r="C185" s="716" t="s">
        <v>1417</v>
      </c>
      <c r="D185" s="717" t="s">
        <v>1418</v>
      </c>
      <c r="E185" s="718"/>
      <c r="F185" s="774">
        <v>134937</v>
      </c>
      <c r="G185" s="719"/>
      <c r="H185" s="719"/>
      <c r="I185" s="719"/>
      <c r="J185" s="720"/>
      <c r="K185" s="720"/>
      <c r="L185" s="720"/>
      <c r="M185" s="720"/>
      <c r="N185" s="720"/>
      <c r="O185" s="720"/>
      <c r="P185" s="720"/>
      <c r="Q185" s="293">
        <f t="shared" si="10"/>
        <v>0</v>
      </c>
      <c r="R185" s="760"/>
    </row>
    <row r="186" spans="1:18" ht="24" hidden="1" customHeight="1" x14ac:dyDescent="0.2">
      <c r="A186" s="715"/>
      <c r="B186" s="715"/>
      <c r="C186" s="716" t="s">
        <v>1419</v>
      </c>
      <c r="D186" s="717" t="s">
        <v>1420</v>
      </c>
      <c r="E186" s="718"/>
      <c r="F186" s="774">
        <v>134938</v>
      </c>
      <c r="G186" s="719"/>
      <c r="H186" s="719"/>
      <c r="I186" s="719"/>
      <c r="J186" s="720"/>
      <c r="K186" s="720"/>
      <c r="L186" s="720"/>
      <c r="M186" s="720"/>
      <c r="N186" s="720"/>
      <c r="O186" s="720"/>
      <c r="P186" s="720"/>
      <c r="Q186" s="293">
        <f t="shared" si="10"/>
        <v>0</v>
      </c>
      <c r="R186" s="760"/>
    </row>
    <row r="187" spans="1:18" ht="15" hidden="1" customHeight="1" x14ac:dyDescent="0.2">
      <c r="A187" s="229"/>
      <c r="B187" s="229"/>
      <c r="C187" s="284" t="s">
        <v>643</v>
      </c>
      <c r="D187" s="298" t="s">
        <v>644</v>
      </c>
      <c r="E187" s="230"/>
      <c r="F187" s="170"/>
      <c r="G187" s="221"/>
      <c r="H187" s="221"/>
      <c r="I187" s="221"/>
      <c r="J187" s="293"/>
      <c r="K187" s="293"/>
      <c r="L187" s="293"/>
      <c r="M187" s="293"/>
      <c r="N187" s="293"/>
      <c r="O187" s="293"/>
      <c r="P187" s="293"/>
      <c r="Q187" s="293"/>
      <c r="R187" s="760"/>
    </row>
    <row r="188" spans="1:18" ht="18.75" hidden="1" customHeight="1" x14ac:dyDescent="0.2">
      <c r="A188" s="229"/>
      <c r="B188" s="229"/>
      <c r="C188" s="299" t="s">
        <v>645</v>
      </c>
      <c r="D188" s="353" t="s">
        <v>646</v>
      </c>
      <c r="E188" s="230"/>
      <c r="F188" s="170">
        <v>134928</v>
      </c>
      <c r="G188" s="221"/>
      <c r="H188" s="221"/>
      <c r="I188" s="221"/>
      <c r="J188" s="293"/>
      <c r="K188" s="293"/>
      <c r="L188" s="293"/>
      <c r="M188" s="293"/>
      <c r="N188" s="293"/>
      <c r="O188" s="293"/>
      <c r="P188" s="293"/>
      <c r="Q188" s="293">
        <f>SUM(G188:P188)</f>
        <v>0</v>
      </c>
      <c r="R188" s="760"/>
    </row>
    <row r="189" spans="1:18" ht="15" hidden="1" customHeight="1" x14ac:dyDescent="0.2">
      <c r="A189" s="229"/>
      <c r="B189" s="229"/>
      <c r="C189" s="299" t="s">
        <v>647</v>
      </c>
      <c r="D189" s="300" t="s">
        <v>648</v>
      </c>
      <c r="E189" s="230"/>
      <c r="F189" s="170">
        <v>134914</v>
      </c>
      <c r="G189" s="221"/>
      <c r="H189" s="221"/>
      <c r="I189" s="221"/>
      <c r="J189" s="293"/>
      <c r="K189" s="293"/>
      <c r="L189" s="293"/>
      <c r="M189" s="293"/>
      <c r="N189" s="293"/>
      <c r="O189" s="293"/>
      <c r="P189" s="293"/>
      <c r="Q189" s="293">
        <f t="shared" ref="Q189:Q195" si="11">SUM(L189:P189)</f>
        <v>0</v>
      </c>
      <c r="R189" s="760"/>
    </row>
    <row r="190" spans="1:18" ht="15" hidden="1" customHeight="1" x14ac:dyDescent="0.2">
      <c r="A190" s="229"/>
      <c r="B190" s="229"/>
      <c r="C190" s="299" t="s">
        <v>649</v>
      </c>
      <c r="D190" s="245" t="s">
        <v>650</v>
      </c>
      <c r="E190" s="230"/>
      <c r="F190" s="170">
        <v>132905</v>
      </c>
      <c r="G190" s="221"/>
      <c r="H190" s="221"/>
      <c r="I190" s="221"/>
      <c r="J190" s="293"/>
      <c r="K190" s="293"/>
      <c r="L190" s="293"/>
      <c r="M190" s="293"/>
      <c r="N190" s="293"/>
      <c r="O190" s="293"/>
      <c r="P190" s="293"/>
      <c r="Q190" s="293">
        <f t="shared" si="11"/>
        <v>0</v>
      </c>
      <c r="R190" s="760"/>
    </row>
    <row r="191" spans="1:18" ht="15" hidden="1" customHeight="1" x14ac:dyDescent="0.2">
      <c r="A191" s="229"/>
      <c r="B191" s="229"/>
      <c r="C191" s="299" t="s">
        <v>651</v>
      </c>
      <c r="D191" s="245" t="s">
        <v>652</v>
      </c>
      <c r="E191" s="230"/>
      <c r="F191" s="170">
        <v>134929</v>
      </c>
      <c r="G191" s="221"/>
      <c r="H191" s="221"/>
      <c r="I191" s="221"/>
      <c r="J191" s="293"/>
      <c r="K191" s="293"/>
      <c r="L191" s="293"/>
      <c r="M191" s="293"/>
      <c r="N191" s="293"/>
      <c r="O191" s="293"/>
      <c r="P191" s="293"/>
      <c r="Q191" s="293">
        <f t="shared" si="11"/>
        <v>0</v>
      </c>
      <c r="R191" s="760"/>
    </row>
    <row r="192" spans="1:18" ht="24.75" hidden="1" customHeight="1" x14ac:dyDescent="0.2">
      <c r="A192" s="229"/>
      <c r="B192" s="229"/>
      <c r="C192" s="299" t="s">
        <v>653</v>
      </c>
      <c r="D192" s="353" t="s">
        <v>654</v>
      </c>
      <c r="E192" s="230"/>
      <c r="F192" s="170">
        <v>132932</v>
      </c>
      <c r="G192" s="221"/>
      <c r="H192" s="221"/>
      <c r="I192" s="221"/>
      <c r="J192" s="293"/>
      <c r="K192" s="293"/>
      <c r="L192" s="293"/>
      <c r="M192" s="293"/>
      <c r="N192" s="293"/>
      <c r="O192" s="293"/>
      <c r="P192" s="293"/>
      <c r="Q192" s="293">
        <f t="shared" si="11"/>
        <v>0</v>
      </c>
      <c r="R192" s="760"/>
    </row>
    <row r="193" spans="1:18" ht="26.25" hidden="1" customHeight="1" x14ac:dyDescent="0.2">
      <c r="A193" s="229"/>
      <c r="B193" s="229"/>
      <c r="C193" s="299" t="s">
        <v>655</v>
      </c>
      <c r="D193" s="329" t="s">
        <v>656</v>
      </c>
      <c r="E193" s="230"/>
      <c r="F193" s="170">
        <v>134931</v>
      </c>
      <c r="G193" s="221"/>
      <c r="H193" s="221"/>
      <c r="I193" s="221"/>
      <c r="J193" s="293"/>
      <c r="K193" s="293"/>
      <c r="L193" s="293"/>
      <c r="M193" s="293"/>
      <c r="N193" s="293"/>
      <c r="O193" s="293"/>
      <c r="P193" s="293"/>
      <c r="Q193" s="293">
        <f t="shared" si="11"/>
        <v>0</v>
      </c>
      <c r="R193" s="760"/>
    </row>
    <row r="194" spans="1:18" ht="18.75" hidden="1" customHeight="1" x14ac:dyDescent="0.2">
      <c r="A194" s="229"/>
      <c r="B194" s="229"/>
      <c r="C194" s="299" t="s">
        <v>657</v>
      </c>
      <c r="D194" s="300" t="s">
        <v>1363</v>
      </c>
      <c r="E194" s="230"/>
      <c r="F194" s="170">
        <v>134930</v>
      </c>
      <c r="G194" s="221"/>
      <c r="H194" s="221"/>
      <c r="I194" s="221"/>
      <c r="J194" s="293"/>
      <c r="K194" s="293"/>
      <c r="L194" s="293"/>
      <c r="M194" s="293"/>
      <c r="N194" s="293"/>
      <c r="O194" s="293"/>
      <c r="P194" s="293"/>
      <c r="Q194" s="293">
        <f t="shared" si="11"/>
        <v>0</v>
      </c>
      <c r="R194" s="760"/>
    </row>
    <row r="195" spans="1:18" ht="27" hidden="1" customHeight="1" x14ac:dyDescent="0.2">
      <c r="A195" s="229"/>
      <c r="B195" s="229"/>
      <c r="C195" s="299" t="s">
        <v>658</v>
      </c>
      <c r="D195" s="300" t="s">
        <v>1377</v>
      </c>
      <c r="E195" s="230"/>
      <c r="F195" s="170">
        <v>132933</v>
      </c>
      <c r="G195" s="221"/>
      <c r="H195" s="221"/>
      <c r="I195" s="221"/>
      <c r="J195" s="293"/>
      <c r="K195" s="293"/>
      <c r="L195" s="293"/>
      <c r="M195" s="293"/>
      <c r="N195" s="293"/>
      <c r="O195" s="293"/>
      <c r="P195" s="293"/>
      <c r="Q195" s="293">
        <f t="shared" si="11"/>
        <v>0</v>
      </c>
      <c r="R195" s="760"/>
    </row>
    <row r="196" spans="1:18" ht="15" hidden="1" customHeight="1" x14ac:dyDescent="0.2">
      <c r="A196" s="229"/>
      <c r="B196" s="229"/>
      <c r="C196" s="301" t="s">
        <v>659</v>
      </c>
      <c r="D196" s="302" t="s">
        <v>660</v>
      </c>
      <c r="E196" s="230"/>
      <c r="F196" s="170"/>
      <c r="G196" s="221"/>
      <c r="H196" s="221"/>
      <c r="I196" s="221"/>
      <c r="J196" s="293"/>
      <c r="K196" s="293"/>
      <c r="L196" s="293"/>
      <c r="M196" s="293"/>
      <c r="N196" s="293"/>
      <c r="O196" s="293"/>
      <c r="P196" s="293"/>
      <c r="Q196" s="293"/>
      <c r="R196" s="760"/>
    </row>
    <row r="197" spans="1:18" ht="22.5" hidden="1" customHeight="1" x14ac:dyDescent="0.2">
      <c r="A197" s="229"/>
      <c r="B197" s="229"/>
      <c r="C197" s="303" t="s">
        <v>661</v>
      </c>
      <c r="D197" s="245" t="s">
        <v>662</v>
      </c>
      <c r="E197" s="232"/>
      <c r="F197" s="170">
        <v>132992</v>
      </c>
      <c r="G197" s="221"/>
      <c r="H197" s="221"/>
      <c r="I197" s="221"/>
      <c r="J197" s="293"/>
      <c r="K197" s="293"/>
      <c r="L197" s="293"/>
      <c r="M197" s="293"/>
      <c r="N197" s="293"/>
      <c r="O197" s="293"/>
      <c r="P197" s="293"/>
      <c r="Q197" s="293">
        <f>SUM(M197:P197)</f>
        <v>0</v>
      </c>
      <c r="R197" s="760"/>
    </row>
    <row r="198" spans="1:18" ht="15" customHeight="1" x14ac:dyDescent="0.2">
      <c r="A198" s="229"/>
      <c r="B198" s="229"/>
      <c r="C198" s="304" t="s">
        <v>124</v>
      </c>
      <c r="D198" s="288" t="s">
        <v>517</v>
      </c>
      <c r="E198" s="232"/>
      <c r="F198" s="170"/>
      <c r="G198" s="221"/>
      <c r="H198" s="221"/>
      <c r="I198" s="221"/>
      <c r="J198" s="293"/>
      <c r="K198" s="293"/>
      <c r="L198" s="293"/>
      <c r="M198" s="293"/>
      <c r="N198" s="293"/>
      <c r="O198" s="293"/>
      <c r="P198" s="293"/>
      <c r="Q198" s="293"/>
      <c r="R198" s="760"/>
    </row>
    <row r="199" spans="1:18" ht="24" hidden="1" customHeight="1" x14ac:dyDescent="0.2">
      <c r="A199" s="229"/>
      <c r="B199" s="229"/>
      <c r="C199" s="217" t="s">
        <v>663</v>
      </c>
      <c r="D199" s="245" t="s">
        <v>664</v>
      </c>
      <c r="E199" s="232"/>
      <c r="F199" s="170">
        <v>132909</v>
      </c>
      <c r="G199" s="221"/>
      <c r="H199" s="221"/>
      <c r="I199" s="221"/>
      <c r="J199" s="293"/>
      <c r="K199" s="293"/>
      <c r="L199" s="293"/>
      <c r="M199" s="293"/>
      <c r="N199" s="293"/>
      <c r="O199" s="293"/>
      <c r="P199" s="293"/>
      <c r="Q199" s="293">
        <f>SUM(G199:P199)</f>
        <v>0</v>
      </c>
      <c r="R199" s="760"/>
    </row>
    <row r="200" spans="1:18" ht="17.25" customHeight="1" x14ac:dyDescent="0.2">
      <c r="A200" s="229"/>
      <c r="B200" s="229"/>
      <c r="C200" s="217" t="s">
        <v>665</v>
      </c>
      <c r="D200" s="245" t="s">
        <v>666</v>
      </c>
      <c r="E200" s="232"/>
      <c r="F200" s="170">
        <v>132921</v>
      </c>
      <c r="G200" s="221"/>
      <c r="H200" s="221"/>
      <c r="I200" s="221"/>
      <c r="J200" s="293"/>
      <c r="K200" s="293"/>
      <c r="L200" s="293">
        <v>-700</v>
      </c>
      <c r="M200" s="293"/>
      <c r="N200" s="293"/>
      <c r="O200" s="293"/>
      <c r="P200" s="293"/>
      <c r="Q200" s="293">
        <f>SUM(G200:P200)</f>
        <v>-700</v>
      </c>
      <c r="R200" s="760" t="s">
        <v>1490</v>
      </c>
    </row>
    <row r="201" spans="1:18" ht="17.25" customHeight="1" x14ac:dyDescent="0.2">
      <c r="A201" s="229"/>
      <c r="B201" s="229"/>
      <c r="C201" s="217" t="s">
        <v>1372</v>
      </c>
      <c r="D201" s="314" t="s">
        <v>1385</v>
      </c>
      <c r="E201" s="232"/>
      <c r="F201" s="170">
        <v>134932</v>
      </c>
      <c r="G201" s="221"/>
      <c r="H201" s="221"/>
      <c r="I201" s="221">
        <v>700</v>
      </c>
      <c r="J201" s="293"/>
      <c r="K201" s="293"/>
      <c r="L201" s="293"/>
      <c r="M201" s="293"/>
      <c r="N201" s="293"/>
      <c r="O201" s="293"/>
      <c r="P201" s="293"/>
      <c r="Q201" s="293">
        <f>SUM(G201:P201)</f>
        <v>700</v>
      </c>
      <c r="R201" s="760" t="s">
        <v>1490</v>
      </c>
    </row>
    <row r="202" spans="1:18" ht="17.25" customHeight="1" x14ac:dyDescent="0.2">
      <c r="A202" s="849"/>
      <c r="B202" s="849"/>
      <c r="C202" s="853" t="s">
        <v>1474</v>
      </c>
      <c r="D202" s="854" t="s">
        <v>1475</v>
      </c>
      <c r="E202" s="855"/>
      <c r="F202" s="858">
        <v>132922</v>
      </c>
      <c r="G202" s="850"/>
      <c r="H202" s="850"/>
      <c r="I202" s="850"/>
      <c r="J202" s="851"/>
      <c r="K202" s="851"/>
      <c r="L202" s="851">
        <v>871</v>
      </c>
      <c r="M202" s="851"/>
      <c r="N202" s="851"/>
      <c r="O202" s="851"/>
      <c r="P202" s="851"/>
      <c r="Q202" s="293">
        <f>SUM(G202:P202)</f>
        <v>871</v>
      </c>
      <c r="R202" s="852" t="s">
        <v>1490</v>
      </c>
    </row>
    <row r="203" spans="1:18" ht="15" hidden="1" customHeight="1" x14ac:dyDescent="0.2">
      <c r="A203" s="229"/>
      <c r="B203" s="229"/>
      <c r="C203" s="306" t="s">
        <v>126</v>
      </c>
      <c r="D203" s="288" t="s">
        <v>667</v>
      </c>
      <c r="E203" s="230"/>
      <c r="F203" s="170"/>
      <c r="G203" s="221"/>
      <c r="H203" s="221"/>
      <c r="I203" s="221"/>
      <c r="J203" s="293"/>
      <c r="K203" s="293"/>
      <c r="L203" s="293"/>
      <c r="M203" s="293"/>
      <c r="N203" s="293"/>
      <c r="O203" s="293"/>
      <c r="P203" s="293"/>
      <c r="Q203" s="293"/>
      <c r="R203" s="760"/>
    </row>
    <row r="204" spans="1:18" ht="15" hidden="1" customHeight="1" x14ac:dyDescent="0.2">
      <c r="A204" s="229"/>
      <c r="B204" s="229"/>
      <c r="C204" s="303" t="s">
        <v>668</v>
      </c>
      <c r="D204" s="245" t="s">
        <v>1386</v>
      </c>
      <c r="E204" s="230"/>
      <c r="F204" s="170">
        <v>134999</v>
      </c>
      <c r="G204" s="221"/>
      <c r="H204" s="221"/>
      <c r="I204" s="221"/>
      <c r="J204" s="293"/>
      <c r="K204" s="293"/>
      <c r="L204" s="293"/>
      <c r="M204" s="293"/>
      <c r="N204" s="293"/>
      <c r="O204" s="293"/>
      <c r="P204" s="293"/>
      <c r="Q204" s="293">
        <f t="shared" ref="Q204:Q211" si="12">SUM(G204:P204)</f>
        <v>0</v>
      </c>
      <c r="R204" s="760"/>
    </row>
    <row r="205" spans="1:18" ht="15" hidden="1" customHeight="1" x14ac:dyDescent="0.2">
      <c r="A205" s="229"/>
      <c r="B205" s="229"/>
      <c r="C205" s="303" t="s">
        <v>669</v>
      </c>
      <c r="D205" s="245" t="s">
        <v>670</v>
      </c>
      <c r="E205" s="230"/>
      <c r="F205" s="170">
        <v>134926</v>
      </c>
      <c r="G205" s="221"/>
      <c r="H205" s="221"/>
      <c r="I205" s="221"/>
      <c r="J205" s="293"/>
      <c r="K205" s="293"/>
      <c r="L205" s="293"/>
      <c r="M205" s="293"/>
      <c r="N205" s="293"/>
      <c r="O205" s="293"/>
      <c r="P205" s="293"/>
      <c r="Q205" s="293">
        <f t="shared" si="12"/>
        <v>0</v>
      </c>
      <c r="R205" s="760"/>
    </row>
    <row r="206" spans="1:18" ht="25.5" hidden="1" x14ac:dyDescent="0.2">
      <c r="A206" s="229"/>
      <c r="B206" s="229"/>
      <c r="C206" s="303" t="s">
        <v>830</v>
      </c>
      <c r="D206" s="379" t="s">
        <v>671</v>
      </c>
      <c r="E206" s="230"/>
      <c r="F206" s="170">
        <v>134933</v>
      </c>
      <c r="G206" s="221"/>
      <c r="H206" s="221"/>
      <c r="I206" s="221"/>
      <c r="J206" s="293"/>
      <c r="K206" s="293"/>
      <c r="L206" s="293"/>
      <c r="M206" s="293"/>
      <c r="N206" s="293"/>
      <c r="O206" s="293"/>
      <c r="P206" s="293"/>
      <c r="Q206" s="293">
        <f t="shared" si="12"/>
        <v>0</v>
      </c>
      <c r="R206" s="760"/>
    </row>
    <row r="207" spans="1:18" ht="12.75" hidden="1" x14ac:dyDescent="0.2">
      <c r="A207" s="229"/>
      <c r="B207" s="229"/>
      <c r="C207" s="604" t="s">
        <v>832</v>
      </c>
      <c r="D207" s="379" t="s">
        <v>1365</v>
      </c>
      <c r="E207" s="230"/>
      <c r="F207" s="170">
        <v>134936</v>
      </c>
      <c r="G207" s="221"/>
      <c r="H207" s="221"/>
      <c r="I207" s="221"/>
      <c r="J207" s="293"/>
      <c r="K207" s="293"/>
      <c r="L207" s="293"/>
      <c r="M207" s="293"/>
      <c r="N207" s="293"/>
      <c r="O207" s="293"/>
      <c r="P207" s="293"/>
      <c r="Q207" s="293">
        <f t="shared" si="12"/>
        <v>0</v>
      </c>
      <c r="R207" s="760"/>
    </row>
    <row r="208" spans="1:18" ht="25.5" hidden="1" x14ac:dyDescent="0.2">
      <c r="A208" s="715"/>
      <c r="B208" s="715"/>
      <c r="C208" s="305" t="s">
        <v>1421</v>
      </c>
      <c r="D208" s="723" t="s">
        <v>1422</v>
      </c>
      <c r="E208" s="724"/>
      <c r="F208" s="712">
        <v>134924</v>
      </c>
      <c r="G208" s="719"/>
      <c r="H208" s="719"/>
      <c r="I208" s="719"/>
      <c r="J208" s="720"/>
      <c r="K208" s="720"/>
      <c r="L208" s="720"/>
      <c r="M208" s="720"/>
      <c r="N208" s="720"/>
      <c r="O208" s="720"/>
      <c r="P208" s="720"/>
      <c r="Q208" s="293">
        <f t="shared" si="12"/>
        <v>0</v>
      </c>
      <c r="R208" s="760"/>
    </row>
    <row r="209" spans="1:18" ht="13.5" x14ac:dyDescent="0.2">
      <c r="A209" s="597"/>
      <c r="B209" s="597"/>
      <c r="C209" s="229" t="s">
        <v>127</v>
      </c>
      <c r="D209" s="603" t="s">
        <v>1373</v>
      </c>
      <c r="E209" s="599"/>
      <c r="F209" s="600"/>
      <c r="G209" s="601"/>
      <c r="H209" s="601"/>
      <c r="I209" s="601"/>
      <c r="J209" s="602"/>
      <c r="K209" s="602"/>
      <c r="L209" s="602"/>
      <c r="M209" s="602"/>
      <c r="N209" s="602"/>
      <c r="O209" s="602"/>
      <c r="P209" s="602"/>
      <c r="Q209" s="293">
        <f t="shared" si="12"/>
        <v>0</v>
      </c>
      <c r="R209" s="760"/>
    </row>
    <row r="210" spans="1:18" ht="25.5" hidden="1" x14ac:dyDescent="0.2">
      <c r="A210" s="597"/>
      <c r="B210" s="597"/>
      <c r="C210" s="197" t="s">
        <v>847</v>
      </c>
      <c r="D210" s="598" t="s">
        <v>1374</v>
      </c>
      <c r="E210" s="599"/>
      <c r="F210" s="606">
        <v>132924</v>
      </c>
      <c r="G210" s="601"/>
      <c r="H210" s="601"/>
      <c r="I210" s="601"/>
      <c r="J210" s="602"/>
      <c r="K210" s="602"/>
      <c r="L210" s="602"/>
      <c r="M210" s="602"/>
      <c r="N210" s="602"/>
      <c r="O210" s="602"/>
      <c r="P210" s="602"/>
      <c r="Q210" s="293">
        <f t="shared" si="12"/>
        <v>0</v>
      </c>
      <c r="R210" s="760"/>
    </row>
    <row r="211" spans="1:18" ht="12.75" x14ac:dyDescent="0.2">
      <c r="A211" s="849"/>
      <c r="B211" s="849"/>
      <c r="C211" s="859" t="s">
        <v>1476</v>
      </c>
      <c r="D211" s="860" t="s">
        <v>1477</v>
      </c>
      <c r="E211" s="861"/>
      <c r="F211" s="858">
        <v>132923</v>
      </c>
      <c r="G211" s="850"/>
      <c r="H211" s="850"/>
      <c r="I211" s="850"/>
      <c r="J211" s="851"/>
      <c r="K211" s="851"/>
      <c r="L211" s="851"/>
      <c r="M211" s="851"/>
      <c r="N211" s="851">
        <v>2000</v>
      </c>
      <c r="O211" s="851"/>
      <c r="P211" s="851"/>
      <c r="Q211" s="293">
        <f t="shared" si="12"/>
        <v>2000</v>
      </c>
      <c r="R211" s="852" t="s">
        <v>1490</v>
      </c>
    </row>
    <row r="212" spans="1:18" ht="15" customHeight="1" x14ac:dyDescent="0.2">
      <c r="A212" s="229"/>
      <c r="B212" s="229"/>
      <c r="C212" s="284" t="s">
        <v>114</v>
      </c>
      <c r="D212" s="307" t="s">
        <v>502</v>
      </c>
      <c r="E212" s="232"/>
      <c r="F212" s="233"/>
      <c r="G212" s="221"/>
      <c r="H212" s="221"/>
      <c r="I212" s="221"/>
      <c r="J212" s="293"/>
      <c r="K212" s="293"/>
      <c r="L212" s="293"/>
      <c r="M212" s="293"/>
      <c r="N212" s="293"/>
      <c r="O212" s="293"/>
      <c r="P212" s="293"/>
      <c r="Q212" s="293"/>
      <c r="R212" s="760"/>
    </row>
    <row r="213" spans="1:18" ht="16.5" hidden="1" customHeight="1" x14ac:dyDescent="0.2">
      <c r="A213" s="229"/>
      <c r="B213" s="229"/>
      <c r="C213" s="217" t="s">
        <v>672</v>
      </c>
      <c r="D213" s="308" t="s">
        <v>673</v>
      </c>
      <c r="E213" s="230"/>
      <c r="F213" s="170">
        <v>132990</v>
      </c>
      <c r="G213" s="221"/>
      <c r="H213" s="221"/>
      <c r="I213" s="221"/>
      <c r="J213" s="293"/>
      <c r="K213" s="293"/>
      <c r="L213" s="293"/>
      <c r="M213" s="293"/>
      <c r="N213" s="293"/>
      <c r="O213" s="293"/>
      <c r="P213" s="293"/>
      <c r="Q213" s="293">
        <f t="shared" ref="Q213:Q221" si="13">SUM(G213:P213)</f>
        <v>0</v>
      </c>
      <c r="R213" s="760"/>
    </row>
    <row r="214" spans="1:18" ht="15.75" hidden="1" customHeight="1" x14ac:dyDescent="0.2">
      <c r="A214" s="229"/>
      <c r="B214" s="229"/>
      <c r="C214" s="217" t="s">
        <v>674</v>
      </c>
      <c r="D214" s="245" t="s">
        <v>675</v>
      </c>
      <c r="E214" s="310"/>
      <c r="F214" s="170">
        <v>132927</v>
      </c>
      <c r="G214" s="221"/>
      <c r="H214" s="221"/>
      <c r="I214" s="221"/>
      <c r="J214" s="293"/>
      <c r="K214" s="293"/>
      <c r="L214" s="293"/>
      <c r="M214" s="293"/>
      <c r="N214" s="293"/>
      <c r="O214" s="293"/>
      <c r="P214" s="293"/>
      <c r="Q214" s="293">
        <f t="shared" si="13"/>
        <v>0</v>
      </c>
      <c r="R214" s="760"/>
    </row>
    <row r="215" spans="1:18" ht="24.75" hidden="1" customHeight="1" x14ac:dyDescent="0.2">
      <c r="A215" s="229"/>
      <c r="B215" s="229"/>
      <c r="C215" s="217" t="s">
        <v>676</v>
      </c>
      <c r="D215" s="615" t="s">
        <v>677</v>
      </c>
      <c r="E215" s="311"/>
      <c r="F215" s="170">
        <v>132915</v>
      </c>
      <c r="G215" s="221"/>
      <c r="H215" s="221"/>
      <c r="I215" s="221"/>
      <c r="J215" s="293"/>
      <c r="K215" s="293"/>
      <c r="L215" s="293"/>
      <c r="M215" s="293"/>
      <c r="N215" s="293"/>
      <c r="O215" s="293"/>
      <c r="P215" s="293"/>
      <c r="Q215" s="293">
        <f t="shared" si="13"/>
        <v>0</v>
      </c>
      <c r="R215" s="760"/>
    </row>
    <row r="216" spans="1:18" ht="26.25" hidden="1" customHeight="1" x14ac:dyDescent="0.2">
      <c r="A216" s="229"/>
      <c r="B216" s="229"/>
      <c r="C216" s="217" t="s">
        <v>678</v>
      </c>
      <c r="D216" s="245" t="s">
        <v>679</v>
      </c>
      <c r="E216" s="232"/>
      <c r="F216" s="170">
        <v>134910</v>
      </c>
      <c r="G216" s="221"/>
      <c r="H216" s="221"/>
      <c r="I216" s="221"/>
      <c r="J216" s="293"/>
      <c r="K216" s="293"/>
      <c r="L216" s="293"/>
      <c r="M216" s="293"/>
      <c r="N216" s="293"/>
      <c r="O216" s="293"/>
      <c r="P216" s="293"/>
      <c r="Q216" s="293">
        <f t="shared" si="13"/>
        <v>0</v>
      </c>
      <c r="R216" s="760"/>
    </row>
    <row r="217" spans="1:18" ht="14.25" hidden="1" customHeight="1" x14ac:dyDescent="0.2">
      <c r="A217" s="229"/>
      <c r="B217" s="229"/>
      <c r="C217" s="217" t="s">
        <v>680</v>
      </c>
      <c r="D217" s="245" t="s">
        <v>681</v>
      </c>
      <c r="E217" s="311"/>
      <c r="F217" s="170">
        <v>134923</v>
      </c>
      <c r="G217" s="221"/>
      <c r="H217" s="221"/>
      <c r="I217" s="221"/>
      <c r="J217" s="293"/>
      <c r="K217" s="293"/>
      <c r="L217" s="293"/>
      <c r="M217" s="293"/>
      <c r="N217" s="293"/>
      <c r="O217" s="293"/>
      <c r="P217" s="293"/>
      <c r="Q217" s="293">
        <f t="shared" si="13"/>
        <v>0</v>
      </c>
      <c r="R217" s="760"/>
    </row>
    <row r="218" spans="1:18" ht="25.5" customHeight="1" x14ac:dyDescent="0.2">
      <c r="A218" s="229"/>
      <c r="B218" s="229"/>
      <c r="C218" s="217" t="s">
        <v>682</v>
      </c>
      <c r="D218" s="245" t="s">
        <v>683</v>
      </c>
      <c r="E218" s="310"/>
      <c r="F218" s="170">
        <v>134927</v>
      </c>
      <c r="G218" s="221"/>
      <c r="H218" s="221"/>
      <c r="I218" s="221"/>
      <c r="J218" s="293"/>
      <c r="K218" s="293"/>
      <c r="L218" s="293">
        <v>2125</v>
      </c>
      <c r="M218" s="293">
        <v>-2125</v>
      </c>
      <c r="N218" s="293"/>
      <c r="O218" s="293"/>
      <c r="P218" s="293"/>
      <c r="Q218" s="293">
        <f t="shared" si="13"/>
        <v>0</v>
      </c>
      <c r="R218" s="760" t="s">
        <v>1490</v>
      </c>
    </row>
    <row r="219" spans="1:18" ht="18.75" customHeight="1" x14ac:dyDescent="0.2">
      <c r="A219" s="229"/>
      <c r="B219" s="229"/>
      <c r="C219" s="217" t="s">
        <v>684</v>
      </c>
      <c r="D219" s="312" t="s">
        <v>1448</v>
      </c>
      <c r="E219" s="313"/>
      <c r="F219" s="170">
        <v>134996</v>
      </c>
      <c r="G219" s="221"/>
      <c r="H219" s="221"/>
      <c r="I219" s="221"/>
      <c r="J219" s="293"/>
      <c r="K219" s="293"/>
      <c r="L219" s="293"/>
      <c r="M219" s="293">
        <v>229</v>
      </c>
      <c r="N219" s="293"/>
      <c r="O219" s="293"/>
      <c r="P219" s="293"/>
      <c r="Q219" s="293">
        <f t="shared" si="13"/>
        <v>229</v>
      </c>
      <c r="R219" s="760" t="s">
        <v>1490</v>
      </c>
    </row>
    <row r="220" spans="1:18" ht="18" hidden="1" customHeight="1" x14ac:dyDescent="0.2">
      <c r="A220" s="229"/>
      <c r="B220" s="229"/>
      <c r="C220" s="217" t="s">
        <v>685</v>
      </c>
      <c r="D220" s="245" t="s">
        <v>686</v>
      </c>
      <c r="E220" s="311"/>
      <c r="F220" s="170">
        <v>132999</v>
      </c>
      <c r="G220" s="221"/>
      <c r="H220" s="221"/>
      <c r="I220" s="221"/>
      <c r="J220" s="293"/>
      <c r="K220" s="293"/>
      <c r="L220" s="293"/>
      <c r="M220" s="293"/>
      <c r="N220" s="293"/>
      <c r="O220" s="293"/>
      <c r="P220" s="293"/>
      <c r="Q220" s="293">
        <f t="shared" si="13"/>
        <v>0</v>
      </c>
      <c r="R220" s="760"/>
    </row>
    <row r="221" spans="1:18" ht="13.5" hidden="1" customHeight="1" x14ac:dyDescent="0.2">
      <c r="A221" s="229"/>
      <c r="B221" s="229"/>
      <c r="C221" s="217" t="s">
        <v>687</v>
      </c>
      <c r="D221" s="245" t="s">
        <v>688</v>
      </c>
      <c r="E221" s="311"/>
      <c r="F221" s="170">
        <v>132926</v>
      </c>
      <c r="G221" s="221"/>
      <c r="H221" s="221"/>
      <c r="I221" s="221"/>
      <c r="J221" s="293"/>
      <c r="K221" s="293"/>
      <c r="L221" s="293"/>
      <c r="M221" s="293"/>
      <c r="N221" s="293"/>
      <c r="O221" s="293"/>
      <c r="P221" s="293"/>
      <c r="Q221" s="293">
        <f t="shared" si="13"/>
        <v>0</v>
      </c>
      <c r="R221" s="760"/>
    </row>
    <row r="222" spans="1:18" ht="18.75" customHeight="1" x14ac:dyDescent="0.2">
      <c r="A222" s="223"/>
      <c r="B222" s="223"/>
      <c r="C222" s="224"/>
      <c r="D222" s="182" t="s">
        <v>341</v>
      </c>
      <c r="E222" s="226"/>
      <c r="F222" s="227"/>
      <c r="G222" s="283">
        <f t="shared" ref="G222:Q222" si="14">SUM(G171:G221)</f>
        <v>0</v>
      </c>
      <c r="H222" s="283">
        <f t="shared" si="14"/>
        <v>9</v>
      </c>
      <c r="I222" s="283">
        <f t="shared" si="14"/>
        <v>-2405</v>
      </c>
      <c r="J222" s="283">
        <f t="shared" si="14"/>
        <v>0</v>
      </c>
      <c r="K222" s="283">
        <f t="shared" si="14"/>
        <v>-23646</v>
      </c>
      <c r="L222" s="283">
        <f t="shared" si="14"/>
        <v>3042</v>
      </c>
      <c r="M222" s="283">
        <f t="shared" si="14"/>
        <v>-2459</v>
      </c>
      <c r="N222" s="283">
        <f t="shared" si="14"/>
        <v>2000</v>
      </c>
      <c r="O222" s="283">
        <f t="shared" si="14"/>
        <v>0</v>
      </c>
      <c r="P222" s="283">
        <f t="shared" si="14"/>
        <v>0</v>
      </c>
      <c r="Q222" s="283">
        <f t="shared" si="14"/>
        <v>-23459</v>
      </c>
      <c r="R222" s="761"/>
    </row>
    <row r="223" spans="1:18" ht="12.95" customHeight="1" x14ac:dyDescent="0.2">
      <c r="A223" s="229">
        <v>1</v>
      </c>
      <c r="B223" s="229">
        <v>14</v>
      </c>
      <c r="C223" s="284"/>
      <c r="D223" s="307" t="s">
        <v>238</v>
      </c>
      <c r="E223" s="232"/>
      <c r="F223" s="233"/>
      <c r="G223" s="233"/>
      <c r="H223" s="202"/>
      <c r="I223" s="202"/>
      <c r="J223" s="202"/>
      <c r="K223" s="202"/>
      <c r="L223" s="202"/>
      <c r="M223" s="233"/>
      <c r="N223" s="233"/>
      <c r="O223" s="233"/>
      <c r="P223" s="233"/>
      <c r="Q223" s="233"/>
      <c r="R223" s="760"/>
    </row>
    <row r="224" spans="1:18" ht="12.95" hidden="1" customHeight="1" x14ac:dyDescent="0.2">
      <c r="A224" s="229"/>
      <c r="B224" s="229"/>
      <c r="C224" s="284"/>
      <c r="D224" s="177" t="s">
        <v>342</v>
      </c>
      <c r="E224" s="232"/>
      <c r="F224" s="233"/>
      <c r="G224" s="233"/>
      <c r="H224" s="202"/>
      <c r="I224" s="202"/>
      <c r="J224" s="202"/>
      <c r="K224" s="202"/>
      <c r="L224" s="202"/>
      <c r="M224" s="233"/>
      <c r="N224" s="233"/>
      <c r="O224" s="233"/>
      <c r="P224" s="233"/>
      <c r="Q224" s="233"/>
      <c r="R224" s="760"/>
    </row>
    <row r="225" spans="1:18" ht="12.95" hidden="1" customHeight="1" x14ac:dyDescent="0.2">
      <c r="A225" s="229"/>
      <c r="B225" s="229"/>
      <c r="C225" s="284"/>
      <c r="D225" s="314" t="s">
        <v>689</v>
      </c>
      <c r="E225" s="170">
        <v>1</v>
      </c>
      <c r="F225" s="170">
        <v>171918</v>
      </c>
      <c r="G225" s="170"/>
      <c r="H225" s="202"/>
      <c r="I225" s="202"/>
      <c r="J225" s="202"/>
      <c r="K225" s="202"/>
      <c r="L225" s="202"/>
      <c r="M225" s="170"/>
      <c r="N225" s="170"/>
      <c r="O225" s="170"/>
      <c r="P225" s="170"/>
      <c r="Q225" s="170">
        <f>SUM(G225:P225)</f>
        <v>0</v>
      </c>
      <c r="R225" s="760"/>
    </row>
    <row r="226" spans="1:18" ht="30" hidden="1" customHeight="1" x14ac:dyDescent="0.2">
      <c r="A226" s="229"/>
      <c r="B226" s="229"/>
      <c r="C226" s="284"/>
      <c r="D226" s="172" t="s">
        <v>690</v>
      </c>
      <c r="E226" s="170">
        <v>1</v>
      </c>
      <c r="F226" s="170">
        <v>171922</v>
      </c>
      <c r="G226" s="170"/>
      <c r="H226" s="202"/>
      <c r="I226" s="202"/>
      <c r="J226" s="202"/>
      <c r="K226" s="202"/>
      <c r="L226" s="202"/>
      <c r="M226" s="170"/>
      <c r="N226" s="170"/>
      <c r="O226" s="170"/>
      <c r="P226" s="170"/>
      <c r="Q226" s="170">
        <f>SUM(G226:P226)</f>
        <v>0</v>
      </c>
      <c r="R226" s="760"/>
    </row>
    <row r="227" spans="1:18" ht="12.95" hidden="1" customHeight="1" x14ac:dyDescent="0.2">
      <c r="A227" s="229"/>
      <c r="B227" s="229"/>
      <c r="C227" s="284"/>
      <c r="D227" s="314" t="s">
        <v>691</v>
      </c>
      <c r="E227" s="170">
        <v>1</v>
      </c>
      <c r="F227" s="170">
        <v>171926</v>
      </c>
      <c r="G227" s="170"/>
      <c r="H227" s="202"/>
      <c r="I227" s="202"/>
      <c r="J227" s="202"/>
      <c r="K227" s="202"/>
      <c r="L227" s="202"/>
      <c r="M227" s="170"/>
      <c r="N227" s="170"/>
      <c r="O227" s="170"/>
      <c r="P227" s="170"/>
      <c r="Q227" s="170">
        <f>SUM(G227:P227)</f>
        <v>0</v>
      </c>
      <c r="R227" s="760"/>
    </row>
    <row r="228" spans="1:18" ht="12.95" hidden="1" customHeight="1" x14ac:dyDescent="0.2">
      <c r="A228" s="229"/>
      <c r="B228" s="229"/>
      <c r="C228" s="284"/>
      <c r="D228" s="314" t="s">
        <v>692</v>
      </c>
      <c r="E228" s="170">
        <v>1</v>
      </c>
      <c r="F228" s="170">
        <v>171967</v>
      </c>
      <c r="G228" s="233"/>
      <c r="H228" s="202"/>
      <c r="I228" s="202"/>
      <c r="J228" s="202"/>
      <c r="K228" s="202"/>
      <c r="L228" s="202"/>
      <c r="M228" s="170"/>
      <c r="N228" s="170"/>
      <c r="O228" s="170"/>
      <c r="P228" s="170"/>
      <c r="Q228" s="170">
        <f>SUM(G228:P228)</f>
        <v>0</v>
      </c>
      <c r="R228" s="760"/>
    </row>
    <row r="229" spans="1:18" ht="12.95" customHeight="1" x14ac:dyDescent="0.2">
      <c r="A229" s="223"/>
      <c r="B229" s="223"/>
      <c r="C229" s="224"/>
      <c r="D229" s="182" t="s">
        <v>693</v>
      </c>
      <c r="E229" s="315"/>
      <c r="F229" s="316"/>
      <c r="G229" s="317">
        <f t="shared" ref="G229:Q229" si="15">SUM(G225:G228)</f>
        <v>0</v>
      </c>
      <c r="H229" s="317">
        <f t="shared" si="15"/>
        <v>0</v>
      </c>
      <c r="I229" s="317">
        <f t="shared" si="15"/>
        <v>0</v>
      </c>
      <c r="J229" s="317">
        <f t="shared" si="15"/>
        <v>0</v>
      </c>
      <c r="K229" s="317">
        <f t="shared" si="15"/>
        <v>0</v>
      </c>
      <c r="L229" s="317">
        <f t="shared" si="15"/>
        <v>0</v>
      </c>
      <c r="M229" s="317">
        <f t="shared" si="15"/>
        <v>0</v>
      </c>
      <c r="N229" s="317">
        <f t="shared" si="15"/>
        <v>0</v>
      </c>
      <c r="O229" s="317">
        <f t="shared" si="15"/>
        <v>0</v>
      </c>
      <c r="P229" s="317">
        <f t="shared" si="15"/>
        <v>0</v>
      </c>
      <c r="Q229" s="317">
        <f t="shared" si="15"/>
        <v>0</v>
      </c>
      <c r="R229" s="761"/>
    </row>
    <row r="230" spans="1:18" ht="12.95" customHeight="1" x14ac:dyDescent="0.2">
      <c r="A230" s="229"/>
      <c r="B230" s="229"/>
      <c r="C230" s="284"/>
      <c r="D230" s="318" t="s">
        <v>694</v>
      </c>
      <c r="E230" s="230"/>
      <c r="F230" s="170"/>
      <c r="G230" s="202"/>
      <c r="H230" s="202"/>
      <c r="I230" s="202"/>
      <c r="J230" s="202"/>
      <c r="K230" s="202"/>
      <c r="L230" s="202"/>
      <c r="M230" s="202"/>
      <c r="N230" s="202"/>
      <c r="O230" s="202"/>
      <c r="P230" s="202"/>
      <c r="Q230" s="202"/>
      <c r="R230" s="760"/>
    </row>
    <row r="231" spans="1:18" ht="12.95" hidden="1" customHeight="1" x14ac:dyDescent="0.2">
      <c r="A231" s="229"/>
      <c r="B231" s="229"/>
      <c r="C231" s="319"/>
      <c r="D231" s="314" t="s">
        <v>502</v>
      </c>
      <c r="E231" s="320"/>
      <c r="F231" s="170"/>
      <c r="G231" s="202"/>
      <c r="H231" s="202"/>
      <c r="I231" s="202"/>
      <c r="J231" s="202"/>
      <c r="K231" s="202"/>
      <c r="L231" s="202"/>
      <c r="M231" s="202"/>
      <c r="N231" s="202"/>
      <c r="O231" s="202"/>
      <c r="P231" s="202"/>
      <c r="Q231" s="202"/>
      <c r="R231" s="760"/>
    </row>
    <row r="232" spans="1:18" ht="12.95" hidden="1" customHeight="1" x14ac:dyDescent="0.2">
      <c r="A232" s="229"/>
      <c r="B232" s="229"/>
      <c r="C232" s="321" t="s">
        <v>503</v>
      </c>
      <c r="D232" s="322" t="s">
        <v>695</v>
      </c>
      <c r="E232" s="320"/>
      <c r="F232" s="170">
        <v>162650</v>
      </c>
      <c r="G232" s="202"/>
      <c r="H232" s="202"/>
      <c r="I232" s="202"/>
      <c r="J232" s="202"/>
      <c r="K232" s="202"/>
      <c r="L232" s="202"/>
      <c r="M232" s="202"/>
      <c r="N232" s="202"/>
      <c r="O232" s="202"/>
      <c r="P232" s="202"/>
      <c r="Q232" s="202">
        <f>SUM(G232:P232)</f>
        <v>0</v>
      </c>
      <c r="R232" s="760"/>
    </row>
    <row r="233" spans="1:18" ht="12.95" hidden="1" customHeight="1" x14ac:dyDescent="0.2">
      <c r="A233" s="229"/>
      <c r="B233" s="229"/>
      <c r="C233" s="321" t="s">
        <v>505</v>
      </c>
      <c r="D233" s="323" t="s">
        <v>696</v>
      </c>
      <c r="E233" s="320"/>
      <c r="F233" s="170">
        <v>164903</v>
      </c>
      <c r="G233" s="202"/>
      <c r="H233" s="202"/>
      <c r="I233" s="202"/>
      <c r="J233" s="202"/>
      <c r="K233" s="202"/>
      <c r="L233" s="202"/>
      <c r="M233" s="202"/>
      <c r="N233" s="202"/>
      <c r="O233" s="202"/>
      <c r="P233" s="202"/>
      <c r="Q233" s="202">
        <f>SUM(G233:P233)</f>
        <v>0</v>
      </c>
      <c r="R233" s="760"/>
    </row>
    <row r="234" spans="1:18" ht="12.95" customHeight="1" x14ac:dyDescent="0.2">
      <c r="A234" s="223"/>
      <c r="B234" s="223"/>
      <c r="C234" s="224"/>
      <c r="D234" s="182" t="s">
        <v>344</v>
      </c>
      <c r="E234" s="315"/>
      <c r="F234" s="316"/>
      <c r="G234" s="317">
        <f t="shared" ref="G234:Q234" si="16">SUM(G229:G233)</f>
        <v>0</v>
      </c>
      <c r="H234" s="317">
        <f t="shared" si="16"/>
        <v>0</v>
      </c>
      <c r="I234" s="317">
        <f t="shared" si="16"/>
        <v>0</v>
      </c>
      <c r="J234" s="317">
        <f t="shared" si="16"/>
        <v>0</v>
      </c>
      <c r="K234" s="317">
        <f t="shared" si="16"/>
        <v>0</v>
      </c>
      <c r="L234" s="317">
        <f t="shared" si="16"/>
        <v>0</v>
      </c>
      <c r="M234" s="317">
        <f t="shared" si="16"/>
        <v>0</v>
      </c>
      <c r="N234" s="317">
        <f t="shared" si="16"/>
        <v>0</v>
      </c>
      <c r="O234" s="317">
        <f t="shared" si="16"/>
        <v>0</v>
      </c>
      <c r="P234" s="317">
        <f t="shared" si="16"/>
        <v>0</v>
      </c>
      <c r="Q234" s="317">
        <f t="shared" si="16"/>
        <v>0</v>
      </c>
      <c r="R234" s="761"/>
    </row>
    <row r="235" spans="1:18" ht="14.1" customHeight="1" x14ac:dyDescent="0.2">
      <c r="A235" s="197">
        <v>1</v>
      </c>
      <c r="B235" s="197">
        <v>15</v>
      </c>
      <c r="C235" s="217"/>
      <c r="D235" s="307" t="s">
        <v>698</v>
      </c>
      <c r="E235" s="230"/>
      <c r="F235" s="170"/>
      <c r="G235" s="170"/>
      <c r="H235" s="202"/>
      <c r="I235" s="202"/>
      <c r="J235" s="202"/>
      <c r="K235" s="202"/>
      <c r="L235" s="202"/>
      <c r="M235" s="170"/>
      <c r="N235" s="170"/>
      <c r="O235" s="170"/>
      <c r="P235" s="170"/>
      <c r="Q235" s="170"/>
      <c r="R235" s="760"/>
    </row>
    <row r="236" spans="1:18" ht="14.1" customHeight="1" x14ac:dyDescent="0.2">
      <c r="A236" s="197"/>
      <c r="B236" s="197"/>
      <c r="C236" s="217"/>
      <c r="D236" s="324" t="s">
        <v>699</v>
      </c>
      <c r="E236" s="230"/>
      <c r="F236" s="170"/>
      <c r="G236" s="170"/>
      <c r="H236" s="202"/>
      <c r="I236" s="202"/>
      <c r="J236" s="202"/>
      <c r="K236" s="202"/>
      <c r="L236" s="202"/>
      <c r="M236" s="170"/>
      <c r="N236" s="170"/>
      <c r="O236" s="170"/>
      <c r="P236" s="170"/>
      <c r="Q236" s="170"/>
      <c r="R236" s="760"/>
    </row>
    <row r="237" spans="1:18" ht="18" hidden="1" customHeight="1" x14ac:dyDescent="0.2">
      <c r="A237" s="197"/>
      <c r="B237" s="197"/>
      <c r="C237" s="217"/>
      <c r="D237" s="314" t="s">
        <v>700</v>
      </c>
      <c r="E237" s="170">
        <v>1</v>
      </c>
      <c r="F237" s="170">
        <v>151502</v>
      </c>
      <c r="G237" s="170"/>
      <c r="H237" s="202"/>
      <c r="I237" s="170"/>
      <c r="J237" s="202"/>
      <c r="K237" s="202"/>
      <c r="L237" s="202"/>
      <c r="M237" s="170"/>
      <c r="N237" s="170"/>
      <c r="O237" s="170"/>
      <c r="P237" s="170"/>
      <c r="Q237" s="170">
        <f t="shared" ref="Q237:Q262" si="17">SUM(G237:P237)</f>
        <v>0</v>
      </c>
      <c r="R237" s="760"/>
    </row>
    <row r="238" spans="1:18" ht="12" hidden="1" customHeight="1" x14ac:dyDescent="0.2">
      <c r="A238" s="197"/>
      <c r="B238" s="197"/>
      <c r="C238" s="217"/>
      <c r="D238" s="172" t="s">
        <v>1368</v>
      </c>
      <c r="E238" s="170">
        <v>1</v>
      </c>
      <c r="F238" s="170">
        <v>151530</v>
      </c>
      <c r="G238" s="170"/>
      <c r="H238" s="202"/>
      <c r="I238" s="170"/>
      <c r="J238" s="202"/>
      <c r="K238" s="202"/>
      <c r="L238" s="202"/>
      <c r="M238" s="170"/>
      <c r="N238" s="170"/>
      <c r="O238" s="170"/>
      <c r="P238" s="170"/>
      <c r="Q238" s="170">
        <f t="shared" si="17"/>
        <v>0</v>
      </c>
      <c r="R238" s="760"/>
    </row>
    <row r="239" spans="1:18" ht="14.1" hidden="1" customHeight="1" x14ac:dyDescent="0.2">
      <c r="A239" s="197"/>
      <c r="B239" s="197"/>
      <c r="C239" s="217"/>
      <c r="D239" s="314" t="s">
        <v>701</v>
      </c>
      <c r="E239" s="170">
        <v>1</v>
      </c>
      <c r="F239" s="170">
        <v>151504</v>
      </c>
      <c r="G239" s="170"/>
      <c r="H239" s="202"/>
      <c r="I239" s="170"/>
      <c r="J239" s="202"/>
      <c r="K239" s="202"/>
      <c r="L239" s="202"/>
      <c r="M239" s="170"/>
      <c r="N239" s="170"/>
      <c r="O239" s="170"/>
      <c r="P239" s="170"/>
      <c r="Q239" s="170">
        <f t="shared" si="17"/>
        <v>0</v>
      </c>
      <c r="R239" s="760"/>
    </row>
    <row r="240" spans="1:18" ht="14.1" customHeight="1" x14ac:dyDescent="0.2">
      <c r="A240" s="197"/>
      <c r="B240" s="197"/>
      <c r="C240" s="217"/>
      <c r="D240" s="325" t="s">
        <v>702</v>
      </c>
      <c r="E240" s="170">
        <v>1</v>
      </c>
      <c r="F240" s="170">
        <v>151501</v>
      </c>
      <c r="G240" s="170"/>
      <c r="H240" s="202"/>
      <c r="I240" s="170">
        <v>-1856</v>
      </c>
      <c r="J240" s="202"/>
      <c r="K240" s="202"/>
      <c r="L240" s="202"/>
      <c r="M240" s="170"/>
      <c r="N240" s="170"/>
      <c r="O240" s="170"/>
      <c r="P240" s="170"/>
      <c r="Q240" s="170">
        <f t="shared" si="17"/>
        <v>-1856</v>
      </c>
      <c r="R240" s="760" t="s">
        <v>1489</v>
      </c>
    </row>
    <row r="241" spans="1:18" ht="14.1" hidden="1" customHeight="1" x14ac:dyDescent="0.2">
      <c r="A241" s="197"/>
      <c r="B241" s="197"/>
      <c r="C241" s="217"/>
      <c r="D241" s="325" t="s">
        <v>703</v>
      </c>
      <c r="E241" s="170">
        <v>1</v>
      </c>
      <c r="F241" s="170">
        <v>151905</v>
      </c>
      <c r="G241" s="170"/>
      <c r="H241" s="202"/>
      <c r="I241" s="170"/>
      <c r="J241" s="202"/>
      <c r="K241" s="202"/>
      <c r="L241" s="202"/>
      <c r="M241" s="170"/>
      <c r="N241" s="170"/>
      <c r="O241" s="170"/>
      <c r="P241" s="170"/>
      <c r="Q241" s="170">
        <f t="shared" si="17"/>
        <v>0</v>
      </c>
      <c r="R241" s="760"/>
    </row>
    <row r="242" spans="1:18" ht="14.1" hidden="1" customHeight="1" x14ac:dyDescent="0.2">
      <c r="A242" s="197"/>
      <c r="B242" s="197"/>
      <c r="C242" s="217"/>
      <c r="D242" s="325" t="s">
        <v>704</v>
      </c>
      <c r="E242" s="170">
        <v>1</v>
      </c>
      <c r="F242" s="170">
        <v>151920</v>
      </c>
      <c r="G242" s="170"/>
      <c r="H242" s="202"/>
      <c r="I242" s="170"/>
      <c r="J242" s="202"/>
      <c r="K242" s="202"/>
      <c r="L242" s="202"/>
      <c r="M242" s="170"/>
      <c r="N242" s="170"/>
      <c r="O242" s="170"/>
      <c r="P242" s="170"/>
      <c r="Q242" s="170">
        <f t="shared" si="17"/>
        <v>0</v>
      </c>
      <c r="R242" s="760"/>
    </row>
    <row r="243" spans="1:18" ht="14.1" customHeight="1" x14ac:dyDescent="0.2">
      <c r="A243" s="197"/>
      <c r="B243" s="197"/>
      <c r="C243" s="217"/>
      <c r="D243" s="325" t="s">
        <v>705</v>
      </c>
      <c r="E243" s="170">
        <v>1</v>
      </c>
      <c r="F243" s="170">
        <v>151917</v>
      </c>
      <c r="G243" s="170"/>
      <c r="H243" s="202"/>
      <c r="I243" s="170">
        <v>16616</v>
      </c>
      <c r="J243" s="202"/>
      <c r="K243" s="202"/>
      <c r="L243" s="202"/>
      <c r="M243" s="170"/>
      <c r="N243" s="170"/>
      <c r="O243" s="170"/>
      <c r="P243" s="170"/>
      <c r="Q243" s="170">
        <f t="shared" si="17"/>
        <v>16616</v>
      </c>
      <c r="R243" s="760" t="s">
        <v>1489</v>
      </c>
    </row>
    <row r="244" spans="1:18" ht="15" hidden="1" customHeight="1" x14ac:dyDescent="0.2">
      <c r="A244" s="197"/>
      <c r="B244" s="197"/>
      <c r="C244" s="217"/>
      <c r="D244" s="325" t="s">
        <v>706</v>
      </c>
      <c r="E244" s="170">
        <v>2</v>
      </c>
      <c r="F244" s="170">
        <v>151503</v>
      </c>
      <c r="G244" s="170"/>
      <c r="H244" s="202"/>
      <c r="I244" s="170"/>
      <c r="J244" s="202"/>
      <c r="K244" s="202"/>
      <c r="L244" s="202"/>
      <c r="M244" s="170"/>
      <c r="N244" s="170"/>
      <c r="O244" s="170"/>
      <c r="P244" s="170"/>
      <c r="Q244" s="170">
        <f t="shared" si="17"/>
        <v>0</v>
      </c>
      <c r="R244" s="760"/>
    </row>
    <row r="245" spans="1:18" ht="15" hidden="1" customHeight="1" x14ac:dyDescent="0.2">
      <c r="A245" s="197"/>
      <c r="B245" s="197"/>
      <c r="C245" s="217"/>
      <c r="D245" s="616" t="s">
        <v>707</v>
      </c>
      <c r="E245" s="170">
        <v>2</v>
      </c>
      <c r="F245" s="170">
        <v>151921</v>
      </c>
      <c r="G245" s="170"/>
      <c r="H245" s="202"/>
      <c r="I245" s="170"/>
      <c r="J245" s="202"/>
      <c r="K245" s="202"/>
      <c r="L245" s="202"/>
      <c r="M245" s="170"/>
      <c r="N245" s="170"/>
      <c r="O245" s="170"/>
      <c r="P245" s="170"/>
      <c r="Q245" s="170">
        <f t="shared" si="17"/>
        <v>0</v>
      </c>
      <c r="R245" s="760"/>
    </row>
    <row r="246" spans="1:18" ht="15" hidden="1" customHeight="1" x14ac:dyDescent="0.2">
      <c r="A246" s="197"/>
      <c r="B246" s="197"/>
      <c r="C246" s="217"/>
      <c r="D246" s="347" t="s">
        <v>708</v>
      </c>
      <c r="E246" s="170">
        <v>2</v>
      </c>
      <c r="F246" s="170">
        <v>151922</v>
      </c>
      <c r="G246" s="170"/>
      <c r="H246" s="202"/>
      <c r="I246" s="170"/>
      <c r="J246" s="202"/>
      <c r="K246" s="202"/>
      <c r="L246" s="202"/>
      <c r="M246" s="170"/>
      <c r="N246" s="170"/>
      <c r="O246" s="170"/>
      <c r="P246" s="170"/>
      <c r="Q246" s="170">
        <f t="shared" si="17"/>
        <v>0</v>
      </c>
      <c r="R246" s="760"/>
    </row>
    <row r="247" spans="1:18" ht="15" customHeight="1" x14ac:dyDescent="0.2">
      <c r="A247" s="197"/>
      <c r="B247" s="197"/>
      <c r="C247" s="217"/>
      <c r="D247" s="325" t="s">
        <v>709</v>
      </c>
      <c r="E247" s="170">
        <v>2</v>
      </c>
      <c r="F247" s="170">
        <v>151507</v>
      </c>
      <c r="G247" s="170"/>
      <c r="H247" s="202"/>
      <c r="I247" s="170">
        <v>1156</v>
      </c>
      <c r="J247" s="202"/>
      <c r="K247" s="202"/>
      <c r="L247" s="202"/>
      <c r="M247" s="170"/>
      <c r="N247" s="170"/>
      <c r="O247" s="170"/>
      <c r="P247" s="170"/>
      <c r="Q247" s="170">
        <f t="shared" si="17"/>
        <v>1156</v>
      </c>
      <c r="R247" s="760" t="s">
        <v>1490</v>
      </c>
    </row>
    <row r="248" spans="1:18" ht="15" hidden="1" customHeight="1" x14ac:dyDescent="0.2">
      <c r="A248" s="197"/>
      <c r="B248" s="197"/>
      <c r="C248" s="217"/>
      <c r="D248" s="325" t="s">
        <v>710</v>
      </c>
      <c r="E248" s="170">
        <v>2</v>
      </c>
      <c r="F248" s="170">
        <v>151509</v>
      </c>
      <c r="G248" s="170"/>
      <c r="H248" s="202"/>
      <c r="I248" s="170"/>
      <c r="J248" s="202"/>
      <c r="K248" s="202"/>
      <c r="L248" s="202"/>
      <c r="M248" s="170"/>
      <c r="N248" s="170"/>
      <c r="O248" s="170"/>
      <c r="P248" s="170"/>
      <c r="Q248" s="170">
        <f t="shared" si="17"/>
        <v>0</v>
      </c>
      <c r="R248" s="760"/>
    </row>
    <row r="249" spans="1:18" ht="15" customHeight="1" x14ac:dyDescent="0.2">
      <c r="A249" s="197"/>
      <c r="B249" s="197"/>
      <c r="C249" s="217"/>
      <c r="D249" s="325" t="s">
        <v>711</v>
      </c>
      <c r="E249" s="170">
        <v>1</v>
      </c>
      <c r="F249" s="170">
        <v>151510</v>
      </c>
      <c r="G249" s="170"/>
      <c r="H249" s="202"/>
      <c r="I249" s="170">
        <v>723</v>
      </c>
      <c r="J249" s="202"/>
      <c r="K249" s="202"/>
      <c r="L249" s="202"/>
      <c r="M249" s="170"/>
      <c r="N249" s="170"/>
      <c r="O249" s="170"/>
      <c r="P249" s="326"/>
      <c r="Q249" s="170">
        <f t="shared" si="17"/>
        <v>723</v>
      </c>
      <c r="R249" s="760" t="s">
        <v>1490</v>
      </c>
    </row>
    <row r="250" spans="1:18" ht="15" hidden="1" customHeight="1" x14ac:dyDescent="0.2">
      <c r="A250" s="197"/>
      <c r="B250" s="197"/>
      <c r="C250" s="217"/>
      <c r="D250" s="327" t="s">
        <v>712</v>
      </c>
      <c r="E250" s="193">
        <v>1</v>
      </c>
      <c r="F250" s="170">
        <v>151520</v>
      </c>
      <c r="G250" s="170"/>
      <c r="H250" s="202"/>
      <c r="I250" s="170"/>
      <c r="J250" s="202"/>
      <c r="K250" s="202"/>
      <c r="L250" s="202"/>
      <c r="M250" s="170"/>
      <c r="N250" s="170"/>
      <c r="O250" s="170"/>
      <c r="P250" s="170"/>
      <c r="Q250" s="170">
        <f t="shared" si="17"/>
        <v>0</v>
      </c>
      <c r="R250" s="760"/>
    </row>
    <row r="251" spans="1:18" ht="15" hidden="1" customHeight="1" x14ac:dyDescent="0.2">
      <c r="A251" s="197"/>
      <c r="B251" s="197"/>
      <c r="C251" s="217"/>
      <c r="D251" s="328" t="s">
        <v>713</v>
      </c>
      <c r="E251" s="170">
        <v>1</v>
      </c>
      <c r="F251" s="170">
        <v>151521</v>
      </c>
      <c r="G251" s="170"/>
      <c r="H251" s="202"/>
      <c r="I251" s="170"/>
      <c r="J251" s="202"/>
      <c r="K251" s="202"/>
      <c r="L251" s="202"/>
      <c r="M251" s="170"/>
      <c r="N251" s="170"/>
      <c r="O251" s="170"/>
      <c r="P251" s="170"/>
      <c r="Q251" s="170">
        <f t="shared" si="17"/>
        <v>0</v>
      </c>
      <c r="R251" s="760"/>
    </row>
    <row r="252" spans="1:18" ht="15" hidden="1" customHeight="1" x14ac:dyDescent="0.2">
      <c r="A252" s="197"/>
      <c r="B252" s="197"/>
      <c r="C252" s="217"/>
      <c r="D252" s="328" t="s">
        <v>714</v>
      </c>
      <c r="E252" s="170">
        <v>1</v>
      </c>
      <c r="F252" s="170">
        <v>151522</v>
      </c>
      <c r="G252" s="170"/>
      <c r="H252" s="202"/>
      <c r="I252" s="170"/>
      <c r="J252" s="202"/>
      <c r="K252" s="202"/>
      <c r="L252" s="202"/>
      <c r="M252" s="170"/>
      <c r="N252" s="170"/>
      <c r="O252" s="170"/>
      <c r="P252" s="170"/>
      <c r="Q252" s="170">
        <f t="shared" si="17"/>
        <v>0</v>
      </c>
      <c r="R252" s="760"/>
    </row>
    <row r="253" spans="1:18" ht="15" hidden="1" customHeight="1" x14ac:dyDescent="0.2">
      <c r="A253" s="197"/>
      <c r="B253" s="197"/>
      <c r="C253" s="217"/>
      <c r="D253" s="245" t="s">
        <v>715</v>
      </c>
      <c r="E253" s="170">
        <v>2</v>
      </c>
      <c r="F253" s="170">
        <v>151529</v>
      </c>
      <c r="G253" s="170"/>
      <c r="H253" s="202"/>
      <c r="I253" s="170"/>
      <c r="J253" s="202"/>
      <c r="K253" s="202"/>
      <c r="L253" s="202"/>
      <c r="M253" s="170"/>
      <c r="N253" s="170"/>
      <c r="O253" s="170"/>
      <c r="P253" s="170"/>
      <c r="Q253" s="170">
        <f t="shared" si="17"/>
        <v>0</v>
      </c>
      <c r="R253" s="760"/>
    </row>
    <row r="254" spans="1:18" ht="15" hidden="1" customHeight="1" x14ac:dyDescent="0.2">
      <c r="A254" s="197"/>
      <c r="B254" s="197"/>
      <c r="C254" s="217"/>
      <c r="D254" s="325" t="s">
        <v>716</v>
      </c>
      <c r="E254" s="170">
        <v>1</v>
      </c>
      <c r="F254" s="170">
        <v>151512</v>
      </c>
      <c r="G254" s="170"/>
      <c r="H254" s="202"/>
      <c r="I254" s="170"/>
      <c r="J254" s="202"/>
      <c r="K254" s="202"/>
      <c r="L254" s="202"/>
      <c r="M254" s="170"/>
      <c r="N254" s="170"/>
      <c r="O254" s="170"/>
      <c r="P254" s="170"/>
      <c r="Q254" s="170">
        <f t="shared" si="17"/>
        <v>0</v>
      </c>
      <c r="R254" s="760"/>
    </row>
    <row r="255" spans="1:18" ht="15" hidden="1" customHeight="1" x14ac:dyDescent="0.2">
      <c r="A255" s="197"/>
      <c r="B255" s="197"/>
      <c r="C255" s="217"/>
      <c r="D255" s="328" t="s">
        <v>717</v>
      </c>
      <c r="E255" s="170">
        <v>1</v>
      </c>
      <c r="F255" s="170">
        <v>151519</v>
      </c>
      <c r="G255" s="170"/>
      <c r="H255" s="202"/>
      <c r="I255" s="170"/>
      <c r="J255" s="202"/>
      <c r="K255" s="202"/>
      <c r="L255" s="202"/>
      <c r="M255" s="170"/>
      <c r="N255" s="170"/>
      <c r="O255" s="170"/>
      <c r="P255" s="170"/>
      <c r="Q255" s="170">
        <f t="shared" si="17"/>
        <v>0</v>
      </c>
      <c r="R255" s="760"/>
    </row>
    <row r="256" spans="1:18" ht="15" hidden="1" customHeight="1" x14ac:dyDescent="0.2">
      <c r="A256" s="197"/>
      <c r="B256" s="197"/>
      <c r="C256" s="217"/>
      <c r="D256" s="325" t="s">
        <v>718</v>
      </c>
      <c r="E256" s="170">
        <v>2</v>
      </c>
      <c r="F256" s="170">
        <v>151511</v>
      </c>
      <c r="G256" s="170"/>
      <c r="H256" s="202"/>
      <c r="I256" s="170"/>
      <c r="J256" s="202"/>
      <c r="K256" s="202"/>
      <c r="L256" s="202"/>
      <c r="M256" s="170"/>
      <c r="N256" s="170"/>
      <c r="O256" s="170"/>
      <c r="P256" s="170"/>
      <c r="Q256" s="170">
        <f t="shared" si="17"/>
        <v>0</v>
      </c>
      <c r="R256" s="760"/>
    </row>
    <row r="257" spans="1:18" ht="15" hidden="1" customHeight="1" x14ac:dyDescent="0.2">
      <c r="A257" s="197"/>
      <c r="B257" s="197"/>
      <c r="C257" s="217"/>
      <c r="D257" s="325" t="s">
        <v>719</v>
      </c>
      <c r="E257" s="176">
        <v>2</v>
      </c>
      <c r="F257" s="170">
        <v>151514</v>
      </c>
      <c r="G257" s="170"/>
      <c r="H257" s="202"/>
      <c r="I257" s="170"/>
      <c r="J257" s="202"/>
      <c r="K257" s="202"/>
      <c r="L257" s="202"/>
      <c r="M257" s="170"/>
      <c r="N257" s="170"/>
      <c r="O257" s="170"/>
      <c r="P257" s="170"/>
      <c r="Q257" s="170">
        <f t="shared" si="17"/>
        <v>0</v>
      </c>
      <c r="R257" s="760"/>
    </row>
    <row r="258" spans="1:18" ht="15" hidden="1" customHeight="1" x14ac:dyDescent="0.2">
      <c r="A258" s="197"/>
      <c r="B258" s="197"/>
      <c r="C258" s="217"/>
      <c r="D258" s="325" t="s">
        <v>720</v>
      </c>
      <c r="E258" s="176">
        <v>2</v>
      </c>
      <c r="F258" s="170">
        <v>151515</v>
      </c>
      <c r="G258" s="170"/>
      <c r="H258" s="202"/>
      <c r="I258" s="170"/>
      <c r="J258" s="202"/>
      <c r="K258" s="202"/>
      <c r="L258" s="202"/>
      <c r="M258" s="170"/>
      <c r="N258" s="170"/>
      <c r="O258" s="170"/>
      <c r="P258" s="170"/>
      <c r="Q258" s="170">
        <f t="shared" si="17"/>
        <v>0</v>
      </c>
      <c r="R258" s="760"/>
    </row>
    <row r="259" spans="1:18" ht="15" hidden="1" customHeight="1" x14ac:dyDescent="0.2">
      <c r="A259" s="197"/>
      <c r="B259" s="197"/>
      <c r="C259" s="217"/>
      <c r="D259" s="325" t="s">
        <v>721</v>
      </c>
      <c r="E259" s="176">
        <v>1</v>
      </c>
      <c r="F259" s="170">
        <v>151513</v>
      </c>
      <c r="G259" s="170"/>
      <c r="H259" s="202"/>
      <c r="I259" s="170"/>
      <c r="J259" s="202"/>
      <c r="K259" s="202"/>
      <c r="L259" s="202"/>
      <c r="M259" s="170"/>
      <c r="N259" s="170"/>
      <c r="O259" s="170"/>
      <c r="P259" s="170"/>
      <c r="Q259" s="170">
        <f t="shared" si="17"/>
        <v>0</v>
      </c>
      <c r="R259" s="760"/>
    </row>
    <row r="260" spans="1:18" ht="15" hidden="1" customHeight="1" x14ac:dyDescent="0.2">
      <c r="A260" s="197"/>
      <c r="B260" s="197"/>
      <c r="C260" s="217"/>
      <c r="D260" s="325" t="s">
        <v>722</v>
      </c>
      <c r="E260" s="176">
        <v>2</v>
      </c>
      <c r="F260" s="170">
        <v>151918</v>
      </c>
      <c r="G260" s="170"/>
      <c r="H260" s="202"/>
      <c r="I260" s="170"/>
      <c r="J260" s="202"/>
      <c r="K260" s="202"/>
      <c r="L260" s="202"/>
      <c r="M260" s="170"/>
      <c r="N260" s="170"/>
      <c r="O260" s="170"/>
      <c r="P260" s="170"/>
      <c r="Q260" s="170">
        <f t="shared" si="17"/>
        <v>0</v>
      </c>
      <c r="R260" s="760"/>
    </row>
    <row r="261" spans="1:18" ht="15" hidden="1" customHeight="1" x14ac:dyDescent="0.2">
      <c r="A261" s="197"/>
      <c r="B261" s="197"/>
      <c r="C261" s="217"/>
      <c r="D261" s="325" t="s">
        <v>723</v>
      </c>
      <c r="E261" s="176">
        <v>2</v>
      </c>
      <c r="F261" s="170">
        <v>151923</v>
      </c>
      <c r="G261" s="170"/>
      <c r="H261" s="202"/>
      <c r="I261" s="170"/>
      <c r="J261" s="202"/>
      <c r="K261" s="202"/>
      <c r="L261" s="202"/>
      <c r="M261" s="170"/>
      <c r="N261" s="170"/>
      <c r="O261" s="170"/>
      <c r="P261" s="170"/>
      <c r="Q261" s="170">
        <f t="shared" si="17"/>
        <v>0</v>
      </c>
      <c r="R261" s="760"/>
    </row>
    <row r="262" spans="1:18" ht="29.25" hidden="1" customHeight="1" x14ac:dyDescent="0.2">
      <c r="A262" s="197"/>
      <c r="B262" s="197"/>
      <c r="C262" s="217"/>
      <c r="D262" s="171" t="s">
        <v>1381</v>
      </c>
      <c r="E262" s="176">
        <v>2</v>
      </c>
      <c r="F262" s="170">
        <v>151524</v>
      </c>
      <c r="G262" s="170"/>
      <c r="H262" s="202"/>
      <c r="I262" s="170"/>
      <c r="J262" s="202"/>
      <c r="K262" s="202"/>
      <c r="L262" s="202"/>
      <c r="M262" s="170"/>
      <c r="N262" s="170"/>
      <c r="O262" s="170"/>
      <c r="P262" s="170"/>
      <c r="Q262" s="170">
        <f t="shared" si="17"/>
        <v>0</v>
      </c>
      <c r="R262" s="760"/>
    </row>
    <row r="263" spans="1:18" ht="15" customHeight="1" x14ac:dyDescent="0.2">
      <c r="A263" s="197"/>
      <c r="B263" s="197"/>
      <c r="C263" s="217"/>
      <c r="D263" s="314" t="s">
        <v>724</v>
      </c>
      <c r="E263" s="208"/>
      <c r="F263" s="208"/>
      <c r="G263" s="170"/>
      <c r="H263" s="202"/>
      <c r="I263" s="170"/>
      <c r="J263" s="202"/>
      <c r="K263" s="202"/>
      <c r="L263" s="202"/>
      <c r="M263" s="170"/>
      <c r="N263" s="170"/>
      <c r="O263" s="170"/>
      <c r="P263" s="170"/>
      <c r="Q263" s="170"/>
      <c r="R263" s="760"/>
    </row>
    <row r="264" spans="1:18" ht="15" customHeight="1" x14ac:dyDescent="0.2">
      <c r="A264" s="197"/>
      <c r="B264" s="197"/>
      <c r="C264" s="217"/>
      <c r="D264" s="314" t="s">
        <v>725</v>
      </c>
      <c r="E264" s="170">
        <v>1</v>
      </c>
      <c r="F264" s="170">
        <v>151401</v>
      </c>
      <c r="G264" s="170"/>
      <c r="H264" s="202"/>
      <c r="I264" s="170">
        <v>-9516</v>
      </c>
      <c r="J264" s="202"/>
      <c r="K264" s="202"/>
      <c r="L264" s="202"/>
      <c r="M264" s="170"/>
      <c r="N264" s="170"/>
      <c r="O264" s="170"/>
      <c r="P264" s="170"/>
      <c r="Q264" s="170">
        <f t="shared" ref="Q264:Q279" si="18">SUM(G264:P264)</f>
        <v>-9516</v>
      </c>
      <c r="R264" s="760" t="s">
        <v>1490</v>
      </c>
    </row>
    <row r="265" spans="1:18" ht="15" customHeight="1" x14ac:dyDescent="0.2">
      <c r="A265" s="197"/>
      <c r="B265" s="197"/>
      <c r="C265" s="217"/>
      <c r="D265" s="314" t="s">
        <v>726</v>
      </c>
      <c r="E265" s="208">
        <v>1</v>
      </c>
      <c r="F265" s="170">
        <v>151402</v>
      </c>
      <c r="G265" s="170"/>
      <c r="H265" s="202"/>
      <c r="I265" s="170">
        <v>-641</v>
      </c>
      <c r="J265" s="202"/>
      <c r="K265" s="202"/>
      <c r="L265" s="202"/>
      <c r="M265" s="170"/>
      <c r="N265" s="170"/>
      <c r="O265" s="170"/>
      <c r="P265" s="170"/>
      <c r="Q265" s="170">
        <f t="shared" si="18"/>
        <v>-641</v>
      </c>
      <c r="R265" s="760" t="s">
        <v>1490</v>
      </c>
    </row>
    <row r="266" spans="1:18" ht="15" customHeight="1" x14ac:dyDescent="0.2">
      <c r="A266" s="197"/>
      <c r="B266" s="197"/>
      <c r="C266" s="217"/>
      <c r="D266" s="314" t="s">
        <v>727</v>
      </c>
      <c r="E266" s="208">
        <v>1</v>
      </c>
      <c r="F266" s="170">
        <v>151411</v>
      </c>
      <c r="G266" s="170"/>
      <c r="H266" s="202"/>
      <c r="I266" s="170">
        <v>775</v>
      </c>
      <c r="J266" s="202"/>
      <c r="K266" s="202"/>
      <c r="L266" s="202"/>
      <c r="M266" s="170"/>
      <c r="N266" s="170"/>
      <c r="O266" s="170"/>
      <c r="P266" s="170"/>
      <c r="Q266" s="170">
        <f t="shared" si="18"/>
        <v>775</v>
      </c>
      <c r="R266" s="760" t="s">
        <v>1490</v>
      </c>
    </row>
    <row r="267" spans="1:18" ht="15" hidden="1" customHeight="1" x14ac:dyDescent="0.2">
      <c r="A267" s="197"/>
      <c r="B267" s="197"/>
      <c r="C267" s="217"/>
      <c r="D267" s="314" t="s">
        <v>728</v>
      </c>
      <c r="E267" s="208">
        <v>1</v>
      </c>
      <c r="F267" s="170">
        <v>151412</v>
      </c>
      <c r="G267" s="170"/>
      <c r="H267" s="202"/>
      <c r="I267" s="170"/>
      <c r="J267" s="202"/>
      <c r="K267" s="202"/>
      <c r="L267" s="202"/>
      <c r="M267" s="170"/>
      <c r="N267" s="170"/>
      <c r="O267" s="170"/>
      <c r="P267" s="170"/>
      <c r="Q267" s="170">
        <f t="shared" si="18"/>
        <v>0</v>
      </c>
      <c r="R267" s="760"/>
    </row>
    <row r="268" spans="1:18" ht="15" hidden="1" customHeight="1" x14ac:dyDescent="0.2">
      <c r="A268" s="197"/>
      <c r="B268" s="197"/>
      <c r="C268" s="217"/>
      <c r="D268" s="314" t="s">
        <v>1387</v>
      </c>
      <c r="E268" s="208">
        <v>1</v>
      </c>
      <c r="F268" s="170">
        <v>151413</v>
      </c>
      <c r="G268" s="170"/>
      <c r="H268" s="202"/>
      <c r="I268" s="170"/>
      <c r="J268" s="202"/>
      <c r="K268" s="202"/>
      <c r="L268" s="202"/>
      <c r="M268" s="170"/>
      <c r="N268" s="170"/>
      <c r="O268" s="170"/>
      <c r="P268" s="170"/>
      <c r="Q268" s="170">
        <f t="shared" si="18"/>
        <v>0</v>
      </c>
      <c r="R268" s="760"/>
    </row>
    <row r="269" spans="1:18" ht="15" hidden="1" customHeight="1" x14ac:dyDescent="0.2">
      <c r="A269" s="197"/>
      <c r="B269" s="197"/>
      <c r="C269" s="217"/>
      <c r="D269" s="314" t="s">
        <v>729</v>
      </c>
      <c r="E269" s="208">
        <v>2</v>
      </c>
      <c r="F269" s="170">
        <v>151414</v>
      </c>
      <c r="G269" s="170"/>
      <c r="H269" s="202"/>
      <c r="I269" s="170"/>
      <c r="J269" s="202"/>
      <c r="K269" s="202"/>
      <c r="L269" s="202"/>
      <c r="M269" s="170"/>
      <c r="N269" s="170"/>
      <c r="O269" s="170"/>
      <c r="P269" s="170"/>
      <c r="Q269" s="170">
        <f t="shared" si="18"/>
        <v>0</v>
      </c>
      <c r="R269" s="760"/>
    </row>
    <row r="270" spans="1:18" ht="15" hidden="1" customHeight="1" x14ac:dyDescent="0.2">
      <c r="A270" s="197"/>
      <c r="B270" s="197"/>
      <c r="C270" s="217"/>
      <c r="D270" s="314" t="s">
        <v>730</v>
      </c>
      <c r="E270" s="208">
        <v>2</v>
      </c>
      <c r="F270" s="170">
        <v>151415</v>
      </c>
      <c r="G270" s="170"/>
      <c r="H270" s="202"/>
      <c r="I270" s="170"/>
      <c r="J270" s="202"/>
      <c r="K270" s="202"/>
      <c r="L270" s="202"/>
      <c r="M270" s="170"/>
      <c r="N270" s="170"/>
      <c r="O270" s="170"/>
      <c r="P270" s="170"/>
      <c r="Q270" s="170">
        <f t="shared" si="18"/>
        <v>0</v>
      </c>
      <c r="R270" s="760"/>
    </row>
    <row r="271" spans="1:18" ht="15" hidden="1" customHeight="1" x14ac:dyDescent="0.2">
      <c r="A271" s="197"/>
      <c r="B271" s="197"/>
      <c r="C271" s="217"/>
      <c r="D271" s="314" t="s">
        <v>731</v>
      </c>
      <c r="E271" s="208">
        <v>2</v>
      </c>
      <c r="F271" s="170">
        <v>151406</v>
      </c>
      <c r="G271" s="170"/>
      <c r="H271" s="202"/>
      <c r="I271" s="170"/>
      <c r="J271" s="202"/>
      <c r="K271" s="202"/>
      <c r="L271" s="202"/>
      <c r="M271" s="170"/>
      <c r="N271" s="170"/>
      <c r="O271" s="170"/>
      <c r="P271" s="170"/>
      <c r="Q271" s="170">
        <f t="shared" si="18"/>
        <v>0</v>
      </c>
      <c r="R271" s="760"/>
    </row>
    <row r="272" spans="1:18" ht="15" hidden="1" customHeight="1" x14ac:dyDescent="0.2">
      <c r="A272" s="197"/>
      <c r="B272" s="197"/>
      <c r="C272" s="217"/>
      <c r="D272" s="314" t="s">
        <v>732</v>
      </c>
      <c r="E272" s="208">
        <v>1</v>
      </c>
      <c r="F272" s="170">
        <v>151416</v>
      </c>
      <c r="G272" s="170"/>
      <c r="H272" s="202"/>
      <c r="I272" s="170"/>
      <c r="J272" s="202"/>
      <c r="K272" s="202"/>
      <c r="L272" s="202"/>
      <c r="M272" s="170"/>
      <c r="N272" s="170"/>
      <c r="O272" s="170"/>
      <c r="P272" s="170"/>
      <c r="Q272" s="170">
        <f t="shared" si="18"/>
        <v>0</v>
      </c>
      <c r="R272" s="760"/>
    </row>
    <row r="273" spans="1:18" ht="15" customHeight="1" x14ac:dyDescent="0.2">
      <c r="A273" s="197"/>
      <c r="B273" s="197"/>
      <c r="C273" s="217"/>
      <c r="D273" s="314" t="s">
        <v>733</v>
      </c>
      <c r="E273" s="208">
        <v>1</v>
      </c>
      <c r="F273" s="170">
        <v>151417</v>
      </c>
      <c r="G273" s="170"/>
      <c r="H273" s="202"/>
      <c r="I273" s="170"/>
      <c r="J273" s="202"/>
      <c r="K273" s="202"/>
      <c r="L273" s="202"/>
      <c r="M273" s="170">
        <v>2797</v>
      </c>
      <c r="N273" s="170"/>
      <c r="O273" s="170"/>
      <c r="P273" s="170"/>
      <c r="Q273" s="170">
        <f t="shared" si="18"/>
        <v>2797</v>
      </c>
      <c r="R273" s="760" t="s">
        <v>1490</v>
      </c>
    </row>
    <row r="274" spans="1:18" ht="15" hidden="1" customHeight="1" x14ac:dyDescent="0.2">
      <c r="A274" s="197"/>
      <c r="B274" s="197"/>
      <c r="C274" s="217"/>
      <c r="D274" s="314" t="s">
        <v>734</v>
      </c>
      <c r="E274" s="208">
        <v>2</v>
      </c>
      <c r="F274" s="170">
        <v>151407</v>
      </c>
      <c r="G274" s="170"/>
      <c r="H274" s="202"/>
      <c r="I274" s="170"/>
      <c r="J274" s="202"/>
      <c r="K274" s="202"/>
      <c r="L274" s="202"/>
      <c r="M274" s="170"/>
      <c r="N274" s="170"/>
      <c r="O274" s="170"/>
      <c r="P274" s="170"/>
      <c r="Q274" s="170">
        <f t="shared" si="18"/>
        <v>0</v>
      </c>
      <c r="R274" s="760"/>
    </row>
    <row r="275" spans="1:18" ht="15" hidden="1" customHeight="1" x14ac:dyDescent="0.2">
      <c r="A275" s="197"/>
      <c r="B275" s="197"/>
      <c r="C275" s="217"/>
      <c r="D275" s="314" t="s">
        <v>735</v>
      </c>
      <c r="E275" s="208">
        <v>1</v>
      </c>
      <c r="F275" s="170">
        <v>151403</v>
      </c>
      <c r="G275" s="170"/>
      <c r="H275" s="202"/>
      <c r="I275" s="170"/>
      <c r="J275" s="202"/>
      <c r="K275" s="202"/>
      <c r="L275" s="202"/>
      <c r="M275" s="170"/>
      <c r="N275" s="170"/>
      <c r="O275" s="170"/>
      <c r="P275" s="170"/>
      <c r="Q275" s="170">
        <f t="shared" si="18"/>
        <v>0</v>
      </c>
      <c r="R275" s="760"/>
    </row>
    <row r="276" spans="1:18" ht="15" hidden="1" customHeight="1" x14ac:dyDescent="0.2">
      <c r="A276" s="197"/>
      <c r="B276" s="197"/>
      <c r="C276" s="217"/>
      <c r="D276" s="314" t="s">
        <v>736</v>
      </c>
      <c r="E276" s="208">
        <v>2</v>
      </c>
      <c r="F276" s="208">
        <v>151404</v>
      </c>
      <c r="G276" s="170"/>
      <c r="H276" s="202"/>
      <c r="I276" s="170"/>
      <c r="J276" s="202"/>
      <c r="K276" s="202"/>
      <c r="L276" s="202"/>
      <c r="M276" s="170"/>
      <c r="N276" s="170"/>
      <c r="O276" s="170"/>
      <c r="P276" s="170"/>
      <c r="Q276" s="170">
        <f t="shared" si="18"/>
        <v>0</v>
      </c>
      <c r="R276" s="760"/>
    </row>
    <row r="277" spans="1:18" ht="15" hidden="1" customHeight="1" x14ac:dyDescent="0.2">
      <c r="A277" s="197"/>
      <c r="B277" s="197"/>
      <c r="C277" s="217"/>
      <c r="D277" s="328" t="s">
        <v>737</v>
      </c>
      <c r="E277" s="208">
        <v>2</v>
      </c>
      <c r="F277" s="208">
        <v>151408</v>
      </c>
      <c r="G277" s="170"/>
      <c r="H277" s="202"/>
      <c r="I277" s="170"/>
      <c r="J277" s="202"/>
      <c r="K277" s="202"/>
      <c r="L277" s="202"/>
      <c r="M277" s="170"/>
      <c r="N277" s="170"/>
      <c r="O277" s="170"/>
      <c r="P277" s="326"/>
      <c r="Q277" s="170">
        <f t="shared" si="18"/>
        <v>0</v>
      </c>
      <c r="R277" s="760"/>
    </row>
    <row r="278" spans="1:18" ht="15" hidden="1" customHeight="1" x14ac:dyDescent="0.2">
      <c r="A278" s="197"/>
      <c r="B278" s="197"/>
      <c r="C278" s="217"/>
      <c r="D278" s="328" t="s">
        <v>738</v>
      </c>
      <c r="E278" s="208">
        <v>1</v>
      </c>
      <c r="F278" s="208">
        <v>151409</v>
      </c>
      <c r="G278" s="170"/>
      <c r="H278" s="202"/>
      <c r="I278" s="170"/>
      <c r="J278" s="202"/>
      <c r="K278" s="202"/>
      <c r="L278" s="202"/>
      <c r="M278" s="170"/>
      <c r="N278" s="170"/>
      <c r="O278" s="170"/>
      <c r="P278" s="170"/>
      <c r="Q278" s="170">
        <f t="shared" si="18"/>
        <v>0</v>
      </c>
      <c r="R278" s="760"/>
    </row>
    <row r="279" spans="1:18" ht="15" hidden="1" customHeight="1" x14ac:dyDescent="0.2">
      <c r="A279" s="197"/>
      <c r="B279" s="197"/>
      <c r="C279" s="217"/>
      <c r="D279" s="329" t="s">
        <v>739</v>
      </c>
      <c r="E279" s="208">
        <v>2</v>
      </c>
      <c r="F279" s="208">
        <v>151418</v>
      </c>
      <c r="G279" s="170"/>
      <c r="H279" s="202"/>
      <c r="I279" s="170"/>
      <c r="J279" s="202"/>
      <c r="K279" s="202"/>
      <c r="L279" s="202"/>
      <c r="M279" s="170"/>
      <c r="N279" s="170"/>
      <c r="O279" s="170"/>
      <c r="P279" s="170"/>
      <c r="Q279" s="170">
        <f t="shared" si="18"/>
        <v>0</v>
      </c>
      <c r="R279" s="760"/>
    </row>
    <row r="280" spans="1:18" ht="15" hidden="1" customHeight="1" x14ac:dyDescent="0.2">
      <c r="A280" s="197"/>
      <c r="B280" s="197"/>
      <c r="C280" s="217"/>
      <c r="D280" s="314" t="s">
        <v>740</v>
      </c>
      <c r="E280" s="208"/>
      <c r="F280" s="208"/>
      <c r="G280" s="205"/>
      <c r="H280" s="202"/>
      <c r="I280" s="202"/>
      <c r="J280" s="202"/>
      <c r="K280" s="202"/>
      <c r="L280" s="202"/>
      <c r="M280" s="205"/>
      <c r="N280" s="205"/>
      <c r="O280" s="170"/>
      <c r="P280" s="170"/>
      <c r="Q280" s="170"/>
      <c r="R280" s="760"/>
    </row>
    <row r="281" spans="1:18" ht="24" hidden="1" customHeight="1" x14ac:dyDescent="0.2">
      <c r="A281" s="197"/>
      <c r="B281" s="197"/>
      <c r="C281" s="217"/>
      <c r="D281" s="172" t="s">
        <v>741</v>
      </c>
      <c r="E281" s="241">
        <v>1</v>
      </c>
      <c r="F281" s="250">
        <v>191129</v>
      </c>
      <c r="G281" s="249"/>
      <c r="H281" s="202"/>
      <c r="I281" s="202"/>
      <c r="J281" s="202"/>
      <c r="K281" s="202"/>
      <c r="L281" s="202"/>
      <c r="M281" s="249"/>
      <c r="N281" s="249"/>
      <c r="O281" s="170"/>
      <c r="P281" s="170"/>
      <c r="Q281" s="170">
        <f>SUM(G281:P281)</f>
        <v>0</v>
      </c>
      <c r="R281" s="760"/>
    </row>
    <row r="282" spans="1:18" ht="14.25" hidden="1" customHeight="1" x14ac:dyDescent="0.2">
      <c r="A282" s="197"/>
      <c r="B282" s="197"/>
      <c r="C282" s="217"/>
      <c r="D282" s="325" t="s">
        <v>742</v>
      </c>
      <c r="E282" s="208"/>
      <c r="F282" s="208"/>
      <c r="G282" s="170"/>
      <c r="H282" s="202"/>
      <c r="I282" s="170"/>
      <c r="J282" s="202"/>
      <c r="K282" s="202"/>
      <c r="L282" s="202"/>
      <c r="M282" s="170"/>
      <c r="N282" s="170"/>
      <c r="O282" s="170"/>
      <c r="P282" s="170"/>
      <c r="Q282" s="170"/>
      <c r="R282" s="760"/>
    </row>
    <row r="283" spans="1:18" ht="15" hidden="1" customHeight="1" x14ac:dyDescent="0.2">
      <c r="A283" s="170"/>
      <c r="B283" s="170"/>
      <c r="C283" s="170"/>
      <c r="D283" s="314" t="s">
        <v>743</v>
      </c>
      <c r="E283" s="170">
        <v>1</v>
      </c>
      <c r="F283" s="170">
        <v>151102</v>
      </c>
      <c r="G283" s="170"/>
      <c r="H283" s="202"/>
      <c r="I283" s="170"/>
      <c r="J283" s="202"/>
      <c r="K283" s="202"/>
      <c r="L283" s="202"/>
      <c r="M283" s="170"/>
      <c r="N283" s="170"/>
      <c r="O283" s="170"/>
      <c r="P283" s="170"/>
      <c r="Q283" s="170">
        <f>SUM(G283:P283)</f>
        <v>0</v>
      </c>
      <c r="R283" s="760"/>
    </row>
    <row r="284" spans="1:18" ht="15" hidden="1" customHeight="1" x14ac:dyDescent="0.2">
      <c r="A284" s="197"/>
      <c r="B284" s="197"/>
      <c r="C284" s="217"/>
      <c r="D284" s="314" t="s">
        <v>744</v>
      </c>
      <c r="E284" s="170">
        <v>1</v>
      </c>
      <c r="F284" s="170">
        <v>151103</v>
      </c>
      <c r="G284" s="170"/>
      <c r="H284" s="202"/>
      <c r="I284" s="170"/>
      <c r="J284" s="202"/>
      <c r="K284" s="202"/>
      <c r="L284" s="202"/>
      <c r="M284" s="170"/>
      <c r="N284" s="170"/>
      <c r="O284" s="170"/>
      <c r="P284" s="170"/>
      <c r="Q284" s="170">
        <f>SUM(G284:P284)</f>
        <v>0</v>
      </c>
      <c r="R284" s="760"/>
    </row>
    <row r="285" spans="1:18" ht="15" hidden="1" customHeight="1" x14ac:dyDescent="0.2">
      <c r="A285" s="197"/>
      <c r="B285" s="197"/>
      <c r="C285" s="217"/>
      <c r="D285" s="314" t="s">
        <v>745</v>
      </c>
      <c r="E285" s="170">
        <v>1</v>
      </c>
      <c r="F285" s="170">
        <v>151105</v>
      </c>
      <c r="G285" s="170"/>
      <c r="H285" s="202"/>
      <c r="I285" s="170"/>
      <c r="J285" s="202"/>
      <c r="K285" s="202"/>
      <c r="L285" s="202"/>
      <c r="M285" s="170"/>
      <c r="N285" s="170"/>
      <c r="O285" s="170"/>
      <c r="P285" s="170"/>
      <c r="Q285" s="170">
        <f>SUM(G285:P285)</f>
        <v>0</v>
      </c>
      <c r="R285" s="760"/>
    </row>
    <row r="286" spans="1:18" ht="15" customHeight="1" x14ac:dyDescent="0.2">
      <c r="A286" s="197"/>
      <c r="B286" s="197"/>
      <c r="C286" s="217"/>
      <c r="D286" s="314" t="s">
        <v>746</v>
      </c>
      <c r="E286" s="208"/>
      <c r="F286" s="208"/>
      <c r="G286" s="170"/>
      <c r="H286" s="202"/>
      <c r="I286" s="170"/>
      <c r="J286" s="202"/>
      <c r="K286" s="202"/>
      <c r="L286" s="202"/>
      <c r="M286" s="170"/>
      <c r="N286" s="170"/>
      <c r="O286" s="170"/>
      <c r="P286" s="170"/>
      <c r="Q286" s="170"/>
      <c r="R286" s="760"/>
    </row>
    <row r="287" spans="1:18" ht="15" customHeight="1" x14ac:dyDescent="0.2">
      <c r="A287" s="197"/>
      <c r="B287" s="197"/>
      <c r="C287" s="217"/>
      <c r="D287" s="325" t="s">
        <v>747</v>
      </c>
      <c r="E287" s="208">
        <v>1</v>
      </c>
      <c r="F287" s="170">
        <v>151301</v>
      </c>
      <c r="G287" s="170"/>
      <c r="H287" s="202"/>
      <c r="I287" s="170">
        <v>-2157</v>
      </c>
      <c r="J287" s="202"/>
      <c r="K287" s="202"/>
      <c r="L287" s="202"/>
      <c r="M287" s="170"/>
      <c r="N287" s="170"/>
      <c r="O287" s="170"/>
      <c r="P287" s="170"/>
      <c r="Q287" s="170">
        <f t="shared" ref="Q287:Q302" si="19">SUM(G287:P287)</f>
        <v>-2157</v>
      </c>
      <c r="R287" s="760" t="s">
        <v>1490</v>
      </c>
    </row>
    <row r="288" spans="1:18" ht="15" hidden="1" customHeight="1" x14ac:dyDescent="0.2">
      <c r="A288" s="197"/>
      <c r="B288" s="197"/>
      <c r="C288" s="217"/>
      <c r="D288" s="325" t="s">
        <v>748</v>
      </c>
      <c r="E288" s="208">
        <v>1</v>
      </c>
      <c r="F288" s="170">
        <v>151310</v>
      </c>
      <c r="G288" s="170"/>
      <c r="H288" s="202"/>
      <c r="I288" s="170"/>
      <c r="J288" s="202"/>
      <c r="K288" s="202"/>
      <c r="L288" s="202"/>
      <c r="M288" s="170"/>
      <c r="N288" s="170"/>
      <c r="O288" s="170"/>
      <c r="P288" s="170"/>
      <c r="Q288" s="170">
        <f t="shared" si="19"/>
        <v>0</v>
      </c>
      <c r="R288" s="760"/>
    </row>
    <row r="289" spans="1:18" ht="15" customHeight="1" x14ac:dyDescent="0.2">
      <c r="A289" s="197"/>
      <c r="B289" s="197"/>
      <c r="C289" s="217"/>
      <c r="D289" s="325" t="s">
        <v>749</v>
      </c>
      <c r="E289" s="208">
        <v>1</v>
      </c>
      <c r="F289" s="170">
        <v>151313</v>
      </c>
      <c r="G289" s="170"/>
      <c r="H289" s="202"/>
      <c r="I289" s="170">
        <v>-216</v>
      </c>
      <c r="J289" s="202"/>
      <c r="K289" s="202"/>
      <c r="L289" s="202"/>
      <c r="M289" s="170"/>
      <c r="N289" s="170"/>
      <c r="O289" s="170"/>
      <c r="P289" s="170"/>
      <c r="Q289" s="170">
        <f t="shared" si="19"/>
        <v>-216</v>
      </c>
      <c r="R289" s="760" t="s">
        <v>1490</v>
      </c>
    </row>
    <row r="290" spans="1:18" ht="15" hidden="1" customHeight="1" x14ac:dyDescent="0.2">
      <c r="A290" s="197"/>
      <c r="B290" s="197"/>
      <c r="C290" s="217"/>
      <c r="D290" s="325" t="s">
        <v>750</v>
      </c>
      <c r="E290" s="208">
        <v>1</v>
      </c>
      <c r="F290" s="170">
        <v>151314</v>
      </c>
      <c r="G290" s="170"/>
      <c r="H290" s="202"/>
      <c r="I290" s="170"/>
      <c r="J290" s="202"/>
      <c r="K290" s="202"/>
      <c r="L290" s="202"/>
      <c r="M290" s="170"/>
      <c r="N290" s="170"/>
      <c r="O290" s="170"/>
      <c r="P290" s="170"/>
      <c r="Q290" s="170">
        <f t="shared" si="19"/>
        <v>0</v>
      </c>
      <c r="R290" s="760"/>
    </row>
    <row r="291" spans="1:18" ht="15" hidden="1" customHeight="1" x14ac:dyDescent="0.2">
      <c r="A291" s="197"/>
      <c r="B291" s="197"/>
      <c r="C291" s="217"/>
      <c r="D291" s="325" t="s">
        <v>751</v>
      </c>
      <c r="E291" s="208">
        <v>1</v>
      </c>
      <c r="F291" s="170">
        <v>151320</v>
      </c>
      <c r="G291" s="170"/>
      <c r="H291" s="202"/>
      <c r="I291" s="170"/>
      <c r="J291" s="202"/>
      <c r="K291" s="202"/>
      <c r="L291" s="202"/>
      <c r="M291" s="170"/>
      <c r="N291" s="170"/>
      <c r="O291" s="170"/>
      <c r="P291" s="170"/>
      <c r="Q291" s="170">
        <f t="shared" si="19"/>
        <v>0</v>
      </c>
      <c r="R291" s="760"/>
    </row>
    <row r="292" spans="1:18" ht="15" hidden="1" customHeight="1" x14ac:dyDescent="0.2">
      <c r="A292" s="197"/>
      <c r="B292" s="197"/>
      <c r="C292" s="217"/>
      <c r="D292" s="325" t="s">
        <v>752</v>
      </c>
      <c r="E292" s="208">
        <v>1</v>
      </c>
      <c r="F292" s="170">
        <v>151317</v>
      </c>
      <c r="G292" s="170"/>
      <c r="H292" s="202"/>
      <c r="I292" s="170"/>
      <c r="J292" s="202"/>
      <c r="K292" s="202"/>
      <c r="L292" s="202"/>
      <c r="M292" s="170"/>
      <c r="N292" s="170"/>
      <c r="O292" s="170"/>
      <c r="P292" s="170"/>
      <c r="Q292" s="170">
        <f t="shared" si="19"/>
        <v>0</v>
      </c>
      <c r="R292" s="760"/>
    </row>
    <row r="293" spans="1:18" ht="19.5" hidden="1" customHeight="1" x14ac:dyDescent="0.2">
      <c r="A293" s="197"/>
      <c r="B293" s="197"/>
      <c r="C293" s="217"/>
      <c r="D293" s="172" t="s">
        <v>753</v>
      </c>
      <c r="E293" s="208">
        <v>1</v>
      </c>
      <c r="F293" s="462">
        <v>151306</v>
      </c>
      <c r="G293" s="170"/>
      <c r="H293" s="202"/>
      <c r="I293" s="170"/>
      <c r="J293" s="202"/>
      <c r="K293" s="202"/>
      <c r="L293" s="202"/>
      <c r="M293" s="170"/>
      <c r="N293" s="170"/>
      <c r="O293" s="170"/>
      <c r="P293" s="170"/>
      <c r="Q293" s="170">
        <f t="shared" si="19"/>
        <v>0</v>
      </c>
      <c r="R293" s="760"/>
    </row>
    <row r="294" spans="1:18" ht="23.25" hidden="1" customHeight="1" x14ac:dyDescent="0.2">
      <c r="A294" s="197"/>
      <c r="B294" s="197"/>
      <c r="C294" s="217"/>
      <c r="D294" s="172" t="s">
        <v>754</v>
      </c>
      <c r="E294" s="208">
        <v>1</v>
      </c>
      <c r="F294" s="170">
        <v>151307</v>
      </c>
      <c r="G294" s="170"/>
      <c r="H294" s="202"/>
      <c r="I294" s="170"/>
      <c r="J294" s="202"/>
      <c r="K294" s="202"/>
      <c r="L294" s="202"/>
      <c r="M294" s="170"/>
      <c r="N294" s="170"/>
      <c r="O294" s="170"/>
      <c r="P294" s="326"/>
      <c r="Q294" s="170">
        <f t="shared" si="19"/>
        <v>0</v>
      </c>
      <c r="R294" s="760"/>
    </row>
    <row r="295" spans="1:18" ht="24" hidden="1" customHeight="1" x14ac:dyDescent="0.2">
      <c r="A295" s="197"/>
      <c r="B295" s="197"/>
      <c r="C295" s="217"/>
      <c r="D295" s="172" t="s">
        <v>755</v>
      </c>
      <c r="E295" s="208">
        <v>1</v>
      </c>
      <c r="F295" s="170">
        <v>151308</v>
      </c>
      <c r="G295" s="170"/>
      <c r="H295" s="202"/>
      <c r="I295" s="170"/>
      <c r="J295" s="202"/>
      <c r="K295" s="202"/>
      <c r="L295" s="202"/>
      <c r="M295" s="170"/>
      <c r="N295" s="170"/>
      <c r="O295" s="170"/>
      <c r="P295" s="170"/>
      <c r="Q295" s="170">
        <f t="shared" si="19"/>
        <v>0</v>
      </c>
      <c r="R295" s="760"/>
    </row>
    <row r="296" spans="1:18" ht="24" customHeight="1" x14ac:dyDescent="0.2">
      <c r="A296" s="197"/>
      <c r="B296" s="197"/>
      <c r="C296" s="217"/>
      <c r="D296" s="172" t="s">
        <v>756</v>
      </c>
      <c r="E296" s="241">
        <v>1</v>
      </c>
      <c r="F296" s="250">
        <v>151311</v>
      </c>
      <c r="G296" s="170"/>
      <c r="H296" s="202"/>
      <c r="I296" s="170">
        <v>245</v>
      </c>
      <c r="J296" s="202"/>
      <c r="K296" s="202"/>
      <c r="L296" s="202"/>
      <c r="M296" s="170"/>
      <c r="N296" s="170"/>
      <c r="O296" s="170"/>
      <c r="P296" s="170"/>
      <c r="Q296" s="170">
        <f t="shared" si="19"/>
        <v>245</v>
      </c>
      <c r="R296" s="760" t="s">
        <v>1490</v>
      </c>
    </row>
    <row r="297" spans="1:18" ht="15" customHeight="1" x14ac:dyDescent="0.2">
      <c r="A297" s="197"/>
      <c r="B297" s="197"/>
      <c r="C297" s="217"/>
      <c r="D297" s="314" t="s">
        <v>757</v>
      </c>
      <c r="E297" s="208">
        <v>1</v>
      </c>
      <c r="F297" s="170">
        <v>151312</v>
      </c>
      <c r="G297" s="170"/>
      <c r="H297" s="202"/>
      <c r="I297" s="170">
        <v>-150</v>
      </c>
      <c r="J297" s="202"/>
      <c r="K297" s="202"/>
      <c r="L297" s="202"/>
      <c r="M297" s="170"/>
      <c r="N297" s="170"/>
      <c r="O297" s="170"/>
      <c r="P297" s="170"/>
      <c r="Q297" s="170">
        <f t="shared" si="19"/>
        <v>-150</v>
      </c>
      <c r="R297" s="760" t="s">
        <v>1490</v>
      </c>
    </row>
    <row r="298" spans="1:18" ht="17.25" hidden="1" customHeight="1" x14ac:dyDescent="0.2">
      <c r="A298" s="197"/>
      <c r="B298" s="197"/>
      <c r="C298" s="217"/>
      <c r="D298" s="172" t="s">
        <v>758</v>
      </c>
      <c r="E298" s="208">
        <v>1</v>
      </c>
      <c r="F298" s="170">
        <v>151302</v>
      </c>
      <c r="G298" s="170"/>
      <c r="H298" s="202"/>
      <c r="I298" s="170"/>
      <c r="J298" s="202"/>
      <c r="K298" s="202"/>
      <c r="L298" s="202"/>
      <c r="M298" s="170"/>
      <c r="N298" s="170"/>
      <c r="O298" s="170"/>
      <c r="P298" s="170"/>
      <c r="Q298" s="170">
        <f t="shared" si="19"/>
        <v>0</v>
      </c>
      <c r="R298" s="760"/>
    </row>
    <row r="299" spans="1:18" ht="25.5" hidden="1" customHeight="1" x14ac:dyDescent="0.2">
      <c r="A299" s="197"/>
      <c r="B299" s="197"/>
      <c r="C299" s="217"/>
      <c r="D299" s="171" t="s">
        <v>759</v>
      </c>
      <c r="E299" s="208">
        <v>1</v>
      </c>
      <c r="F299" s="170">
        <v>151303</v>
      </c>
      <c r="G299" s="170"/>
      <c r="H299" s="202"/>
      <c r="I299" s="170"/>
      <c r="J299" s="202"/>
      <c r="K299" s="202"/>
      <c r="L299" s="202"/>
      <c r="M299" s="170"/>
      <c r="N299" s="170"/>
      <c r="O299" s="170"/>
      <c r="P299" s="170"/>
      <c r="Q299" s="170">
        <f t="shared" si="19"/>
        <v>0</v>
      </c>
      <c r="R299" s="760"/>
    </row>
    <row r="300" spans="1:18" ht="25.5" customHeight="1" x14ac:dyDescent="0.2">
      <c r="A300" s="197"/>
      <c r="B300" s="197"/>
      <c r="C300" s="217"/>
      <c r="D300" s="330" t="s">
        <v>760</v>
      </c>
      <c r="E300" s="331">
        <v>2</v>
      </c>
      <c r="F300" s="250">
        <v>151315</v>
      </c>
      <c r="G300" s="170"/>
      <c r="H300" s="202"/>
      <c r="I300" s="170">
        <v>150</v>
      </c>
      <c r="J300" s="202"/>
      <c r="K300" s="202"/>
      <c r="L300" s="202"/>
      <c r="M300" s="170"/>
      <c r="N300" s="170"/>
      <c r="O300" s="170"/>
      <c r="P300" s="170"/>
      <c r="Q300" s="170">
        <f t="shared" si="19"/>
        <v>150</v>
      </c>
      <c r="R300" s="760" t="s">
        <v>1490</v>
      </c>
    </row>
    <row r="301" spans="1:18" ht="25.5" customHeight="1" x14ac:dyDescent="0.2">
      <c r="A301" s="197"/>
      <c r="B301" s="197"/>
      <c r="C301" s="217"/>
      <c r="D301" s="617" t="s">
        <v>1450</v>
      </c>
      <c r="E301" s="332">
        <v>1</v>
      </c>
      <c r="F301" s="250">
        <v>151321</v>
      </c>
      <c r="G301" s="170"/>
      <c r="H301" s="202"/>
      <c r="I301" s="170">
        <v>-3000</v>
      </c>
      <c r="J301" s="202"/>
      <c r="K301" s="202"/>
      <c r="L301" s="202">
        <v>1255</v>
      </c>
      <c r="M301" s="170">
        <v>2411</v>
      </c>
      <c r="N301" s="170"/>
      <c r="O301" s="170"/>
      <c r="P301" s="170"/>
      <c r="Q301" s="170">
        <f t="shared" si="19"/>
        <v>666</v>
      </c>
      <c r="R301" s="760" t="s">
        <v>1490</v>
      </c>
    </row>
    <row r="302" spans="1:18" ht="25.5" hidden="1" customHeight="1" x14ac:dyDescent="0.2">
      <c r="A302" s="197"/>
      <c r="B302" s="197"/>
      <c r="C302" s="217"/>
      <c r="D302" s="172" t="s">
        <v>761</v>
      </c>
      <c r="E302" s="179">
        <v>1</v>
      </c>
      <c r="F302" s="250">
        <v>151319</v>
      </c>
      <c r="G302" s="170"/>
      <c r="H302" s="202"/>
      <c r="I302" s="170"/>
      <c r="J302" s="202"/>
      <c r="K302" s="202"/>
      <c r="L302" s="202"/>
      <c r="M302" s="170"/>
      <c r="N302" s="170"/>
      <c r="O302" s="170"/>
      <c r="P302" s="170"/>
      <c r="Q302" s="170">
        <f t="shared" si="19"/>
        <v>0</v>
      </c>
      <c r="R302" s="760"/>
    </row>
    <row r="303" spans="1:18" ht="24.95" hidden="1" customHeight="1" x14ac:dyDescent="0.2">
      <c r="A303" s="197"/>
      <c r="B303" s="197"/>
      <c r="C303" s="217"/>
      <c r="D303" s="172" t="s">
        <v>763</v>
      </c>
      <c r="E303" s="241"/>
      <c r="F303" s="241"/>
      <c r="G303" s="170"/>
      <c r="H303" s="202"/>
      <c r="I303" s="170"/>
      <c r="J303" s="202"/>
      <c r="K303" s="202"/>
      <c r="L303" s="202"/>
      <c r="M303" s="170"/>
      <c r="N303" s="170"/>
      <c r="O303" s="170"/>
      <c r="P303" s="170"/>
      <c r="Q303" s="170"/>
      <c r="R303" s="760"/>
    </row>
    <row r="304" spans="1:18" ht="14.1" hidden="1" customHeight="1" x14ac:dyDescent="0.2">
      <c r="A304" s="197"/>
      <c r="B304" s="197"/>
      <c r="C304" s="217"/>
      <c r="D304" s="314" t="s">
        <v>764</v>
      </c>
      <c r="E304" s="170">
        <v>1</v>
      </c>
      <c r="F304" s="170">
        <v>151703</v>
      </c>
      <c r="G304" s="170"/>
      <c r="H304" s="202"/>
      <c r="I304" s="170"/>
      <c r="J304" s="202"/>
      <c r="K304" s="202"/>
      <c r="L304" s="202"/>
      <c r="M304" s="170"/>
      <c r="N304" s="170"/>
      <c r="O304" s="170"/>
      <c r="P304" s="170"/>
      <c r="Q304" s="170">
        <f>SUM(G304:P304)</f>
        <v>0</v>
      </c>
      <c r="R304" s="760"/>
    </row>
    <row r="305" spans="1:18" ht="14.1" customHeight="1" x14ac:dyDescent="0.2">
      <c r="A305" s="197"/>
      <c r="B305" s="197"/>
      <c r="C305" s="217"/>
      <c r="D305" s="325" t="s">
        <v>356</v>
      </c>
      <c r="E305" s="208"/>
      <c r="F305" s="208"/>
      <c r="G305" s="170"/>
      <c r="H305" s="202"/>
      <c r="I305" s="170"/>
      <c r="J305" s="202"/>
      <c r="K305" s="202"/>
      <c r="L305" s="202"/>
      <c r="M305" s="170"/>
      <c r="N305" s="170"/>
      <c r="O305" s="170"/>
      <c r="P305" s="170"/>
      <c r="Q305" s="170"/>
      <c r="R305" s="760"/>
    </row>
    <row r="306" spans="1:18" ht="14.1" customHeight="1" x14ac:dyDescent="0.2">
      <c r="A306" s="197"/>
      <c r="B306" s="197"/>
      <c r="C306" s="217"/>
      <c r="D306" s="314" t="s">
        <v>765</v>
      </c>
      <c r="E306" s="170">
        <v>1</v>
      </c>
      <c r="F306" s="170">
        <v>151601</v>
      </c>
      <c r="G306" s="170"/>
      <c r="H306" s="202"/>
      <c r="I306" s="170">
        <v>-1923</v>
      </c>
      <c r="J306" s="202"/>
      <c r="K306" s="202"/>
      <c r="L306" s="202"/>
      <c r="M306" s="170"/>
      <c r="N306" s="170"/>
      <c r="O306" s="170"/>
      <c r="P306" s="170"/>
      <c r="Q306" s="170">
        <f t="shared" ref="Q306:Q325" si="20">SUM(G306:P306)</f>
        <v>-1923</v>
      </c>
      <c r="R306" s="760" t="s">
        <v>1491</v>
      </c>
    </row>
    <row r="307" spans="1:18" ht="14.1" hidden="1" customHeight="1" x14ac:dyDescent="0.2">
      <c r="A307" s="197"/>
      <c r="B307" s="197"/>
      <c r="C307" s="217"/>
      <c r="D307" s="314" t="s">
        <v>766</v>
      </c>
      <c r="E307" s="170">
        <v>1</v>
      </c>
      <c r="F307" s="170">
        <v>151602</v>
      </c>
      <c r="G307" s="170"/>
      <c r="H307" s="202"/>
      <c r="I307" s="170"/>
      <c r="J307" s="202"/>
      <c r="K307" s="202"/>
      <c r="L307" s="202"/>
      <c r="M307" s="170"/>
      <c r="N307" s="170"/>
      <c r="O307" s="170"/>
      <c r="P307" s="170"/>
      <c r="Q307" s="170">
        <f t="shared" si="20"/>
        <v>0</v>
      </c>
      <c r="R307" s="760"/>
    </row>
    <row r="308" spans="1:18" ht="14.1" hidden="1" customHeight="1" x14ac:dyDescent="0.2">
      <c r="A308" s="197"/>
      <c r="B308" s="197"/>
      <c r="C308" s="217"/>
      <c r="D308" s="314" t="s">
        <v>767</v>
      </c>
      <c r="E308" s="170">
        <v>1</v>
      </c>
      <c r="F308" s="170">
        <v>151607</v>
      </c>
      <c r="G308" s="170"/>
      <c r="H308" s="202"/>
      <c r="I308" s="170"/>
      <c r="J308" s="202"/>
      <c r="K308" s="202"/>
      <c r="L308" s="202"/>
      <c r="M308" s="170"/>
      <c r="N308" s="170"/>
      <c r="O308" s="170"/>
      <c r="P308" s="170"/>
      <c r="Q308" s="170">
        <f t="shared" si="20"/>
        <v>0</v>
      </c>
      <c r="R308" s="760"/>
    </row>
    <row r="309" spans="1:18" ht="14.1" hidden="1" customHeight="1" x14ac:dyDescent="0.2">
      <c r="A309" s="197"/>
      <c r="B309" s="197"/>
      <c r="C309" s="217"/>
      <c r="D309" s="314" t="s">
        <v>768</v>
      </c>
      <c r="E309" s="170">
        <v>2</v>
      </c>
      <c r="F309" s="170">
        <v>151610</v>
      </c>
      <c r="G309" s="170"/>
      <c r="H309" s="202"/>
      <c r="I309" s="170"/>
      <c r="J309" s="202"/>
      <c r="K309" s="202"/>
      <c r="L309" s="202"/>
      <c r="M309" s="170"/>
      <c r="N309" s="170"/>
      <c r="O309" s="170"/>
      <c r="P309" s="170"/>
      <c r="Q309" s="170">
        <f t="shared" si="20"/>
        <v>0</v>
      </c>
      <c r="R309" s="760"/>
    </row>
    <row r="310" spans="1:18" ht="24" hidden="1" customHeight="1" x14ac:dyDescent="0.2">
      <c r="A310" s="197" t="s">
        <v>121</v>
      </c>
      <c r="B310" s="197"/>
      <c r="C310" s="217"/>
      <c r="D310" s="172" t="s">
        <v>769</v>
      </c>
      <c r="E310" s="208">
        <v>2</v>
      </c>
      <c r="F310" s="170">
        <v>151619</v>
      </c>
      <c r="G310" s="170"/>
      <c r="H310" s="202"/>
      <c r="I310" s="170"/>
      <c r="J310" s="202"/>
      <c r="K310" s="202"/>
      <c r="L310" s="202"/>
      <c r="M310" s="170"/>
      <c r="N310" s="170"/>
      <c r="O310" s="170"/>
      <c r="P310" s="170"/>
      <c r="Q310" s="170">
        <f t="shared" si="20"/>
        <v>0</v>
      </c>
      <c r="R310" s="760"/>
    </row>
    <row r="311" spans="1:18" ht="14.1" hidden="1" customHeight="1" x14ac:dyDescent="0.2">
      <c r="A311" s="197"/>
      <c r="B311" s="197"/>
      <c r="C311" s="217"/>
      <c r="D311" s="325" t="s">
        <v>770</v>
      </c>
      <c r="E311" s="176">
        <v>2</v>
      </c>
      <c r="F311" s="170">
        <v>151626</v>
      </c>
      <c r="G311" s="170"/>
      <c r="H311" s="202"/>
      <c r="I311" s="170"/>
      <c r="J311" s="202"/>
      <c r="K311" s="202"/>
      <c r="L311" s="202"/>
      <c r="M311" s="170"/>
      <c r="N311" s="170"/>
      <c r="O311" s="170"/>
      <c r="P311" s="170"/>
      <c r="Q311" s="170">
        <f t="shared" si="20"/>
        <v>0</v>
      </c>
      <c r="R311" s="760"/>
    </row>
    <row r="312" spans="1:18" ht="24.95" hidden="1" customHeight="1" x14ac:dyDescent="0.2">
      <c r="A312" s="197"/>
      <c r="B312" s="197"/>
      <c r="C312" s="217"/>
      <c r="D312" s="171" t="s">
        <v>771</v>
      </c>
      <c r="E312" s="179">
        <v>2</v>
      </c>
      <c r="F312" s="605">
        <v>151627</v>
      </c>
      <c r="G312" s="170"/>
      <c r="H312" s="202"/>
      <c r="I312" s="170"/>
      <c r="J312" s="202"/>
      <c r="K312" s="202"/>
      <c r="L312" s="202"/>
      <c r="M312" s="170"/>
      <c r="N312" s="170"/>
      <c r="O312" s="170"/>
      <c r="P312" s="170"/>
      <c r="Q312" s="170">
        <f t="shared" si="20"/>
        <v>0</v>
      </c>
      <c r="R312" s="760"/>
    </row>
    <row r="313" spans="1:18" ht="16.5" hidden="1" customHeight="1" x14ac:dyDescent="0.2">
      <c r="A313" s="197"/>
      <c r="B313" s="197"/>
      <c r="C313" s="217"/>
      <c r="D313" s="325" t="s">
        <v>772</v>
      </c>
      <c r="E313" s="179">
        <v>2</v>
      </c>
      <c r="F313" s="250">
        <v>151638</v>
      </c>
      <c r="G313" s="170"/>
      <c r="H313" s="202"/>
      <c r="I313" s="170"/>
      <c r="J313" s="202"/>
      <c r="K313" s="202"/>
      <c r="L313" s="202"/>
      <c r="M313" s="170"/>
      <c r="N313" s="170"/>
      <c r="O313" s="170"/>
      <c r="P313" s="170"/>
      <c r="Q313" s="170">
        <f t="shared" si="20"/>
        <v>0</v>
      </c>
      <c r="R313" s="760"/>
    </row>
    <row r="314" spans="1:18" ht="14.1" hidden="1" customHeight="1" x14ac:dyDescent="0.2">
      <c r="A314" s="197"/>
      <c r="B314" s="197"/>
      <c r="C314" s="217"/>
      <c r="D314" s="314" t="s">
        <v>773</v>
      </c>
      <c r="E314" s="170">
        <v>1</v>
      </c>
      <c r="F314" s="170">
        <v>151603</v>
      </c>
      <c r="G314" s="170"/>
      <c r="H314" s="202"/>
      <c r="I314" s="170"/>
      <c r="J314" s="202"/>
      <c r="K314" s="202"/>
      <c r="L314" s="202"/>
      <c r="M314" s="170"/>
      <c r="N314" s="170"/>
      <c r="O314" s="170"/>
      <c r="P314" s="170"/>
      <c r="Q314" s="170">
        <f t="shared" si="20"/>
        <v>0</v>
      </c>
      <c r="R314" s="760"/>
    </row>
    <row r="315" spans="1:18" ht="14.1" hidden="1" customHeight="1" x14ac:dyDescent="0.2">
      <c r="A315" s="197"/>
      <c r="B315" s="197"/>
      <c r="C315" s="217"/>
      <c r="D315" s="314" t="s">
        <v>774</v>
      </c>
      <c r="E315" s="170">
        <v>1</v>
      </c>
      <c r="F315" s="170">
        <v>151605</v>
      </c>
      <c r="G315" s="170"/>
      <c r="H315" s="202"/>
      <c r="I315" s="170"/>
      <c r="J315" s="202"/>
      <c r="K315" s="202"/>
      <c r="L315" s="202"/>
      <c r="M315" s="170"/>
      <c r="N315" s="170"/>
      <c r="O315" s="170"/>
      <c r="P315" s="170"/>
      <c r="Q315" s="170">
        <f t="shared" si="20"/>
        <v>0</v>
      </c>
      <c r="R315" s="760"/>
    </row>
    <row r="316" spans="1:18" ht="14.1" hidden="1" customHeight="1" x14ac:dyDescent="0.2">
      <c r="A316" s="197"/>
      <c r="B316" s="197"/>
      <c r="C316" s="217"/>
      <c r="D316" s="314" t="s">
        <v>775</v>
      </c>
      <c r="E316" s="170">
        <v>1</v>
      </c>
      <c r="F316" s="170">
        <v>151608</v>
      </c>
      <c r="G316" s="170"/>
      <c r="H316" s="202"/>
      <c r="I316" s="170"/>
      <c r="J316" s="202"/>
      <c r="K316" s="202"/>
      <c r="L316" s="202"/>
      <c r="M316" s="170"/>
      <c r="N316" s="170"/>
      <c r="O316" s="170"/>
      <c r="P316" s="326"/>
      <c r="Q316" s="170">
        <f t="shared" si="20"/>
        <v>0</v>
      </c>
      <c r="R316" s="760"/>
    </row>
    <row r="317" spans="1:18" ht="14.1" customHeight="1" x14ac:dyDescent="0.2">
      <c r="A317" s="197"/>
      <c r="B317" s="197"/>
      <c r="C317" s="217"/>
      <c r="D317" s="314" t="s">
        <v>776</v>
      </c>
      <c r="E317" s="170">
        <v>2</v>
      </c>
      <c r="F317" s="170">
        <v>151624</v>
      </c>
      <c r="G317" s="170"/>
      <c r="H317" s="202"/>
      <c r="I317" s="170">
        <v>-3600</v>
      </c>
      <c r="J317" s="202"/>
      <c r="K317" s="202">
        <v>3600</v>
      </c>
      <c r="L317" s="202"/>
      <c r="M317" s="170"/>
      <c r="N317" s="170"/>
      <c r="O317" s="170"/>
      <c r="P317" s="170"/>
      <c r="Q317" s="170">
        <f t="shared" si="20"/>
        <v>0</v>
      </c>
      <c r="R317" s="760" t="s">
        <v>1489</v>
      </c>
    </row>
    <row r="318" spans="1:18" ht="14.1" hidden="1" customHeight="1" x14ac:dyDescent="0.2">
      <c r="A318" s="197"/>
      <c r="B318" s="197"/>
      <c r="C318" s="217"/>
      <c r="D318" s="314" t="s">
        <v>777</v>
      </c>
      <c r="E318" s="170">
        <v>1</v>
      </c>
      <c r="F318" s="170">
        <v>151631</v>
      </c>
      <c r="G318" s="170"/>
      <c r="H318" s="202"/>
      <c r="I318" s="170"/>
      <c r="J318" s="202"/>
      <c r="K318" s="202"/>
      <c r="L318" s="202"/>
      <c r="M318" s="170"/>
      <c r="N318" s="170"/>
      <c r="O318" s="170"/>
      <c r="P318" s="326"/>
      <c r="Q318" s="170">
        <f t="shared" si="20"/>
        <v>0</v>
      </c>
      <c r="R318" s="760"/>
    </row>
    <row r="319" spans="1:18" ht="14.1" hidden="1" customHeight="1" x14ac:dyDescent="0.2">
      <c r="A319" s="197"/>
      <c r="B319" s="197"/>
      <c r="C319" s="217"/>
      <c r="D319" s="335" t="s">
        <v>778</v>
      </c>
      <c r="E319" s="170">
        <v>1</v>
      </c>
      <c r="F319" s="170">
        <v>151632</v>
      </c>
      <c r="G319" s="170"/>
      <c r="H319" s="202"/>
      <c r="I319" s="170"/>
      <c r="J319" s="202"/>
      <c r="K319" s="202"/>
      <c r="L319" s="202"/>
      <c r="M319" s="170"/>
      <c r="N319" s="170"/>
      <c r="O319" s="170"/>
      <c r="P319" s="326"/>
      <c r="Q319" s="170">
        <f t="shared" si="20"/>
        <v>0</v>
      </c>
      <c r="R319" s="760"/>
    </row>
    <row r="320" spans="1:18" ht="24.75" hidden="1" customHeight="1" x14ac:dyDescent="0.2">
      <c r="A320" s="197"/>
      <c r="B320" s="197"/>
      <c r="C320" s="217"/>
      <c r="D320" s="336" t="s">
        <v>779</v>
      </c>
      <c r="E320" s="170">
        <v>1</v>
      </c>
      <c r="F320" s="170">
        <v>151635</v>
      </c>
      <c r="G320" s="170"/>
      <c r="H320" s="202"/>
      <c r="I320" s="170"/>
      <c r="J320" s="202"/>
      <c r="K320" s="202"/>
      <c r="L320" s="202"/>
      <c r="M320" s="170"/>
      <c r="N320" s="170"/>
      <c r="O320" s="170"/>
      <c r="P320" s="326"/>
      <c r="Q320" s="170">
        <f t="shared" si="20"/>
        <v>0</v>
      </c>
      <c r="R320" s="760"/>
    </row>
    <row r="321" spans="1:18" ht="14.1" hidden="1" customHeight="1" x14ac:dyDescent="0.2">
      <c r="A321" s="197"/>
      <c r="B321" s="197"/>
      <c r="C321" s="217"/>
      <c r="D321" s="337" t="s">
        <v>780</v>
      </c>
      <c r="E321" s="170">
        <v>1</v>
      </c>
      <c r="F321" s="170">
        <v>151612</v>
      </c>
      <c r="G321" s="170"/>
      <c r="H321" s="202"/>
      <c r="I321" s="170"/>
      <c r="J321" s="202"/>
      <c r="K321" s="202"/>
      <c r="L321" s="202"/>
      <c r="M321" s="170"/>
      <c r="N321" s="170"/>
      <c r="O321" s="170"/>
      <c r="P321" s="326"/>
      <c r="Q321" s="170">
        <f t="shared" si="20"/>
        <v>0</v>
      </c>
      <c r="R321" s="760"/>
    </row>
    <row r="322" spans="1:18" ht="14.1" hidden="1" customHeight="1" x14ac:dyDescent="0.2">
      <c r="A322" s="197"/>
      <c r="B322" s="197"/>
      <c r="C322" s="217"/>
      <c r="D322" s="337" t="s">
        <v>781</v>
      </c>
      <c r="E322" s="170">
        <v>1</v>
      </c>
      <c r="F322" s="170">
        <v>151614</v>
      </c>
      <c r="G322" s="170"/>
      <c r="H322" s="202"/>
      <c r="I322" s="170"/>
      <c r="J322" s="202"/>
      <c r="K322" s="202"/>
      <c r="L322" s="202"/>
      <c r="M322" s="170"/>
      <c r="N322" s="170"/>
      <c r="O322" s="170"/>
      <c r="P322" s="326"/>
      <c r="Q322" s="170">
        <f t="shared" si="20"/>
        <v>0</v>
      </c>
      <c r="R322" s="760"/>
    </row>
    <row r="323" spans="1:18" ht="14.1" hidden="1" customHeight="1" x14ac:dyDescent="0.2">
      <c r="A323" s="197"/>
      <c r="B323" s="197"/>
      <c r="C323" s="217"/>
      <c r="D323" s="325" t="s">
        <v>782</v>
      </c>
      <c r="E323" s="170">
        <v>2</v>
      </c>
      <c r="F323" s="170">
        <v>162695</v>
      </c>
      <c r="G323" s="170"/>
      <c r="H323" s="202"/>
      <c r="I323" s="170"/>
      <c r="J323" s="202"/>
      <c r="K323" s="202"/>
      <c r="L323" s="202"/>
      <c r="M323" s="170"/>
      <c r="N323" s="170"/>
      <c r="O323" s="170"/>
      <c r="P323" s="326"/>
      <c r="Q323" s="170">
        <f t="shared" si="20"/>
        <v>0</v>
      </c>
      <c r="R323" s="760"/>
    </row>
    <row r="324" spans="1:18" ht="21.75" customHeight="1" x14ac:dyDescent="0.2">
      <c r="A324" s="862"/>
      <c r="B324" s="862"/>
      <c r="C324" s="856"/>
      <c r="D324" s="865" t="s">
        <v>342</v>
      </c>
      <c r="E324" s="858"/>
      <c r="F324" s="858"/>
      <c r="G324" s="823"/>
      <c r="H324" s="863"/>
      <c r="I324" s="823"/>
      <c r="J324" s="863"/>
      <c r="K324" s="863"/>
      <c r="L324" s="863"/>
      <c r="M324" s="823"/>
      <c r="N324" s="823"/>
      <c r="O324" s="823"/>
      <c r="P324" s="864"/>
      <c r="Q324" s="170"/>
      <c r="R324" s="852"/>
    </row>
    <row r="325" spans="1:18" ht="15.75" customHeight="1" x14ac:dyDescent="0.2">
      <c r="A325" s="862"/>
      <c r="B325" s="862"/>
      <c r="C325" s="856"/>
      <c r="D325" s="841" t="s">
        <v>1478</v>
      </c>
      <c r="E325" s="858"/>
      <c r="F325" s="858">
        <v>151636</v>
      </c>
      <c r="G325" s="823"/>
      <c r="H325" s="863"/>
      <c r="I325" s="823">
        <v>5</v>
      </c>
      <c r="J325" s="863"/>
      <c r="K325" s="863"/>
      <c r="L325" s="863"/>
      <c r="M325" s="823"/>
      <c r="N325" s="823"/>
      <c r="O325" s="823"/>
      <c r="P325" s="864"/>
      <c r="Q325" s="170">
        <f t="shared" si="20"/>
        <v>5</v>
      </c>
      <c r="R325" s="852" t="s">
        <v>1489</v>
      </c>
    </row>
    <row r="326" spans="1:18" ht="15.75" hidden="1" customHeight="1" x14ac:dyDescent="0.2">
      <c r="A326" s="197"/>
      <c r="B326" s="197"/>
      <c r="C326" s="217"/>
      <c r="D326" s="324" t="s">
        <v>699</v>
      </c>
      <c r="E326" s="170"/>
      <c r="F326" s="170"/>
      <c r="G326" s="170"/>
      <c r="H326" s="202"/>
      <c r="I326" s="170"/>
      <c r="J326" s="202"/>
      <c r="K326" s="202"/>
      <c r="L326" s="202"/>
      <c r="M326" s="170"/>
      <c r="N326" s="170"/>
      <c r="O326" s="170"/>
      <c r="P326" s="170"/>
      <c r="Q326" s="170"/>
      <c r="R326" s="760"/>
    </row>
    <row r="327" spans="1:18" ht="24" hidden="1" customHeight="1" x14ac:dyDescent="0.2">
      <c r="A327" s="197"/>
      <c r="B327" s="197"/>
      <c r="C327" s="217"/>
      <c r="D327" s="172" t="s">
        <v>783</v>
      </c>
      <c r="E327" s="170">
        <v>1</v>
      </c>
      <c r="F327" s="170">
        <v>151505</v>
      </c>
      <c r="G327" s="170"/>
      <c r="H327" s="202"/>
      <c r="I327" s="170"/>
      <c r="J327" s="202"/>
      <c r="K327" s="202"/>
      <c r="L327" s="202"/>
      <c r="M327" s="170"/>
      <c r="N327" s="170"/>
      <c r="O327" s="170"/>
      <c r="P327" s="170"/>
      <c r="Q327" s="170">
        <f>SUM(G327:P327)</f>
        <v>0</v>
      </c>
      <c r="R327" s="760"/>
    </row>
    <row r="328" spans="1:18" ht="12.95" customHeight="1" x14ac:dyDescent="0.2">
      <c r="A328" s="197"/>
      <c r="B328" s="197"/>
      <c r="C328" s="217"/>
      <c r="D328" s="325" t="s">
        <v>345</v>
      </c>
      <c r="E328" s="208"/>
      <c r="F328" s="208"/>
      <c r="G328" s="170"/>
      <c r="H328" s="202"/>
      <c r="I328" s="170"/>
      <c r="J328" s="202"/>
      <c r="K328" s="202"/>
      <c r="L328" s="202"/>
      <c r="M328" s="170"/>
      <c r="N328" s="170"/>
      <c r="O328" s="170"/>
      <c r="P328" s="170"/>
      <c r="Q328" s="170"/>
      <c r="R328" s="760"/>
    </row>
    <row r="329" spans="1:18" ht="14.1" hidden="1" customHeight="1" x14ac:dyDescent="0.2">
      <c r="A329" s="197"/>
      <c r="B329" s="197"/>
      <c r="C329" s="197"/>
      <c r="D329" s="314" t="s">
        <v>346</v>
      </c>
      <c r="E329" s="170">
        <v>2</v>
      </c>
      <c r="F329" s="170">
        <v>151906</v>
      </c>
      <c r="G329" s="170"/>
      <c r="H329" s="202"/>
      <c r="I329" s="170"/>
      <c r="J329" s="202"/>
      <c r="K329" s="202"/>
      <c r="L329" s="202"/>
      <c r="M329" s="170"/>
      <c r="N329" s="170"/>
      <c r="O329" s="170"/>
      <c r="P329" s="170"/>
      <c r="Q329" s="170">
        <f>SUM(G329:P329)</f>
        <v>0</v>
      </c>
      <c r="R329" s="760"/>
    </row>
    <row r="330" spans="1:18" ht="14.1" hidden="1" customHeight="1" x14ac:dyDescent="0.2">
      <c r="A330" s="197"/>
      <c r="B330" s="197"/>
      <c r="C330" s="217"/>
      <c r="D330" s="314" t="s">
        <v>784</v>
      </c>
      <c r="E330" s="170">
        <v>2</v>
      </c>
      <c r="F330" s="170">
        <v>151915</v>
      </c>
      <c r="G330" s="170"/>
      <c r="H330" s="202"/>
      <c r="I330" s="170"/>
      <c r="J330" s="202"/>
      <c r="K330" s="202"/>
      <c r="L330" s="202"/>
      <c r="M330" s="170"/>
      <c r="N330" s="170"/>
      <c r="O330" s="170"/>
      <c r="P330" s="170"/>
      <c r="Q330" s="170">
        <f>SUM(G330:P330)</f>
        <v>0</v>
      </c>
      <c r="R330" s="760"/>
    </row>
    <row r="331" spans="1:18" ht="14.1" customHeight="1" x14ac:dyDescent="0.2">
      <c r="A331" s="197"/>
      <c r="B331" s="197"/>
      <c r="C331" s="217"/>
      <c r="D331" s="314" t="s">
        <v>347</v>
      </c>
      <c r="E331" s="170">
        <v>2</v>
      </c>
      <c r="F331" s="170">
        <v>151907</v>
      </c>
      <c r="G331" s="170"/>
      <c r="H331" s="202"/>
      <c r="I331" s="170">
        <v>-10160</v>
      </c>
      <c r="J331" s="202"/>
      <c r="K331" s="202"/>
      <c r="L331" s="202"/>
      <c r="M331" s="170"/>
      <c r="N331" s="170"/>
      <c r="O331" s="170"/>
      <c r="P331" s="170"/>
      <c r="Q331" s="170">
        <f>SUM(G331:P331)</f>
        <v>-10160</v>
      </c>
      <c r="R331" s="760" t="s">
        <v>1489</v>
      </c>
    </row>
    <row r="332" spans="1:18" ht="25.5" customHeight="1" x14ac:dyDescent="0.2">
      <c r="A332" s="197"/>
      <c r="B332" s="197"/>
      <c r="C332" s="217"/>
      <c r="D332" s="172" t="s">
        <v>785</v>
      </c>
      <c r="E332" s="170">
        <v>2</v>
      </c>
      <c r="F332" s="170">
        <v>151924</v>
      </c>
      <c r="G332" s="170"/>
      <c r="H332" s="202"/>
      <c r="I332" s="170">
        <v>-290</v>
      </c>
      <c r="J332" s="202"/>
      <c r="K332" s="202"/>
      <c r="L332" s="202">
        <v>290</v>
      </c>
      <c r="M332" s="170"/>
      <c r="N332" s="170"/>
      <c r="O332" s="170"/>
      <c r="P332" s="170"/>
      <c r="Q332" s="170">
        <f>SUM(G332:P332)</f>
        <v>0</v>
      </c>
      <c r="R332" s="760" t="s">
        <v>1490</v>
      </c>
    </row>
    <row r="333" spans="1:18" ht="14.1" hidden="1" customHeight="1" x14ac:dyDescent="0.2">
      <c r="A333" s="197"/>
      <c r="B333" s="197"/>
      <c r="C333" s="217"/>
      <c r="D333" s="325" t="s">
        <v>786</v>
      </c>
      <c r="E333" s="208"/>
      <c r="F333" s="208"/>
      <c r="G333" s="170"/>
      <c r="H333" s="202"/>
      <c r="I333" s="170"/>
      <c r="J333" s="202"/>
      <c r="K333" s="202"/>
      <c r="L333" s="202"/>
      <c r="M333" s="170"/>
      <c r="N333" s="170"/>
      <c r="O333" s="170"/>
      <c r="P333" s="170"/>
      <c r="Q333" s="170"/>
      <c r="R333" s="760"/>
    </row>
    <row r="334" spans="1:18" ht="14.1" hidden="1" customHeight="1" x14ac:dyDescent="0.2">
      <c r="A334" s="197"/>
      <c r="B334" s="197"/>
      <c r="C334" s="217"/>
      <c r="D334" s="325" t="s">
        <v>787</v>
      </c>
      <c r="E334" s="208">
        <v>1</v>
      </c>
      <c r="F334" s="170">
        <v>151801</v>
      </c>
      <c r="G334" s="170"/>
      <c r="H334" s="202"/>
      <c r="I334" s="170"/>
      <c r="J334" s="202"/>
      <c r="K334" s="202"/>
      <c r="L334" s="202"/>
      <c r="M334" s="170"/>
      <c r="N334" s="170"/>
      <c r="O334" s="170"/>
      <c r="P334" s="170"/>
      <c r="Q334" s="170">
        <f>SUM(G334:P334)</f>
        <v>0</v>
      </c>
      <c r="R334" s="760"/>
    </row>
    <row r="335" spans="1:18" ht="14.1" hidden="1" customHeight="1" x14ac:dyDescent="0.2">
      <c r="A335" s="197"/>
      <c r="B335" s="197"/>
      <c r="C335" s="217"/>
      <c r="D335" s="325" t="s">
        <v>788</v>
      </c>
      <c r="E335" s="208">
        <v>1</v>
      </c>
      <c r="F335" s="170">
        <v>151803</v>
      </c>
      <c r="G335" s="170"/>
      <c r="H335" s="202"/>
      <c r="I335" s="170"/>
      <c r="J335" s="202"/>
      <c r="K335" s="202"/>
      <c r="L335" s="202"/>
      <c r="M335" s="170"/>
      <c r="N335" s="170"/>
      <c r="O335" s="170"/>
      <c r="P335" s="170"/>
      <c r="Q335" s="170">
        <f>SUM(G335:P335)</f>
        <v>0</v>
      </c>
      <c r="R335" s="760"/>
    </row>
    <row r="336" spans="1:18" ht="14.1" hidden="1" customHeight="1" x14ac:dyDescent="0.2">
      <c r="A336" s="197"/>
      <c r="B336" s="197"/>
      <c r="C336" s="217"/>
      <c r="D336" s="338" t="s">
        <v>789</v>
      </c>
      <c r="E336" s="211">
        <v>1</v>
      </c>
      <c r="F336" s="170">
        <v>151802</v>
      </c>
      <c r="G336" s="170"/>
      <c r="H336" s="202"/>
      <c r="I336" s="170"/>
      <c r="J336" s="202"/>
      <c r="K336" s="202"/>
      <c r="L336" s="202"/>
      <c r="M336" s="170"/>
      <c r="N336" s="170"/>
      <c r="O336" s="170"/>
      <c r="P336" s="170"/>
      <c r="Q336" s="170">
        <f>SUM(G336:P336)</f>
        <v>0</v>
      </c>
      <c r="R336" s="760"/>
    </row>
    <row r="337" spans="1:18" ht="14.1" customHeight="1" x14ac:dyDescent="0.2">
      <c r="A337" s="197"/>
      <c r="B337" s="197"/>
      <c r="C337" s="217"/>
      <c r="D337" s="325" t="s">
        <v>790</v>
      </c>
      <c r="E337" s="208"/>
      <c r="F337" s="208"/>
      <c r="G337" s="170"/>
      <c r="H337" s="202"/>
      <c r="I337" s="170"/>
      <c r="J337" s="202"/>
      <c r="K337" s="202"/>
      <c r="L337" s="202"/>
      <c r="M337" s="170"/>
      <c r="N337" s="170"/>
      <c r="O337" s="170"/>
      <c r="P337" s="170"/>
      <c r="Q337" s="170"/>
      <c r="R337" s="760"/>
    </row>
    <row r="338" spans="1:18" ht="14.1" customHeight="1" x14ac:dyDescent="0.2">
      <c r="A338" s="197"/>
      <c r="B338" s="197"/>
      <c r="C338" s="217"/>
      <c r="D338" s="325" t="s">
        <v>791</v>
      </c>
      <c r="E338" s="170">
        <v>1</v>
      </c>
      <c r="F338" s="170">
        <v>151201</v>
      </c>
      <c r="G338" s="170"/>
      <c r="H338" s="202"/>
      <c r="I338" s="170">
        <v>265</v>
      </c>
      <c r="J338" s="202"/>
      <c r="K338" s="202"/>
      <c r="L338" s="202"/>
      <c r="M338" s="170"/>
      <c r="N338" s="170"/>
      <c r="O338" s="170"/>
      <c r="P338" s="170"/>
      <c r="Q338" s="170">
        <f t="shared" ref="Q338:Q344" si="21">SUM(G338:P338)</f>
        <v>265</v>
      </c>
      <c r="R338" s="760" t="s">
        <v>1490</v>
      </c>
    </row>
    <row r="339" spans="1:18" ht="14.1" hidden="1" customHeight="1" x14ac:dyDescent="0.2">
      <c r="A339" s="197"/>
      <c r="B339" s="197"/>
      <c r="C339" s="217"/>
      <c r="D339" s="325" t="s">
        <v>792</v>
      </c>
      <c r="E339" s="208">
        <v>1</v>
      </c>
      <c r="F339" s="170">
        <v>151204</v>
      </c>
      <c r="G339" s="170"/>
      <c r="H339" s="202"/>
      <c r="I339" s="170"/>
      <c r="J339" s="202"/>
      <c r="K339" s="202"/>
      <c r="L339" s="202"/>
      <c r="M339" s="170"/>
      <c r="N339" s="170"/>
      <c r="O339" s="170"/>
      <c r="P339" s="170"/>
      <c r="Q339" s="170">
        <f t="shared" si="21"/>
        <v>0</v>
      </c>
      <c r="R339" s="760"/>
    </row>
    <row r="340" spans="1:18" ht="14.1" customHeight="1" x14ac:dyDescent="0.2">
      <c r="A340" s="197"/>
      <c r="B340" s="197"/>
      <c r="C340" s="217"/>
      <c r="D340" s="325" t="s">
        <v>793</v>
      </c>
      <c r="E340" s="208">
        <v>1</v>
      </c>
      <c r="F340" s="170">
        <v>151202</v>
      </c>
      <c r="G340" s="170"/>
      <c r="H340" s="202"/>
      <c r="I340" s="170">
        <v>608</v>
      </c>
      <c r="J340" s="202"/>
      <c r="K340" s="202"/>
      <c r="L340" s="202"/>
      <c r="M340" s="170"/>
      <c r="N340" s="170"/>
      <c r="O340" s="170"/>
      <c r="P340" s="170"/>
      <c r="Q340" s="170">
        <f t="shared" si="21"/>
        <v>608</v>
      </c>
      <c r="R340" s="760" t="s">
        <v>1489</v>
      </c>
    </row>
    <row r="341" spans="1:18" ht="14.1" hidden="1" customHeight="1" x14ac:dyDescent="0.2">
      <c r="A341" s="197"/>
      <c r="B341" s="197"/>
      <c r="C341" s="217"/>
      <c r="D341" s="325" t="s">
        <v>794</v>
      </c>
      <c r="E341" s="208">
        <v>1</v>
      </c>
      <c r="F341" s="170">
        <v>151205</v>
      </c>
      <c r="G341" s="170"/>
      <c r="H341" s="202"/>
      <c r="I341" s="170"/>
      <c r="J341" s="202"/>
      <c r="K341" s="202"/>
      <c r="L341" s="202"/>
      <c r="M341" s="170"/>
      <c r="N341" s="170"/>
      <c r="O341" s="170"/>
      <c r="P341" s="170"/>
      <c r="Q341" s="170">
        <f t="shared" si="21"/>
        <v>0</v>
      </c>
      <c r="R341" s="760"/>
    </row>
    <row r="342" spans="1:18" ht="23.25" hidden="1" customHeight="1" x14ac:dyDescent="0.2">
      <c r="A342" s="197"/>
      <c r="B342" s="197"/>
      <c r="C342" s="217"/>
      <c r="D342" s="171" t="s">
        <v>795</v>
      </c>
      <c r="E342" s="208">
        <v>2</v>
      </c>
      <c r="F342" s="170">
        <v>151207</v>
      </c>
      <c r="G342" s="170"/>
      <c r="H342" s="202"/>
      <c r="I342" s="170"/>
      <c r="J342" s="202"/>
      <c r="K342" s="202"/>
      <c r="L342" s="202"/>
      <c r="M342" s="170"/>
      <c r="N342" s="170"/>
      <c r="O342" s="170"/>
      <c r="P342" s="170"/>
      <c r="Q342" s="170">
        <f t="shared" si="21"/>
        <v>0</v>
      </c>
      <c r="R342" s="760"/>
    </row>
    <row r="343" spans="1:18" ht="14.1" customHeight="1" x14ac:dyDescent="0.2">
      <c r="A343" s="197"/>
      <c r="B343" s="197"/>
      <c r="C343" s="217"/>
      <c r="D343" s="325" t="s">
        <v>796</v>
      </c>
      <c r="E343" s="208">
        <v>1</v>
      </c>
      <c r="F343" s="170">
        <v>151902</v>
      </c>
      <c r="G343" s="170">
        <v>42</v>
      </c>
      <c r="H343" s="202"/>
      <c r="I343" s="170">
        <v>566</v>
      </c>
      <c r="J343" s="202"/>
      <c r="K343" s="202"/>
      <c r="L343" s="202"/>
      <c r="M343" s="170"/>
      <c r="N343" s="170"/>
      <c r="O343" s="170"/>
      <c r="P343" s="170"/>
      <c r="Q343" s="170">
        <f t="shared" si="21"/>
        <v>608</v>
      </c>
      <c r="R343" s="760" t="s">
        <v>1489</v>
      </c>
    </row>
    <row r="344" spans="1:18" ht="25.5" hidden="1" customHeight="1" x14ac:dyDescent="0.2">
      <c r="A344" s="197"/>
      <c r="B344" s="197"/>
      <c r="C344" s="217"/>
      <c r="D344" s="171" t="s">
        <v>797</v>
      </c>
      <c r="E344" s="208"/>
      <c r="F344" s="170">
        <v>151925</v>
      </c>
      <c r="G344" s="170"/>
      <c r="H344" s="202"/>
      <c r="I344" s="170"/>
      <c r="J344" s="202"/>
      <c r="K344" s="202"/>
      <c r="L344" s="202"/>
      <c r="M344" s="170"/>
      <c r="N344" s="170"/>
      <c r="O344" s="170"/>
      <c r="P344" s="170"/>
      <c r="Q344" s="170">
        <f t="shared" si="21"/>
        <v>0</v>
      </c>
      <c r="R344" s="760"/>
    </row>
    <row r="345" spans="1:18" ht="15" hidden="1" customHeight="1" x14ac:dyDescent="0.2">
      <c r="A345" s="197"/>
      <c r="B345" s="197"/>
      <c r="C345" s="217"/>
      <c r="D345" s="172" t="s">
        <v>360</v>
      </c>
      <c r="E345" s="241"/>
      <c r="F345" s="241"/>
      <c r="G345" s="170"/>
      <c r="H345" s="202"/>
      <c r="I345" s="170"/>
      <c r="J345" s="202"/>
      <c r="K345" s="202"/>
      <c r="L345" s="202"/>
      <c r="M345" s="170"/>
      <c r="N345" s="170"/>
      <c r="O345" s="170"/>
      <c r="P345" s="170"/>
      <c r="Q345" s="170"/>
      <c r="R345" s="760"/>
    </row>
    <row r="346" spans="1:18" ht="24.95" hidden="1" customHeight="1" x14ac:dyDescent="0.2">
      <c r="A346" s="197"/>
      <c r="B346" s="197"/>
      <c r="C346" s="217"/>
      <c r="D346" s="172" t="s">
        <v>798</v>
      </c>
      <c r="E346" s="179">
        <v>2</v>
      </c>
      <c r="F346" s="250">
        <v>151910</v>
      </c>
      <c r="G346" s="170"/>
      <c r="H346" s="202"/>
      <c r="I346" s="170"/>
      <c r="J346" s="202"/>
      <c r="K346" s="202"/>
      <c r="L346" s="202"/>
      <c r="M346" s="170"/>
      <c r="N346" s="170"/>
      <c r="O346" s="170"/>
      <c r="P346" s="170"/>
      <c r="Q346" s="170">
        <f>SUM(G346:P346)</f>
        <v>0</v>
      </c>
      <c r="R346" s="760"/>
    </row>
    <row r="347" spans="1:18" ht="24.75" hidden="1" customHeight="1" x14ac:dyDescent="0.2">
      <c r="A347" s="197"/>
      <c r="B347" s="197"/>
      <c r="C347" s="217"/>
      <c r="D347" s="172" t="s">
        <v>424</v>
      </c>
      <c r="E347" s="179"/>
      <c r="F347" s="241"/>
      <c r="G347" s="170"/>
      <c r="H347" s="202"/>
      <c r="I347" s="170"/>
      <c r="J347" s="202"/>
      <c r="K347" s="202"/>
      <c r="L347" s="202"/>
      <c r="M347" s="170"/>
      <c r="N347" s="170"/>
      <c r="O347" s="170"/>
      <c r="P347" s="170"/>
      <c r="Q347" s="170"/>
      <c r="R347" s="760"/>
    </row>
    <row r="348" spans="1:18" ht="24.95" hidden="1" customHeight="1" x14ac:dyDescent="0.2">
      <c r="A348" s="197"/>
      <c r="B348" s="197"/>
      <c r="C348" s="217"/>
      <c r="D348" s="172" t="s">
        <v>799</v>
      </c>
      <c r="E348" s="179">
        <v>1</v>
      </c>
      <c r="F348" s="250">
        <v>152915</v>
      </c>
      <c r="G348" s="170"/>
      <c r="H348" s="202"/>
      <c r="I348" s="170"/>
      <c r="J348" s="202"/>
      <c r="K348" s="202"/>
      <c r="L348" s="202"/>
      <c r="M348" s="170"/>
      <c r="N348" s="170"/>
      <c r="O348" s="170"/>
      <c r="P348" s="170"/>
      <c r="Q348" s="170">
        <f>SUM(G348:P348)</f>
        <v>0</v>
      </c>
      <c r="R348" s="760"/>
    </row>
    <row r="349" spans="1:18" ht="17.100000000000001" hidden="1" customHeight="1" x14ac:dyDescent="0.2">
      <c r="A349" s="197"/>
      <c r="B349" s="197"/>
      <c r="C349" s="217"/>
      <c r="D349" s="325" t="s">
        <v>800</v>
      </c>
      <c r="E349" s="208"/>
      <c r="F349" s="208"/>
      <c r="G349" s="170"/>
      <c r="H349" s="202"/>
      <c r="I349" s="170"/>
      <c r="J349" s="202"/>
      <c r="K349" s="202"/>
      <c r="L349" s="202"/>
      <c r="M349" s="170"/>
      <c r="N349" s="170"/>
      <c r="O349" s="170"/>
      <c r="P349" s="170"/>
      <c r="Q349" s="170"/>
      <c r="R349" s="760"/>
    </row>
    <row r="350" spans="1:18" ht="17.100000000000001" hidden="1" customHeight="1" x14ac:dyDescent="0.2">
      <c r="A350" s="197"/>
      <c r="B350" s="197"/>
      <c r="C350" s="217"/>
      <c r="D350" s="325" t="s">
        <v>801</v>
      </c>
      <c r="E350" s="170">
        <v>1</v>
      </c>
      <c r="F350" s="170">
        <v>151704</v>
      </c>
      <c r="G350" s="170"/>
      <c r="H350" s="202"/>
      <c r="I350" s="170"/>
      <c r="J350" s="202"/>
      <c r="K350" s="202"/>
      <c r="L350" s="202"/>
      <c r="M350" s="170"/>
      <c r="N350" s="170"/>
      <c r="O350" s="170"/>
      <c r="P350" s="170"/>
      <c r="Q350" s="170">
        <f>SUM(G350:P350)</f>
        <v>0</v>
      </c>
      <c r="R350" s="760"/>
    </row>
    <row r="351" spans="1:18" ht="17.100000000000001" customHeight="1" x14ac:dyDescent="0.2">
      <c r="A351" s="223"/>
      <c r="B351" s="223"/>
      <c r="C351" s="224"/>
      <c r="D351" s="339" t="s">
        <v>802</v>
      </c>
      <c r="E351" s="226"/>
      <c r="F351" s="227"/>
      <c r="G351" s="227">
        <f t="shared" ref="G351:Q351" si="22">SUM(G237:G350)</f>
        <v>42</v>
      </c>
      <c r="H351" s="227">
        <f t="shared" si="22"/>
        <v>0</v>
      </c>
      <c r="I351" s="227">
        <f t="shared" si="22"/>
        <v>-12400</v>
      </c>
      <c r="J351" s="227">
        <f t="shared" si="22"/>
        <v>0</v>
      </c>
      <c r="K351" s="227">
        <f t="shared" si="22"/>
        <v>3600</v>
      </c>
      <c r="L351" s="227">
        <f t="shared" si="22"/>
        <v>1545</v>
      </c>
      <c r="M351" s="227">
        <f t="shared" si="22"/>
        <v>5208</v>
      </c>
      <c r="N351" s="227">
        <f t="shared" si="22"/>
        <v>0</v>
      </c>
      <c r="O351" s="227">
        <f t="shared" si="22"/>
        <v>0</v>
      </c>
      <c r="P351" s="227">
        <f t="shared" si="22"/>
        <v>0</v>
      </c>
      <c r="Q351" s="227">
        <f t="shared" si="22"/>
        <v>-2005</v>
      </c>
      <c r="R351" s="761"/>
    </row>
    <row r="352" spans="1:18" ht="17.100000000000001" customHeight="1" x14ac:dyDescent="0.2">
      <c r="A352" s="229"/>
      <c r="B352" s="229"/>
      <c r="C352" s="229"/>
      <c r="D352" s="318" t="s">
        <v>499</v>
      </c>
      <c r="E352" s="232"/>
      <c r="F352" s="233"/>
      <c r="G352" s="233"/>
      <c r="H352" s="233"/>
      <c r="I352" s="233"/>
      <c r="J352" s="233"/>
      <c r="K352" s="233"/>
      <c r="L352" s="233"/>
      <c r="M352" s="233"/>
      <c r="N352" s="233"/>
      <c r="O352" s="233"/>
      <c r="P352" s="233"/>
      <c r="Q352" s="233"/>
      <c r="R352" s="760"/>
    </row>
    <row r="353" spans="1:18" ht="17.25" customHeight="1" x14ac:dyDescent="0.2">
      <c r="A353" s="229"/>
      <c r="B353" s="229"/>
      <c r="C353" s="340" t="s">
        <v>125</v>
      </c>
      <c r="D353" s="341" t="s">
        <v>803</v>
      </c>
      <c r="E353" s="232"/>
      <c r="F353" s="233"/>
      <c r="G353" s="233"/>
      <c r="H353" s="233"/>
      <c r="I353" s="233"/>
      <c r="J353" s="233"/>
      <c r="K353" s="233"/>
      <c r="L353" s="233"/>
      <c r="M353" s="233"/>
      <c r="N353" s="233"/>
      <c r="O353" s="233"/>
      <c r="P353" s="233"/>
      <c r="Q353" s="233"/>
      <c r="R353" s="760"/>
    </row>
    <row r="354" spans="1:18" ht="26.25" hidden="1" customHeight="1" x14ac:dyDescent="0.2">
      <c r="A354" s="229"/>
      <c r="B354" s="229"/>
      <c r="C354" s="197" t="s">
        <v>500</v>
      </c>
      <c r="D354" s="297" t="s">
        <v>804</v>
      </c>
      <c r="E354" s="610"/>
      <c r="F354" s="170">
        <v>154132</v>
      </c>
      <c r="G354" s="233"/>
      <c r="H354" s="233"/>
      <c r="I354" s="233"/>
      <c r="J354" s="233"/>
      <c r="K354" s="233"/>
      <c r="L354" s="233"/>
      <c r="M354" s="170"/>
      <c r="N354" s="170"/>
      <c r="O354" s="170"/>
      <c r="P354" s="170"/>
      <c r="Q354" s="170">
        <f t="shared" ref="Q354:Q361" si="23">SUM(G354:P354)</f>
        <v>0</v>
      </c>
      <c r="R354" s="760"/>
    </row>
    <row r="355" spans="1:18" ht="17.100000000000001" hidden="1" customHeight="1" x14ac:dyDescent="0.2">
      <c r="A355" s="229"/>
      <c r="B355" s="229"/>
      <c r="C355" s="197" t="s">
        <v>805</v>
      </c>
      <c r="D355" s="678" t="s">
        <v>806</v>
      </c>
      <c r="E355" s="610"/>
      <c r="F355" s="170">
        <v>152130</v>
      </c>
      <c r="G355" s="233"/>
      <c r="H355" s="233"/>
      <c r="I355" s="233"/>
      <c r="J355" s="233"/>
      <c r="K355" s="233"/>
      <c r="L355" s="170"/>
      <c r="M355" s="170"/>
      <c r="N355" s="170"/>
      <c r="O355" s="170"/>
      <c r="P355" s="170"/>
      <c r="Q355" s="170">
        <f t="shared" si="23"/>
        <v>0</v>
      </c>
      <c r="R355" s="760"/>
    </row>
    <row r="356" spans="1:18" ht="17.100000000000001" customHeight="1" x14ac:dyDescent="0.2">
      <c r="A356" s="229"/>
      <c r="B356" s="229"/>
      <c r="C356" s="197" t="s">
        <v>807</v>
      </c>
      <c r="D356" s="681" t="s">
        <v>808</v>
      </c>
      <c r="E356" s="610"/>
      <c r="F356" s="170">
        <v>152112</v>
      </c>
      <c r="G356" s="233"/>
      <c r="H356" s="233"/>
      <c r="I356" s="233"/>
      <c r="J356" s="233"/>
      <c r="K356" s="233"/>
      <c r="L356" s="170">
        <v>-3346</v>
      </c>
      <c r="M356" s="170"/>
      <c r="N356" s="170"/>
      <c r="O356" s="170"/>
      <c r="P356" s="170"/>
      <c r="Q356" s="170">
        <f t="shared" si="23"/>
        <v>-3346</v>
      </c>
      <c r="R356" s="760" t="s">
        <v>1490</v>
      </c>
    </row>
    <row r="357" spans="1:18" ht="17.100000000000001" hidden="1" customHeight="1" x14ac:dyDescent="0.2">
      <c r="A357" s="229"/>
      <c r="B357" s="229"/>
      <c r="C357" s="197" t="s">
        <v>809</v>
      </c>
      <c r="D357" s="679" t="s">
        <v>810</v>
      </c>
      <c r="E357" s="610"/>
      <c r="F357" s="170">
        <v>152131</v>
      </c>
      <c r="G357" s="233"/>
      <c r="H357" s="233"/>
      <c r="I357" s="233"/>
      <c r="J357" s="233"/>
      <c r="K357" s="233"/>
      <c r="L357" s="170"/>
      <c r="M357" s="170"/>
      <c r="N357" s="170"/>
      <c r="O357" s="170"/>
      <c r="P357" s="170"/>
      <c r="Q357" s="170">
        <f t="shared" si="23"/>
        <v>0</v>
      </c>
      <c r="R357" s="760"/>
    </row>
    <row r="358" spans="1:18" ht="17.100000000000001" hidden="1" customHeight="1" x14ac:dyDescent="0.2">
      <c r="A358" s="229"/>
      <c r="B358" s="229"/>
      <c r="C358" s="197" t="s">
        <v>811</v>
      </c>
      <c r="D358" s="680" t="s">
        <v>812</v>
      </c>
      <c r="E358" s="610"/>
      <c r="F358" s="170">
        <v>152132</v>
      </c>
      <c r="G358" s="233"/>
      <c r="H358" s="233"/>
      <c r="I358" s="233"/>
      <c r="J358" s="233"/>
      <c r="K358" s="233"/>
      <c r="L358" s="170"/>
      <c r="M358" s="170"/>
      <c r="N358" s="170"/>
      <c r="O358" s="170"/>
      <c r="P358" s="170"/>
      <c r="Q358" s="170">
        <f t="shared" si="23"/>
        <v>0</v>
      </c>
      <c r="R358" s="760"/>
    </row>
    <row r="359" spans="1:18" ht="17.100000000000001" hidden="1" customHeight="1" x14ac:dyDescent="0.2">
      <c r="A359" s="229"/>
      <c r="B359" s="229"/>
      <c r="C359" s="197" t="s">
        <v>813</v>
      </c>
      <c r="D359" s="680" t="s">
        <v>814</v>
      </c>
      <c r="E359" s="610"/>
      <c r="F359" s="170">
        <v>152133</v>
      </c>
      <c r="G359" s="233"/>
      <c r="H359" s="233"/>
      <c r="I359" s="233"/>
      <c r="J359" s="233"/>
      <c r="K359" s="233"/>
      <c r="L359" s="170"/>
      <c r="M359" s="170"/>
      <c r="N359" s="170"/>
      <c r="O359" s="170"/>
      <c r="P359" s="170"/>
      <c r="Q359" s="170">
        <f t="shared" si="23"/>
        <v>0</v>
      </c>
      <c r="R359" s="760"/>
    </row>
    <row r="360" spans="1:18" ht="17.100000000000001" hidden="1" customHeight="1" x14ac:dyDescent="0.2">
      <c r="A360" s="229"/>
      <c r="B360" s="229"/>
      <c r="C360" s="197" t="s">
        <v>815</v>
      </c>
      <c r="D360" s="359" t="s">
        <v>816</v>
      </c>
      <c r="E360" s="610"/>
      <c r="F360" s="170">
        <v>152134</v>
      </c>
      <c r="G360" s="233"/>
      <c r="H360" s="233"/>
      <c r="I360" s="233"/>
      <c r="J360" s="233"/>
      <c r="K360" s="233"/>
      <c r="L360" s="170"/>
      <c r="M360" s="170"/>
      <c r="N360" s="170"/>
      <c r="O360" s="170"/>
      <c r="P360" s="170"/>
      <c r="Q360" s="170">
        <f t="shared" si="23"/>
        <v>0</v>
      </c>
      <c r="R360" s="760"/>
    </row>
    <row r="361" spans="1:18" ht="17.100000000000001" hidden="1" customHeight="1" x14ac:dyDescent="0.2">
      <c r="A361" s="229"/>
      <c r="B361" s="229"/>
      <c r="C361" s="197" t="s">
        <v>817</v>
      </c>
      <c r="D361" s="343" t="s">
        <v>818</v>
      </c>
      <c r="E361" s="610"/>
      <c r="F361" s="170">
        <v>152135</v>
      </c>
      <c r="G361" s="233"/>
      <c r="H361" s="233"/>
      <c r="I361" s="233"/>
      <c r="J361" s="233"/>
      <c r="K361" s="233"/>
      <c r="L361" s="170"/>
      <c r="M361" s="170"/>
      <c r="N361" s="170"/>
      <c r="O361" s="170"/>
      <c r="P361" s="170"/>
      <c r="Q361" s="170">
        <f t="shared" si="23"/>
        <v>0</v>
      </c>
      <c r="R361" s="760"/>
    </row>
    <row r="362" spans="1:18" ht="17.100000000000001" hidden="1" customHeight="1" x14ac:dyDescent="0.2">
      <c r="A362" s="229"/>
      <c r="B362" s="229"/>
      <c r="C362" s="344"/>
      <c r="D362" s="345" t="s">
        <v>502</v>
      </c>
      <c r="E362" s="232"/>
      <c r="F362" s="233"/>
      <c r="G362" s="170"/>
      <c r="H362" s="170"/>
      <c r="I362" s="170"/>
      <c r="J362" s="170"/>
      <c r="K362" s="170"/>
      <c r="L362" s="170"/>
      <c r="M362" s="170"/>
      <c r="N362" s="170"/>
      <c r="O362" s="170"/>
      <c r="P362" s="170"/>
      <c r="Q362" s="170"/>
      <c r="R362" s="760"/>
    </row>
    <row r="363" spans="1:18" ht="17.100000000000001" hidden="1" customHeight="1" x14ac:dyDescent="0.2">
      <c r="A363" s="229"/>
      <c r="B363" s="340"/>
      <c r="C363" s="346" t="s">
        <v>503</v>
      </c>
      <c r="D363" s="245" t="s">
        <v>1388</v>
      </c>
      <c r="E363" s="610"/>
      <c r="F363" s="170">
        <v>154103</v>
      </c>
      <c r="G363" s="170"/>
      <c r="H363" s="170"/>
      <c r="I363" s="170"/>
      <c r="J363" s="170"/>
      <c r="K363" s="170"/>
      <c r="L363" s="170"/>
      <c r="M363" s="170"/>
      <c r="N363" s="170"/>
      <c r="O363" s="170"/>
      <c r="P363" s="170"/>
      <c r="Q363" s="170">
        <f>SUM(G363:P363)</f>
        <v>0</v>
      </c>
      <c r="R363" s="760"/>
    </row>
    <row r="364" spans="1:18" ht="17.100000000000001" hidden="1" customHeight="1" x14ac:dyDescent="0.2">
      <c r="A364" s="229"/>
      <c r="B364" s="340"/>
      <c r="C364" s="346" t="s">
        <v>505</v>
      </c>
      <c r="D364" s="347" t="s">
        <v>819</v>
      </c>
      <c r="E364" s="232"/>
      <c r="F364" s="170">
        <v>152128</v>
      </c>
      <c r="G364" s="170"/>
      <c r="H364" s="170"/>
      <c r="I364" s="170"/>
      <c r="J364" s="170"/>
      <c r="K364" s="170"/>
      <c r="L364" s="170"/>
      <c r="M364" s="170"/>
      <c r="N364" s="170"/>
      <c r="O364" s="170"/>
      <c r="P364" s="170"/>
      <c r="Q364" s="170">
        <f>SUM(G364:P364)</f>
        <v>0</v>
      </c>
      <c r="R364" s="760"/>
    </row>
    <row r="365" spans="1:18" ht="17.100000000000001" hidden="1" customHeight="1" x14ac:dyDescent="0.2">
      <c r="A365" s="229"/>
      <c r="B365" s="340"/>
      <c r="C365" s="346" t="s">
        <v>820</v>
      </c>
      <c r="D365" s="347" t="s">
        <v>821</v>
      </c>
      <c r="E365" s="232"/>
      <c r="F365" s="170">
        <v>152129</v>
      </c>
      <c r="G365" s="170"/>
      <c r="H365" s="170"/>
      <c r="I365" s="170"/>
      <c r="J365" s="170"/>
      <c r="K365" s="170"/>
      <c r="L365" s="170"/>
      <c r="M365" s="170"/>
      <c r="N365" s="170"/>
      <c r="O365" s="170"/>
      <c r="P365" s="170"/>
      <c r="Q365" s="170">
        <f>SUM(G365:P365)</f>
        <v>0</v>
      </c>
      <c r="R365" s="760"/>
    </row>
    <row r="366" spans="1:18" ht="26.25" customHeight="1" x14ac:dyDescent="0.2">
      <c r="A366" s="229"/>
      <c r="B366" s="340"/>
      <c r="C366" s="346" t="s">
        <v>822</v>
      </c>
      <c r="D366" s="619" t="s">
        <v>823</v>
      </c>
      <c r="E366" s="358"/>
      <c r="F366" s="170">
        <v>152122</v>
      </c>
      <c r="G366" s="170"/>
      <c r="H366" s="170"/>
      <c r="I366" s="170"/>
      <c r="J366" s="170"/>
      <c r="K366" s="170"/>
      <c r="L366" s="170">
        <v>-245</v>
      </c>
      <c r="M366" s="170"/>
      <c r="N366" s="170"/>
      <c r="O366" s="170"/>
      <c r="P366" s="170"/>
      <c r="Q366" s="170">
        <f>SUM(G366:P366)</f>
        <v>-245</v>
      </c>
      <c r="R366" s="760" t="s">
        <v>1490</v>
      </c>
    </row>
    <row r="367" spans="1:18" ht="17.100000000000001" customHeight="1" x14ac:dyDescent="0.2">
      <c r="A367" s="229"/>
      <c r="B367" s="229"/>
      <c r="C367" s="346" t="s">
        <v>824</v>
      </c>
      <c r="D367" s="620" t="s">
        <v>825</v>
      </c>
      <c r="E367" s="232"/>
      <c r="F367" s="170">
        <v>154128</v>
      </c>
      <c r="G367" s="170"/>
      <c r="H367" s="170"/>
      <c r="I367" s="170"/>
      <c r="J367" s="170"/>
      <c r="K367" s="170"/>
      <c r="L367" s="170"/>
      <c r="M367" s="170">
        <v>216</v>
      </c>
      <c r="N367" s="170"/>
      <c r="O367" s="170"/>
      <c r="P367" s="170"/>
      <c r="Q367" s="170">
        <f>SUM(G367:P367)</f>
        <v>216</v>
      </c>
      <c r="R367" s="760" t="s">
        <v>1490</v>
      </c>
    </row>
    <row r="368" spans="1:18" ht="17.100000000000001" hidden="1" customHeight="1" x14ac:dyDescent="0.2">
      <c r="A368" s="229"/>
      <c r="B368" s="229"/>
      <c r="C368" s="349" t="s">
        <v>124</v>
      </c>
      <c r="D368" s="350" t="s">
        <v>826</v>
      </c>
      <c r="E368" s="232"/>
      <c r="F368" s="170"/>
      <c r="G368" s="170"/>
      <c r="H368" s="170"/>
      <c r="I368" s="170"/>
      <c r="J368" s="170"/>
      <c r="K368" s="170"/>
      <c r="L368" s="170"/>
      <c r="M368" s="170"/>
      <c r="N368" s="170"/>
      <c r="O368" s="170"/>
      <c r="P368" s="170"/>
      <c r="Q368" s="170"/>
      <c r="R368" s="760"/>
    </row>
    <row r="369" spans="1:18" ht="17.100000000000001" hidden="1" customHeight="1" x14ac:dyDescent="0.2">
      <c r="A369" s="715"/>
      <c r="B369" s="715"/>
      <c r="C369" s="803" t="s">
        <v>1062</v>
      </c>
      <c r="D369" s="804" t="s">
        <v>1451</v>
      </c>
      <c r="E369" s="414"/>
      <c r="F369" s="193">
        <v>154202</v>
      </c>
      <c r="G369" s="712"/>
      <c r="H369" s="712"/>
      <c r="I369" s="712"/>
      <c r="J369" s="712"/>
      <c r="K369" s="712"/>
      <c r="L369" s="712"/>
      <c r="M369" s="712"/>
      <c r="N369" s="712"/>
      <c r="O369" s="712"/>
      <c r="P369" s="712"/>
      <c r="Q369" s="170">
        <f>SUM(G369:P369)</f>
        <v>0</v>
      </c>
      <c r="R369" s="760"/>
    </row>
    <row r="370" spans="1:18" ht="17.100000000000001" hidden="1" customHeight="1" x14ac:dyDescent="0.2">
      <c r="A370" s="229"/>
      <c r="B370" s="229"/>
      <c r="C370" s="351" t="s">
        <v>126</v>
      </c>
      <c r="D370" s="621" t="s">
        <v>827</v>
      </c>
      <c r="E370" s="232"/>
      <c r="F370" s="233"/>
      <c r="G370" s="170"/>
      <c r="H370" s="170"/>
      <c r="I370" s="170"/>
      <c r="J370" s="170"/>
      <c r="K370" s="170"/>
      <c r="L370" s="170"/>
      <c r="M370" s="170"/>
      <c r="N370" s="170"/>
      <c r="O370" s="170"/>
      <c r="P370" s="170"/>
      <c r="Q370" s="170"/>
      <c r="R370" s="760"/>
    </row>
    <row r="371" spans="1:18" ht="17.100000000000001" hidden="1" customHeight="1" x14ac:dyDescent="0.2">
      <c r="A371" s="229"/>
      <c r="B371" s="229"/>
      <c r="C371" s="352" t="s">
        <v>668</v>
      </c>
      <c r="D371" s="245" t="s">
        <v>828</v>
      </c>
      <c r="E371" s="610"/>
      <c r="F371" s="170">
        <v>152346</v>
      </c>
      <c r="G371" s="170"/>
      <c r="H371" s="170"/>
      <c r="I371" s="170"/>
      <c r="J371" s="170"/>
      <c r="K371" s="170"/>
      <c r="L371" s="170"/>
      <c r="M371" s="170"/>
      <c r="N371" s="170"/>
      <c r="O371" s="170"/>
      <c r="P371" s="170"/>
      <c r="Q371" s="170">
        <f t="shared" ref="Q371:Q376" si="24">SUM(G371:P371)</f>
        <v>0</v>
      </c>
      <c r="R371" s="760"/>
    </row>
    <row r="372" spans="1:18" ht="17.100000000000001" hidden="1" customHeight="1" x14ac:dyDescent="0.2">
      <c r="A372" s="229"/>
      <c r="B372" s="229"/>
      <c r="C372" s="352" t="s">
        <v>669</v>
      </c>
      <c r="D372" s="245" t="s">
        <v>829</v>
      </c>
      <c r="E372" s="232"/>
      <c r="F372" s="170">
        <v>152304</v>
      </c>
      <c r="G372" s="170"/>
      <c r="H372" s="170"/>
      <c r="I372" s="170"/>
      <c r="J372" s="170"/>
      <c r="K372" s="170"/>
      <c r="L372" s="170"/>
      <c r="M372" s="170"/>
      <c r="N372" s="170"/>
      <c r="O372" s="170"/>
      <c r="P372" s="170"/>
      <c r="Q372" s="170">
        <f t="shared" si="24"/>
        <v>0</v>
      </c>
      <c r="R372" s="760"/>
    </row>
    <row r="373" spans="1:18" ht="17.100000000000001" hidden="1" customHeight="1" x14ac:dyDescent="0.2">
      <c r="A373" s="229"/>
      <c r="B373" s="229"/>
      <c r="C373" s="352" t="s">
        <v>830</v>
      </c>
      <c r="D373" s="297" t="s">
        <v>831</v>
      </c>
      <c r="E373" s="610"/>
      <c r="F373" s="170">
        <v>152347</v>
      </c>
      <c r="G373" s="170"/>
      <c r="H373" s="170"/>
      <c r="I373" s="170"/>
      <c r="J373" s="170"/>
      <c r="K373" s="170"/>
      <c r="L373" s="170"/>
      <c r="M373" s="170"/>
      <c r="N373" s="170"/>
      <c r="O373" s="170"/>
      <c r="P373" s="170"/>
      <c r="Q373" s="170">
        <f t="shared" si="24"/>
        <v>0</v>
      </c>
      <c r="R373" s="760"/>
    </row>
    <row r="374" spans="1:18" ht="18.75" hidden="1" customHeight="1" x14ac:dyDescent="0.2">
      <c r="A374" s="229"/>
      <c r="B374" s="229"/>
      <c r="C374" s="352" t="s">
        <v>832</v>
      </c>
      <c r="D374" s="590" t="s">
        <v>833</v>
      </c>
      <c r="E374" s="610"/>
      <c r="F374" s="170">
        <v>152348</v>
      </c>
      <c r="G374" s="170"/>
      <c r="H374" s="170"/>
      <c r="I374" s="170"/>
      <c r="J374" s="170"/>
      <c r="K374" s="170"/>
      <c r="L374" s="170"/>
      <c r="M374" s="170"/>
      <c r="N374" s="170"/>
      <c r="O374" s="170"/>
      <c r="P374" s="170"/>
      <c r="Q374" s="170">
        <f t="shared" si="24"/>
        <v>0</v>
      </c>
      <c r="R374" s="760"/>
    </row>
    <row r="375" spans="1:18" ht="14.25" hidden="1" customHeight="1" x14ac:dyDescent="0.2">
      <c r="A375" s="229"/>
      <c r="B375" s="229"/>
      <c r="C375" s="352" t="s">
        <v>834</v>
      </c>
      <c r="D375" s="353" t="s">
        <v>835</v>
      </c>
      <c r="E375" s="610"/>
      <c r="F375" s="170">
        <v>152349</v>
      </c>
      <c r="G375" s="170"/>
      <c r="H375" s="170"/>
      <c r="I375" s="170"/>
      <c r="J375" s="170"/>
      <c r="K375" s="170"/>
      <c r="L375" s="170"/>
      <c r="M375" s="170"/>
      <c r="N375" s="170"/>
      <c r="O375" s="170"/>
      <c r="P375" s="170"/>
      <c r="Q375" s="170">
        <f t="shared" si="24"/>
        <v>0</v>
      </c>
      <c r="R375" s="760"/>
    </row>
    <row r="376" spans="1:18" ht="17.100000000000001" hidden="1" customHeight="1" x14ac:dyDescent="0.2">
      <c r="A376" s="229"/>
      <c r="B376" s="229"/>
      <c r="C376" s="352" t="s">
        <v>836</v>
      </c>
      <c r="D376" s="353" t="s">
        <v>837</v>
      </c>
      <c r="E376" s="610"/>
      <c r="F376" s="170">
        <v>152350</v>
      </c>
      <c r="G376" s="170"/>
      <c r="H376" s="170"/>
      <c r="I376" s="170"/>
      <c r="J376" s="170"/>
      <c r="K376" s="170"/>
      <c r="L376" s="170"/>
      <c r="M376" s="170"/>
      <c r="N376" s="170"/>
      <c r="O376" s="170"/>
      <c r="P376" s="170"/>
      <c r="Q376" s="170">
        <f t="shared" si="24"/>
        <v>0</v>
      </c>
      <c r="R376" s="760"/>
    </row>
    <row r="377" spans="1:18" ht="17.100000000000001" hidden="1" customHeight="1" x14ac:dyDescent="0.2">
      <c r="A377" s="229"/>
      <c r="B377" s="229"/>
      <c r="C377" s="354"/>
      <c r="D377" s="314" t="s">
        <v>502</v>
      </c>
      <c r="E377" s="232"/>
      <c r="F377" s="170"/>
      <c r="G377" s="170"/>
      <c r="H377" s="170"/>
      <c r="I377" s="170"/>
      <c r="J377" s="170"/>
      <c r="K377" s="170"/>
      <c r="L377" s="170"/>
      <c r="M377" s="170"/>
      <c r="N377" s="170"/>
      <c r="O377" s="170"/>
      <c r="P377" s="170"/>
      <c r="Q377" s="170"/>
      <c r="R377" s="760"/>
    </row>
    <row r="378" spans="1:18" ht="17.100000000000001" hidden="1" customHeight="1" x14ac:dyDescent="0.2">
      <c r="A378" s="229"/>
      <c r="B378" s="229"/>
      <c r="C378" s="355" t="s">
        <v>838</v>
      </c>
      <c r="D378" s="356" t="s">
        <v>839</v>
      </c>
      <c r="E378" s="232"/>
      <c r="F378" s="170">
        <v>152301</v>
      </c>
      <c r="G378" s="170"/>
      <c r="H378" s="170"/>
      <c r="I378" s="170"/>
      <c r="J378" s="170"/>
      <c r="K378" s="170"/>
      <c r="L378" s="170"/>
      <c r="M378" s="170"/>
      <c r="N378" s="170"/>
      <c r="O378" s="170"/>
      <c r="P378" s="170"/>
      <c r="Q378" s="170">
        <f>SUM(G378:P378)</f>
        <v>0</v>
      </c>
      <c r="R378" s="760"/>
    </row>
    <row r="379" spans="1:18" ht="17.100000000000001" hidden="1" customHeight="1" x14ac:dyDescent="0.2">
      <c r="A379" s="229"/>
      <c r="B379" s="229"/>
      <c r="C379" s="355" t="s">
        <v>840</v>
      </c>
      <c r="D379" s="245" t="s">
        <v>841</v>
      </c>
      <c r="E379" s="618"/>
      <c r="F379" s="170">
        <v>152302</v>
      </c>
      <c r="G379" s="170"/>
      <c r="H379" s="170"/>
      <c r="I379" s="170"/>
      <c r="J379" s="170"/>
      <c r="K379" s="170"/>
      <c r="L379" s="170"/>
      <c r="M379" s="170"/>
      <c r="N379" s="170"/>
      <c r="O379" s="170"/>
      <c r="P379" s="170"/>
      <c r="Q379" s="170">
        <f>SUM(G379:P379)</f>
        <v>0</v>
      </c>
      <c r="R379" s="760"/>
    </row>
    <row r="380" spans="1:18" ht="29.25" hidden="1" customHeight="1" x14ac:dyDescent="0.2">
      <c r="A380" s="229"/>
      <c r="B380" s="229"/>
      <c r="C380" s="355" t="s">
        <v>842</v>
      </c>
      <c r="D380" s="245" t="s">
        <v>843</v>
      </c>
      <c r="E380" s="618"/>
      <c r="F380" s="170">
        <v>152307</v>
      </c>
      <c r="G380" s="170"/>
      <c r="H380" s="170"/>
      <c r="I380" s="170"/>
      <c r="J380" s="170"/>
      <c r="K380" s="170"/>
      <c r="L380" s="170"/>
      <c r="M380" s="170"/>
      <c r="N380" s="170"/>
      <c r="O380" s="170"/>
      <c r="P380" s="170"/>
      <c r="Q380" s="170">
        <f>SUM(G380:P380)</f>
        <v>0</v>
      </c>
      <c r="R380" s="760"/>
    </row>
    <row r="381" spans="1:18" ht="17.100000000000001" hidden="1" customHeight="1" x14ac:dyDescent="0.2">
      <c r="A381" s="229"/>
      <c r="B381" s="229"/>
      <c r="C381" s="355" t="s">
        <v>844</v>
      </c>
      <c r="D381" s="245" t="s">
        <v>845</v>
      </c>
      <c r="E381" s="618"/>
      <c r="F381" s="170">
        <v>152341</v>
      </c>
      <c r="G381" s="170"/>
      <c r="H381" s="170"/>
      <c r="I381" s="170"/>
      <c r="J381" s="170"/>
      <c r="K381" s="170"/>
      <c r="L381" s="170"/>
      <c r="M381" s="170"/>
      <c r="N381" s="170"/>
      <c r="O381" s="170"/>
      <c r="P381" s="170"/>
      <c r="Q381" s="170">
        <f>SUM(G381:P381)</f>
        <v>0</v>
      </c>
      <c r="R381" s="760"/>
    </row>
    <row r="382" spans="1:18" ht="17.100000000000001" customHeight="1" x14ac:dyDescent="0.2">
      <c r="A382" s="229"/>
      <c r="B382" s="229"/>
      <c r="C382" s="354" t="s">
        <v>127</v>
      </c>
      <c r="D382" s="357" t="s">
        <v>846</v>
      </c>
      <c r="E382" s="358"/>
      <c r="F382" s="170"/>
      <c r="G382" s="170"/>
      <c r="H382" s="170"/>
      <c r="I382" s="170"/>
      <c r="J382" s="170"/>
      <c r="K382" s="170"/>
      <c r="L382" s="170"/>
      <c r="M382" s="170"/>
      <c r="N382" s="170"/>
      <c r="O382" s="170"/>
      <c r="P382" s="170"/>
      <c r="Q382" s="170"/>
      <c r="R382" s="760"/>
    </row>
    <row r="383" spans="1:18" ht="22.5" hidden="1" customHeight="1" x14ac:dyDescent="0.2">
      <c r="A383" s="229"/>
      <c r="B383" s="229"/>
      <c r="C383" s="352" t="s">
        <v>847</v>
      </c>
      <c r="D383" s="353" t="s">
        <v>852</v>
      </c>
      <c r="E383" s="358"/>
      <c r="F383" s="170">
        <v>151419</v>
      </c>
      <c r="G383" s="170"/>
      <c r="H383" s="170"/>
      <c r="I383" s="170"/>
      <c r="J383" s="170"/>
      <c r="K383" s="170"/>
      <c r="L383" s="170"/>
      <c r="M383" s="170"/>
      <c r="N383" s="170"/>
      <c r="O383" s="170"/>
      <c r="P383" s="170"/>
      <c r="Q383" s="170">
        <f t="shared" ref="Q383:Q414" si="25">SUM(G383:P383)</f>
        <v>0</v>
      </c>
      <c r="R383" s="760"/>
    </row>
    <row r="384" spans="1:18" ht="17.25" hidden="1" customHeight="1" x14ac:dyDescent="0.2">
      <c r="A384" s="229"/>
      <c r="B384" s="229"/>
      <c r="C384" s="352" t="s">
        <v>849</v>
      </c>
      <c r="D384" s="353" t="s">
        <v>854</v>
      </c>
      <c r="E384" s="610"/>
      <c r="F384" s="170">
        <v>155481</v>
      </c>
      <c r="G384" s="170"/>
      <c r="H384" s="170"/>
      <c r="I384" s="170"/>
      <c r="J384" s="170"/>
      <c r="K384" s="170"/>
      <c r="L384" s="170"/>
      <c r="M384" s="170"/>
      <c r="N384" s="170"/>
      <c r="O384" s="170"/>
      <c r="P384" s="170"/>
      <c r="Q384" s="170">
        <f t="shared" si="25"/>
        <v>0</v>
      </c>
      <c r="R384" s="760"/>
    </row>
    <row r="385" spans="1:18" ht="22.5" hidden="1" customHeight="1" x14ac:dyDescent="0.2">
      <c r="A385" s="229"/>
      <c r="B385" s="229"/>
      <c r="C385" s="352" t="s">
        <v>851</v>
      </c>
      <c r="D385" s="353" t="s">
        <v>858</v>
      </c>
      <c r="E385" s="610"/>
      <c r="F385" s="170">
        <v>155483</v>
      </c>
      <c r="G385" s="170"/>
      <c r="H385" s="170"/>
      <c r="I385" s="170"/>
      <c r="J385" s="170"/>
      <c r="K385" s="170"/>
      <c r="L385" s="170"/>
      <c r="M385" s="170"/>
      <c r="N385" s="170"/>
      <c r="O385" s="170"/>
      <c r="P385" s="170"/>
      <c r="Q385" s="170">
        <f t="shared" si="25"/>
        <v>0</v>
      </c>
      <c r="R385" s="760"/>
    </row>
    <row r="386" spans="1:18" ht="17.25" hidden="1" customHeight="1" x14ac:dyDescent="0.2">
      <c r="A386" s="229"/>
      <c r="B386" s="229"/>
      <c r="C386" s="352" t="s">
        <v>853</v>
      </c>
      <c r="D386" s="329" t="s">
        <v>860</v>
      </c>
      <c r="E386" s="610"/>
      <c r="F386" s="170">
        <v>155482</v>
      </c>
      <c r="G386" s="170"/>
      <c r="H386" s="170"/>
      <c r="I386" s="170"/>
      <c r="J386" s="170"/>
      <c r="K386" s="170"/>
      <c r="L386" s="170"/>
      <c r="M386" s="170"/>
      <c r="N386" s="170"/>
      <c r="O386" s="170"/>
      <c r="P386" s="170"/>
      <c r="Q386" s="170">
        <f t="shared" si="25"/>
        <v>0</v>
      </c>
      <c r="R386" s="760"/>
    </row>
    <row r="387" spans="1:18" ht="17.25" hidden="1" customHeight="1" x14ac:dyDescent="0.2">
      <c r="A387" s="229"/>
      <c r="B387" s="229"/>
      <c r="C387" s="352" t="s">
        <v>855</v>
      </c>
      <c r="D387" s="382" t="s">
        <v>862</v>
      </c>
      <c r="E387" s="610"/>
      <c r="F387" s="170">
        <v>152420</v>
      </c>
      <c r="G387" s="170"/>
      <c r="H387" s="170"/>
      <c r="I387" s="170"/>
      <c r="J387" s="170"/>
      <c r="K387" s="170"/>
      <c r="L387" s="170"/>
      <c r="M387" s="170"/>
      <c r="N387" s="170"/>
      <c r="O387" s="170"/>
      <c r="P387" s="170"/>
      <c r="Q387" s="170">
        <f t="shared" si="25"/>
        <v>0</v>
      </c>
      <c r="R387" s="760"/>
    </row>
    <row r="388" spans="1:18" ht="29.25" hidden="1" customHeight="1" x14ac:dyDescent="0.2">
      <c r="A388" s="229"/>
      <c r="B388" s="229"/>
      <c r="C388" s="352" t="s">
        <v>857</v>
      </c>
      <c r="D388" s="382" t="s">
        <v>864</v>
      </c>
      <c r="E388" s="610"/>
      <c r="F388" s="170">
        <v>155484</v>
      </c>
      <c r="G388" s="170"/>
      <c r="H388" s="170"/>
      <c r="I388" s="170"/>
      <c r="J388" s="170"/>
      <c r="K388" s="170"/>
      <c r="L388" s="170"/>
      <c r="M388" s="170"/>
      <c r="N388" s="170"/>
      <c r="O388" s="170"/>
      <c r="P388" s="170"/>
      <c r="Q388" s="170">
        <f t="shared" si="25"/>
        <v>0</v>
      </c>
      <c r="R388" s="760"/>
    </row>
    <row r="389" spans="1:18" ht="17.25" hidden="1" customHeight="1" x14ac:dyDescent="0.2">
      <c r="A389" s="229"/>
      <c r="B389" s="229"/>
      <c r="C389" s="352" t="s">
        <v>859</v>
      </c>
      <c r="D389" s="353" t="s">
        <v>867</v>
      </c>
      <c r="E389" s="610"/>
      <c r="F389" s="170">
        <v>152489</v>
      </c>
      <c r="G389" s="170"/>
      <c r="H389" s="170"/>
      <c r="I389" s="170"/>
      <c r="J389" s="170"/>
      <c r="K389" s="170"/>
      <c r="L389" s="170"/>
      <c r="M389" s="170"/>
      <c r="N389" s="170"/>
      <c r="O389" s="170"/>
      <c r="P389" s="170"/>
      <c r="Q389" s="170">
        <f t="shared" si="25"/>
        <v>0</v>
      </c>
      <c r="R389" s="760"/>
    </row>
    <row r="390" spans="1:18" ht="17.25" hidden="1" customHeight="1" x14ac:dyDescent="0.2">
      <c r="A390" s="229"/>
      <c r="B390" s="229"/>
      <c r="C390" s="352" t="s">
        <v>861</v>
      </c>
      <c r="D390" s="353" t="s">
        <v>869</v>
      </c>
      <c r="E390" s="230"/>
      <c r="F390" s="170">
        <v>155485</v>
      </c>
      <c r="G390" s="202"/>
      <c r="H390" s="202"/>
      <c r="I390" s="202"/>
      <c r="J390" s="170"/>
      <c r="K390" s="170"/>
      <c r="L390" s="170"/>
      <c r="M390" s="170"/>
      <c r="N390" s="170"/>
      <c r="O390" s="170"/>
      <c r="P390" s="170"/>
      <c r="Q390" s="170">
        <f t="shared" si="25"/>
        <v>0</v>
      </c>
      <c r="R390" s="760"/>
    </row>
    <row r="391" spans="1:18" ht="23.25" hidden="1" customHeight="1" x14ac:dyDescent="0.2">
      <c r="A391" s="229"/>
      <c r="B391" s="229"/>
      <c r="C391" s="352" t="s">
        <v>863</v>
      </c>
      <c r="D391" s="353" t="s">
        <v>871</v>
      </c>
      <c r="E391" s="230"/>
      <c r="F391" s="170">
        <v>152490</v>
      </c>
      <c r="G391" s="202"/>
      <c r="H391" s="202"/>
      <c r="I391" s="202"/>
      <c r="J391" s="170"/>
      <c r="K391" s="170"/>
      <c r="L391" s="170"/>
      <c r="M391" s="170"/>
      <c r="N391" s="170"/>
      <c r="O391" s="170"/>
      <c r="P391" s="170"/>
      <c r="Q391" s="170">
        <f t="shared" si="25"/>
        <v>0</v>
      </c>
      <c r="R391" s="760"/>
    </row>
    <row r="392" spans="1:18" ht="16.5" hidden="1" customHeight="1" x14ac:dyDescent="0.2">
      <c r="A392" s="229"/>
      <c r="B392" s="229"/>
      <c r="C392" s="352" t="s">
        <v>865</v>
      </c>
      <c r="D392" s="382" t="s">
        <v>881</v>
      </c>
      <c r="E392" s="230"/>
      <c r="F392" s="170">
        <v>155489</v>
      </c>
      <c r="G392" s="202"/>
      <c r="H392" s="202"/>
      <c r="I392" s="202"/>
      <c r="J392" s="170"/>
      <c r="K392" s="170"/>
      <c r="L392" s="170"/>
      <c r="M392" s="170"/>
      <c r="N392" s="170"/>
      <c r="O392" s="170"/>
      <c r="P392" s="170"/>
      <c r="Q392" s="170">
        <f t="shared" si="25"/>
        <v>0</v>
      </c>
      <c r="R392" s="760"/>
    </row>
    <row r="393" spans="1:18" ht="16.5" hidden="1" customHeight="1" x14ac:dyDescent="0.2">
      <c r="A393" s="229"/>
      <c r="B393" s="229"/>
      <c r="C393" s="352" t="s">
        <v>866</v>
      </c>
      <c r="D393" s="591" t="s">
        <v>1378</v>
      </c>
      <c r="E393" s="230"/>
      <c r="F393" s="170">
        <v>151420</v>
      </c>
      <c r="G393" s="202"/>
      <c r="H393" s="202"/>
      <c r="I393" s="202"/>
      <c r="J393" s="170"/>
      <c r="K393" s="170"/>
      <c r="L393" s="170"/>
      <c r="M393" s="170"/>
      <c r="N393" s="170"/>
      <c r="O393" s="170"/>
      <c r="P393" s="170"/>
      <c r="Q393" s="170">
        <f t="shared" si="25"/>
        <v>0</v>
      </c>
      <c r="R393" s="760"/>
    </row>
    <row r="394" spans="1:18" ht="28.5" hidden="1" customHeight="1" x14ac:dyDescent="0.2">
      <c r="A394" s="229"/>
      <c r="B394" s="229"/>
      <c r="C394" s="352" t="s">
        <v>868</v>
      </c>
      <c r="D394" s="353" t="s">
        <v>886</v>
      </c>
      <c r="E394" s="358"/>
      <c r="F394" s="170">
        <v>155490</v>
      </c>
      <c r="G394" s="170"/>
      <c r="H394" s="170"/>
      <c r="I394" s="170"/>
      <c r="J394" s="170"/>
      <c r="K394" s="170"/>
      <c r="L394" s="170"/>
      <c r="M394" s="170"/>
      <c r="N394" s="170"/>
      <c r="O394" s="170"/>
      <c r="P394" s="170"/>
      <c r="Q394" s="170">
        <f t="shared" si="25"/>
        <v>0</v>
      </c>
      <c r="R394" s="760"/>
    </row>
    <row r="395" spans="1:18" ht="29.25" hidden="1" customHeight="1" x14ac:dyDescent="0.2">
      <c r="A395" s="229"/>
      <c r="B395" s="229"/>
      <c r="C395" s="352" t="s">
        <v>870</v>
      </c>
      <c r="D395" s="329" t="s">
        <v>888</v>
      </c>
      <c r="E395" s="610"/>
      <c r="F395" s="170">
        <v>155491</v>
      </c>
      <c r="G395" s="170"/>
      <c r="H395" s="170"/>
      <c r="I395" s="170"/>
      <c r="J395" s="170"/>
      <c r="K395" s="170"/>
      <c r="L395" s="170"/>
      <c r="M395" s="170"/>
      <c r="N395" s="170"/>
      <c r="O395" s="170"/>
      <c r="P395" s="170"/>
      <c r="Q395" s="170">
        <f t="shared" si="25"/>
        <v>0</v>
      </c>
      <c r="R395" s="760"/>
    </row>
    <row r="396" spans="1:18" ht="17.100000000000001" hidden="1" customHeight="1" x14ac:dyDescent="0.2">
      <c r="A396" s="229"/>
      <c r="B396" s="229"/>
      <c r="C396" s="352" t="s">
        <v>872</v>
      </c>
      <c r="D396" s="245" t="s">
        <v>890</v>
      </c>
      <c r="E396" s="610"/>
      <c r="F396" s="170">
        <v>154468</v>
      </c>
      <c r="G396" s="170"/>
      <c r="H396" s="170"/>
      <c r="I396" s="170"/>
      <c r="J396" s="170"/>
      <c r="K396" s="170"/>
      <c r="L396" s="170"/>
      <c r="M396" s="170"/>
      <c r="N396" s="170"/>
      <c r="O396" s="170"/>
      <c r="P396" s="170"/>
      <c r="Q396" s="170">
        <f t="shared" si="25"/>
        <v>0</v>
      </c>
      <c r="R396" s="760"/>
    </row>
    <row r="397" spans="1:18" ht="17.100000000000001" hidden="1" customHeight="1" x14ac:dyDescent="0.2">
      <c r="A397" s="229"/>
      <c r="B397" s="229"/>
      <c r="C397" s="352" t="s">
        <v>874</v>
      </c>
      <c r="D397" s="382" t="s">
        <v>894</v>
      </c>
      <c r="E397" s="610"/>
      <c r="F397" s="170">
        <v>155492</v>
      </c>
      <c r="G397" s="170"/>
      <c r="H397" s="170"/>
      <c r="I397" s="170"/>
      <c r="J397" s="170"/>
      <c r="K397" s="170"/>
      <c r="L397" s="170"/>
      <c r="M397" s="170"/>
      <c r="N397" s="170"/>
      <c r="O397" s="170"/>
      <c r="P397" s="170"/>
      <c r="Q397" s="170">
        <f t="shared" si="25"/>
        <v>0</v>
      </c>
      <c r="R397" s="760"/>
    </row>
    <row r="398" spans="1:18" ht="17.100000000000001" hidden="1" customHeight="1" x14ac:dyDescent="0.2">
      <c r="A398" s="229"/>
      <c r="B398" s="229"/>
      <c r="C398" s="352" t="s">
        <v>876</v>
      </c>
      <c r="D398" s="353" t="s">
        <v>897</v>
      </c>
      <c r="E398" s="610"/>
      <c r="F398" s="170">
        <v>154471</v>
      </c>
      <c r="G398" s="170"/>
      <c r="H398" s="170"/>
      <c r="I398" s="170"/>
      <c r="J398" s="170"/>
      <c r="K398" s="170"/>
      <c r="L398" s="170"/>
      <c r="M398" s="170"/>
      <c r="N398" s="170"/>
      <c r="O398" s="170"/>
      <c r="P398" s="170"/>
      <c r="Q398" s="170">
        <f t="shared" si="25"/>
        <v>0</v>
      </c>
      <c r="R398" s="760"/>
    </row>
    <row r="399" spans="1:18" ht="17.100000000000001" hidden="1" customHeight="1" x14ac:dyDescent="0.2">
      <c r="A399" s="229"/>
      <c r="B399" s="229"/>
      <c r="C399" s="352" t="s">
        <v>878</v>
      </c>
      <c r="D399" s="353" t="s">
        <v>899</v>
      </c>
      <c r="E399" s="610"/>
      <c r="F399" s="170">
        <v>155494</v>
      </c>
      <c r="G399" s="170"/>
      <c r="H399" s="170"/>
      <c r="I399" s="170"/>
      <c r="J399" s="170"/>
      <c r="K399" s="170"/>
      <c r="L399" s="170"/>
      <c r="M399" s="170"/>
      <c r="N399" s="170"/>
      <c r="O399" s="170"/>
      <c r="P399" s="170"/>
      <c r="Q399" s="170">
        <f t="shared" si="25"/>
        <v>0</v>
      </c>
      <c r="R399" s="760"/>
    </row>
    <row r="400" spans="1:18" ht="17.100000000000001" hidden="1" customHeight="1" x14ac:dyDescent="0.2">
      <c r="A400" s="229"/>
      <c r="B400" s="229"/>
      <c r="C400" s="352" t="s">
        <v>880</v>
      </c>
      <c r="D400" s="329" t="s">
        <v>903</v>
      </c>
      <c r="E400" s="610"/>
      <c r="F400" s="170">
        <v>152495</v>
      </c>
      <c r="G400" s="170"/>
      <c r="H400" s="170"/>
      <c r="I400" s="170"/>
      <c r="J400" s="170"/>
      <c r="K400" s="170"/>
      <c r="L400" s="170"/>
      <c r="M400" s="170"/>
      <c r="N400" s="170"/>
      <c r="O400" s="170"/>
      <c r="P400" s="170"/>
      <c r="Q400" s="170">
        <f t="shared" si="25"/>
        <v>0</v>
      </c>
      <c r="R400" s="760"/>
    </row>
    <row r="401" spans="1:18" ht="17.100000000000001" hidden="1" customHeight="1" x14ac:dyDescent="0.2">
      <c r="A401" s="229"/>
      <c r="B401" s="229"/>
      <c r="C401" s="352" t="s">
        <v>882</v>
      </c>
      <c r="D401" s="353" t="s">
        <v>905</v>
      </c>
      <c r="E401" s="610"/>
      <c r="F401" s="170">
        <v>152496</v>
      </c>
      <c r="G401" s="170"/>
      <c r="H401" s="170"/>
      <c r="I401" s="170"/>
      <c r="J401" s="170"/>
      <c r="K401" s="170"/>
      <c r="L401" s="170"/>
      <c r="M401" s="170"/>
      <c r="N401" s="170"/>
      <c r="O401" s="170"/>
      <c r="P401" s="170"/>
      <c r="Q401" s="170">
        <f t="shared" si="25"/>
        <v>0</v>
      </c>
      <c r="R401" s="760"/>
    </row>
    <row r="402" spans="1:18" ht="17.100000000000001" hidden="1" customHeight="1" x14ac:dyDescent="0.2">
      <c r="A402" s="229"/>
      <c r="B402" s="229"/>
      <c r="C402" s="352" t="s">
        <v>884</v>
      </c>
      <c r="D402" s="353" t="s">
        <v>913</v>
      </c>
      <c r="E402" s="610"/>
      <c r="F402" s="170">
        <v>152499</v>
      </c>
      <c r="G402" s="170"/>
      <c r="H402" s="170"/>
      <c r="I402" s="170"/>
      <c r="J402" s="170"/>
      <c r="K402" s="170"/>
      <c r="L402" s="170"/>
      <c r="M402" s="170"/>
      <c r="N402" s="170"/>
      <c r="O402" s="170"/>
      <c r="P402" s="170"/>
      <c r="Q402" s="170">
        <f t="shared" si="25"/>
        <v>0</v>
      </c>
      <c r="R402" s="760"/>
    </row>
    <row r="403" spans="1:18" ht="17.100000000000001" hidden="1" customHeight="1" x14ac:dyDescent="0.2">
      <c r="A403" s="229"/>
      <c r="B403" s="229"/>
      <c r="C403" s="352" t="s">
        <v>885</v>
      </c>
      <c r="D403" s="592" t="s">
        <v>915</v>
      </c>
      <c r="E403" s="610"/>
      <c r="F403" s="170">
        <v>155496</v>
      </c>
      <c r="G403" s="170"/>
      <c r="H403" s="170"/>
      <c r="I403" s="170"/>
      <c r="J403" s="170"/>
      <c r="K403" s="170"/>
      <c r="L403" s="170"/>
      <c r="M403" s="170"/>
      <c r="N403" s="170"/>
      <c r="O403" s="170"/>
      <c r="P403" s="170"/>
      <c r="Q403" s="170">
        <f t="shared" si="25"/>
        <v>0</v>
      </c>
      <c r="R403" s="760"/>
    </row>
    <row r="404" spans="1:18" ht="25.5" hidden="1" customHeight="1" x14ac:dyDescent="0.2">
      <c r="A404" s="229"/>
      <c r="B404" s="229"/>
      <c r="C404" s="352" t="s">
        <v>887</v>
      </c>
      <c r="D404" s="353" t="s">
        <v>921</v>
      </c>
      <c r="E404" s="610"/>
      <c r="F404" s="170">
        <v>155497</v>
      </c>
      <c r="G404" s="170"/>
      <c r="H404" s="170"/>
      <c r="I404" s="170"/>
      <c r="J404" s="170"/>
      <c r="K404" s="170"/>
      <c r="L404" s="170"/>
      <c r="M404" s="170"/>
      <c r="N404" s="170"/>
      <c r="O404" s="170"/>
      <c r="P404" s="170"/>
      <c r="Q404" s="170">
        <f t="shared" si="25"/>
        <v>0</v>
      </c>
      <c r="R404" s="760"/>
    </row>
    <row r="405" spans="1:18" ht="24.75" hidden="1" customHeight="1" x14ac:dyDescent="0.2">
      <c r="A405" s="229"/>
      <c r="B405" s="229"/>
      <c r="C405" s="352" t="s">
        <v>889</v>
      </c>
      <c r="D405" s="353" t="s">
        <v>927</v>
      </c>
      <c r="E405" s="610"/>
      <c r="F405" s="170">
        <v>152425</v>
      </c>
      <c r="G405" s="170"/>
      <c r="H405" s="170"/>
      <c r="I405" s="170"/>
      <c r="J405" s="170"/>
      <c r="K405" s="170"/>
      <c r="L405" s="170"/>
      <c r="M405" s="170"/>
      <c r="N405" s="170"/>
      <c r="O405" s="170"/>
      <c r="P405" s="170"/>
      <c r="Q405" s="170">
        <f t="shared" si="25"/>
        <v>0</v>
      </c>
      <c r="R405" s="760"/>
    </row>
    <row r="406" spans="1:18" ht="27.75" hidden="1" customHeight="1" x14ac:dyDescent="0.2">
      <c r="A406" s="229"/>
      <c r="B406" s="229"/>
      <c r="C406" s="352" t="s">
        <v>891</v>
      </c>
      <c r="D406" s="353" t="s">
        <v>929</v>
      </c>
      <c r="E406" s="610"/>
      <c r="F406" s="170">
        <v>155498</v>
      </c>
      <c r="G406" s="170"/>
      <c r="H406" s="170"/>
      <c r="I406" s="170"/>
      <c r="J406" s="170"/>
      <c r="K406" s="170"/>
      <c r="L406" s="170"/>
      <c r="M406" s="170"/>
      <c r="N406" s="170"/>
      <c r="O406" s="170"/>
      <c r="P406" s="170"/>
      <c r="Q406" s="170">
        <f t="shared" si="25"/>
        <v>0</v>
      </c>
      <c r="R406" s="760"/>
    </row>
    <row r="407" spans="1:18" ht="16.5" hidden="1" customHeight="1" x14ac:dyDescent="0.2">
      <c r="A407" s="229"/>
      <c r="B407" s="229"/>
      <c r="C407" s="352" t="s">
        <v>893</v>
      </c>
      <c r="D407" s="353" t="s">
        <v>931</v>
      </c>
      <c r="E407" s="610"/>
      <c r="F407" s="170">
        <v>155499</v>
      </c>
      <c r="G407" s="170"/>
      <c r="H407" s="170"/>
      <c r="I407" s="170"/>
      <c r="J407" s="170"/>
      <c r="K407" s="170"/>
      <c r="L407" s="170"/>
      <c r="M407" s="170"/>
      <c r="N407" s="170"/>
      <c r="O407" s="170"/>
      <c r="P407" s="170"/>
      <c r="Q407" s="170">
        <f t="shared" si="25"/>
        <v>0</v>
      </c>
      <c r="R407" s="760"/>
    </row>
    <row r="408" spans="1:18" ht="16.5" hidden="1" customHeight="1" x14ac:dyDescent="0.2">
      <c r="A408" s="229"/>
      <c r="B408" s="229"/>
      <c r="C408" s="352" t="s">
        <v>895</v>
      </c>
      <c r="D408" s="353" t="s">
        <v>933</v>
      </c>
      <c r="E408" s="610"/>
      <c r="F408" s="170">
        <v>155404</v>
      </c>
      <c r="G408" s="170"/>
      <c r="H408" s="170"/>
      <c r="I408" s="170"/>
      <c r="J408" s="170"/>
      <c r="K408" s="170"/>
      <c r="L408" s="170"/>
      <c r="M408" s="170"/>
      <c r="N408" s="170"/>
      <c r="O408" s="170"/>
      <c r="P408" s="170"/>
      <c r="Q408" s="170">
        <f t="shared" si="25"/>
        <v>0</v>
      </c>
      <c r="R408" s="760"/>
    </row>
    <row r="409" spans="1:18" ht="16.5" hidden="1" customHeight="1" x14ac:dyDescent="0.2">
      <c r="A409" s="229"/>
      <c r="B409" s="229"/>
      <c r="C409" s="352" t="s">
        <v>896</v>
      </c>
      <c r="D409" s="382" t="s">
        <v>935</v>
      </c>
      <c r="E409" s="610"/>
      <c r="F409" s="170">
        <v>155403</v>
      </c>
      <c r="G409" s="170"/>
      <c r="H409" s="170"/>
      <c r="I409" s="170"/>
      <c r="J409" s="170"/>
      <c r="K409" s="170"/>
      <c r="L409" s="170"/>
      <c r="M409" s="170"/>
      <c r="N409" s="170"/>
      <c r="O409" s="170"/>
      <c r="P409" s="170"/>
      <c r="Q409" s="170">
        <f t="shared" si="25"/>
        <v>0</v>
      </c>
      <c r="R409" s="760"/>
    </row>
    <row r="410" spans="1:18" ht="16.5" hidden="1" customHeight="1" x14ac:dyDescent="0.2">
      <c r="A410" s="229"/>
      <c r="B410" s="229"/>
      <c r="C410" s="352" t="s">
        <v>898</v>
      </c>
      <c r="D410" s="353" t="s">
        <v>937</v>
      </c>
      <c r="E410" s="610"/>
      <c r="F410" s="170">
        <v>155405</v>
      </c>
      <c r="G410" s="170"/>
      <c r="H410" s="170"/>
      <c r="I410" s="170"/>
      <c r="J410" s="170"/>
      <c r="K410" s="170"/>
      <c r="L410" s="170"/>
      <c r="M410" s="170"/>
      <c r="N410" s="170"/>
      <c r="O410" s="170"/>
      <c r="P410" s="170"/>
      <c r="Q410" s="170">
        <f t="shared" si="25"/>
        <v>0</v>
      </c>
      <c r="R410" s="760"/>
    </row>
    <row r="411" spans="1:18" ht="27" hidden="1" customHeight="1" x14ac:dyDescent="0.2">
      <c r="A411" s="229"/>
      <c r="B411" s="229"/>
      <c r="C411" s="352" t="s">
        <v>900</v>
      </c>
      <c r="D411" s="623" t="s">
        <v>939</v>
      </c>
      <c r="E411" s="610"/>
      <c r="F411" s="170">
        <v>155406</v>
      </c>
      <c r="G411" s="170"/>
      <c r="H411" s="170"/>
      <c r="I411" s="170"/>
      <c r="J411" s="170"/>
      <c r="K411" s="170"/>
      <c r="L411" s="170"/>
      <c r="M411" s="170"/>
      <c r="N411" s="170"/>
      <c r="O411" s="170"/>
      <c r="P411" s="170"/>
      <c r="Q411" s="170">
        <f t="shared" si="25"/>
        <v>0</v>
      </c>
      <c r="R411" s="760"/>
    </row>
    <row r="412" spans="1:18" ht="17.100000000000001" hidden="1" customHeight="1" x14ac:dyDescent="0.2">
      <c r="A412" s="229"/>
      <c r="B412" s="229"/>
      <c r="C412" s="352" t="s">
        <v>902</v>
      </c>
      <c r="D412" s="245" t="s">
        <v>941</v>
      </c>
      <c r="E412" s="610"/>
      <c r="F412" s="170">
        <v>154411</v>
      </c>
      <c r="G412" s="170"/>
      <c r="H412" s="170"/>
      <c r="I412" s="170"/>
      <c r="J412" s="170"/>
      <c r="K412" s="170"/>
      <c r="L412" s="170"/>
      <c r="M412" s="170"/>
      <c r="N412" s="170"/>
      <c r="O412" s="170"/>
      <c r="P412" s="170"/>
      <c r="Q412" s="170">
        <f t="shared" si="25"/>
        <v>0</v>
      </c>
      <c r="R412" s="760"/>
    </row>
    <row r="413" spans="1:18" ht="17.100000000000001" hidden="1" customHeight="1" x14ac:dyDescent="0.2">
      <c r="A413" s="229"/>
      <c r="B413" s="229"/>
      <c r="C413" s="352" t="s">
        <v>904</v>
      </c>
      <c r="D413" s="382" t="s">
        <v>943</v>
      </c>
      <c r="E413" s="610"/>
      <c r="F413" s="170">
        <v>155408</v>
      </c>
      <c r="G413" s="170"/>
      <c r="H413" s="170"/>
      <c r="I413" s="170"/>
      <c r="J413" s="170"/>
      <c r="K413" s="170"/>
      <c r="L413" s="170"/>
      <c r="M413" s="170"/>
      <c r="N413" s="170"/>
      <c r="O413" s="170"/>
      <c r="P413" s="170"/>
      <c r="Q413" s="170">
        <f t="shared" si="25"/>
        <v>0</v>
      </c>
      <c r="R413" s="760"/>
    </row>
    <row r="414" spans="1:18" ht="17.100000000000001" hidden="1" customHeight="1" x14ac:dyDescent="0.2">
      <c r="A414" s="229"/>
      <c r="B414" s="229"/>
      <c r="C414" s="352" t="s">
        <v>906</v>
      </c>
      <c r="D414" s="329" t="s">
        <v>945</v>
      </c>
      <c r="E414" s="610"/>
      <c r="F414" s="170">
        <v>155409</v>
      </c>
      <c r="G414" s="170"/>
      <c r="H414" s="170"/>
      <c r="I414" s="170"/>
      <c r="J414" s="170"/>
      <c r="K414" s="170"/>
      <c r="L414" s="170"/>
      <c r="M414" s="170"/>
      <c r="N414" s="170"/>
      <c r="O414" s="170"/>
      <c r="P414" s="170"/>
      <c r="Q414" s="170">
        <f t="shared" si="25"/>
        <v>0</v>
      </c>
      <c r="R414" s="760"/>
    </row>
    <row r="415" spans="1:18" ht="17.100000000000001" hidden="1" customHeight="1" x14ac:dyDescent="0.2">
      <c r="A415" s="229"/>
      <c r="B415" s="229"/>
      <c r="C415" s="352" t="s">
        <v>908</v>
      </c>
      <c r="D415" s="382" t="s">
        <v>947</v>
      </c>
      <c r="E415" s="610"/>
      <c r="F415" s="170">
        <v>155410</v>
      </c>
      <c r="G415" s="170"/>
      <c r="H415" s="170"/>
      <c r="I415" s="170"/>
      <c r="J415" s="170"/>
      <c r="K415" s="170"/>
      <c r="L415" s="170"/>
      <c r="M415" s="170"/>
      <c r="N415" s="170"/>
      <c r="O415" s="170"/>
      <c r="P415" s="170"/>
      <c r="Q415" s="170">
        <f t="shared" ref="Q415:Q434" si="26">SUM(G415:P415)</f>
        <v>0</v>
      </c>
      <c r="R415" s="760"/>
    </row>
    <row r="416" spans="1:18" ht="17.100000000000001" hidden="1" customHeight="1" x14ac:dyDescent="0.2">
      <c r="A416" s="229"/>
      <c r="B416" s="229"/>
      <c r="C416" s="352" t="s">
        <v>910</v>
      </c>
      <c r="D416" s="382" t="s">
        <v>948</v>
      </c>
      <c r="E416" s="610"/>
      <c r="F416" s="170">
        <v>155411</v>
      </c>
      <c r="G416" s="170"/>
      <c r="H416" s="170"/>
      <c r="I416" s="170"/>
      <c r="J416" s="170"/>
      <c r="K416" s="170"/>
      <c r="L416" s="170"/>
      <c r="M416" s="170"/>
      <c r="N416" s="170"/>
      <c r="O416" s="170"/>
      <c r="P416" s="170"/>
      <c r="Q416" s="170">
        <f t="shared" si="26"/>
        <v>0</v>
      </c>
      <c r="R416" s="760"/>
    </row>
    <row r="417" spans="1:18" ht="17.100000000000001" hidden="1" customHeight="1" x14ac:dyDescent="0.2">
      <c r="A417" s="229"/>
      <c r="B417" s="229"/>
      <c r="C417" s="352" t="s">
        <v>912</v>
      </c>
      <c r="D417" s="245" t="s">
        <v>949</v>
      </c>
      <c r="E417" s="358"/>
      <c r="F417" s="170">
        <v>152411</v>
      </c>
      <c r="G417" s="170"/>
      <c r="H417" s="170"/>
      <c r="I417" s="170"/>
      <c r="J417" s="170"/>
      <c r="K417" s="170"/>
      <c r="L417" s="170"/>
      <c r="M417" s="170"/>
      <c r="N417" s="170"/>
      <c r="O417" s="170"/>
      <c r="P417" s="170"/>
      <c r="Q417" s="170">
        <f t="shared" si="26"/>
        <v>0</v>
      </c>
      <c r="R417" s="760"/>
    </row>
    <row r="418" spans="1:18" ht="17.100000000000001" hidden="1" customHeight="1" x14ac:dyDescent="0.2">
      <c r="A418" s="229"/>
      <c r="B418" s="229"/>
      <c r="C418" s="352" t="s">
        <v>914</v>
      </c>
      <c r="D418" s="245" t="s">
        <v>950</v>
      </c>
      <c r="E418" s="358"/>
      <c r="F418" s="170">
        <v>154493</v>
      </c>
      <c r="G418" s="170"/>
      <c r="H418" s="170"/>
      <c r="I418" s="170"/>
      <c r="J418" s="170"/>
      <c r="K418" s="170"/>
      <c r="L418" s="170"/>
      <c r="M418" s="170"/>
      <c r="N418" s="170"/>
      <c r="O418" s="170"/>
      <c r="P418" s="170"/>
      <c r="Q418" s="170">
        <f t="shared" si="26"/>
        <v>0</v>
      </c>
      <c r="R418" s="760"/>
    </row>
    <row r="419" spans="1:18" ht="27" customHeight="1" x14ac:dyDescent="0.2">
      <c r="A419" s="229"/>
      <c r="B419" s="229"/>
      <c r="C419" s="352" t="s">
        <v>916</v>
      </c>
      <c r="D419" s="245" t="s">
        <v>951</v>
      </c>
      <c r="E419" s="358"/>
      <c r="F419" s="170">
        <v>154414</v>
      </c>
      <c r="G419" s="170"/>
      <c r="H419" s="170"/>
      <c r="I419" s="170"/>
      <c r="J419" s="170"/>
      <c r="K419" s="170"/>
      <c r="L419" s="170"/>
      <c r="M419" s="170">
        <v>1599</v>
      </c>
      <c r="N419" s="170"/>
      <c r="O419" s="170"/>
      <c r="P419" s="170"/>
      <c r="Q419" s="170">
        <f t="shared" si="26"/>
        <v>1599</v>
      </c>
      <c r="R419" s="760" t="s">
        <v>1490</v>
      </c>
    </row>
    <row r="420" spans="1:18" ht="15.95" hidden="1" customHeight="1" x14ac:dyDescent="0.2">
      <c r="A420" s="229"/>
      <c r="B420" s="229"/>
      <c r="C420" s="352" t="s">
        <v>918</v>
      </c>
      <c r="D420" s="353" t="s">
        <v>952</v>
      </c>
      <c r="E420" s="610"/>
      <c r="F420" s="170">
        <v>155412</v>
      </c>
      <c r="G420" s="170"/>
      <c r="H420" s="170"/>
      <c r="I420" s="170"/>
      <c r="J420" s="170"/>
      <c r="K420" s="170"/>
      <c r="L420" s="170"/>
      <c r="M420" s="170"/>
      <c r="N420" s="170"/>
      <c r="O420" s="170"/>
      <c r="P420" s="170"/>
      <c r="Q420" s="170">
        <f t="shared" si="26"/>
        <v>0</v>
      </c>
      <c r="R420" s="760"/>
    </row>
    <row r="421" spans="1:18" ht="15.95" hidden="1" customHeight="1" x14ac:dyDescent="0.2">
      <c r="A421" s="229"/>
      <c r="B421" s="229"/>
      <c r="C421" s="352" t="s">
        <v>920</v>
      </c>
      <c r="D421" s="594" t="s">
        <v>953</v>
      </c>
      <c r="E421" s="610"/>
      <c r="F421" s="170">
        <v>155413</v>
      </c>
      <c r="G421" s="170"/>
      <c r="H421" s="170"/>
      <c r="I421" s="170"/>
      <c r="J421" s="170"/>
      <c r="K421" s="170"/>
      <c r="L421" s="170"/>
      <c r="M421" s="170"/>
      <c r="N421" s="170"/>
      <c r="O421" s="170"/>
      <c r="P421" s="170"/>
      <c r="Q421" s="170">
        <f t="shared" si="26"/>
        <v>0</v>
      </c>
      <c r="R421" s="760"/>
    </row>
    <row r="422" spans="1:18" ht="15.95" hidden="1" customHeight="1" x14ac:dyDescent="0.2">
      <c r="A422" s="229"/>
      <c r="B422" s="229"/>
      <c r="C422" s="352" t="s">
        <v>922</v>
      </c>
      <c r="D422" s="595" t="s">
        <v>1364</v>
      </c>
      <c r="E422" s="610"/>
      <c r="F422" s="170">
        <v>155414</v>
      </c>
      <c r="G422" s="170"/>
      <c r="H422" s="170"/>
      <c r="I422" s="170"/>
      <c r="J422" s="170"/>
      <c r="K422" s="170"/>
      <c r="L422" s="170"/>
      <c r="M422" s="170"/>
      <c r="N422" s="170"/>
      <c r="O422" s="170"/>
      <c r="P422" s="170"/>
      <c r="Q422" s="170">
        <f t="shared" si="26"/>
        <v>0</v>
      </c>
      <c r="R422" s="760"/>
    </row>
    <row r="423" spans="1:18" ht="15.95" hidden="1" customHeight="1" x14ac:dyDescent="0.2">
      <c r="A423" s="229"/>
      <c r="B423" s="229"/>
      <c r="C423" s="352" t="s">
        <v>924</v>
      </c>
      <c r="D423" s="594" t="s">
        <v>954</v>
      </c>
      <c r="E423" s="610"/>
      <c r="F423" s="462">
        <v>155415</v>
      </c>
      <c r="G423" s="170"/>
      <c r="H423" s="170"/>
      <c r="I423" s="170"/>
      <c r="J423" s="170"/>
      <c r="K423" s="170"/>
      <c r="L423" s="170"/>
      <c r="M423" s="170"/>
      <c r="N423" s="170"/>
      <c r="O423" s="170"/>
      <c r="P423" s="170"/>
      <c r="Q423" s="170">
        <f t="shared" si="26"/>
        <v>0</v>
      </c>
      <c r="R423" s="760"/>
    </row>
    <row r="424" spans="1:18" ht="15.95" hidden="1" customHeight="1" x14ac:dyDescent="0.2">
      <c r="A424" s="229"/>
      <c r="B424" s="229"/>
      <c r="C424" s="352" t="s">
        <v>926</v>
      </c>
      <c r="D424" s="594" t="s">
        <v>955</v>
      </c>
      <c r="E424" s="610"/>
      <c r="F424" s="462">
        <v>155417</v>
      </c>
      <c r="G424" s="170"/>
      <c r="H424" s="170"/>
      <c r="I424" s="170"/>
      <c r="J424" s="170"/>
      <c r="K424" s="170"/>
      <c r="L424" s="170"/>
      <c r="M424" s="170"/>
      <c r="N424" s="170"/>
      <c r="O424" s="170"/>
      <c r="P424" s="170"/>
      <c r="Q424" s="170">
        <f t="shared" si="26"/>
        <v>0</v>
      </c>
      <c r="R424" s="760"/>
    </row>
    <row r="425" spans="1:18" ht="15.95" hidden="1" customHeight="1" x14ac:dyDescent="0.2">
      <c r="A425" s="229"/>
      <c r="B425" s="229"/>
      <c r="C425" s="352" t="s">
        <v>928</v>
      </c>
      <c r="D425" s="353" t="s">
        <v>1389</v>
      </c>
      <c r="E425" s="610"/>
      <c r="F425" s="462">
        <v>155418</v>
      </c>
      <c r="G425" s="170"/>
      <c r="H425" s="170"/>
      <c r="I425" s="170"/>
      <c r="J425" s="170"/>
      <c r="K425" s="170"/>
      <c r="L425" s="170"/>
      <c r="M425" s="170"/>
      <c r="N425" s="170"/>
      <c r="O425" s="170"/>
      <c r="P425" s="170"/>
      <c r="Q425" s="170">
        <f t="shared" si="26"/>
        <v>0</v>
      </c>
      <c r="R425" s="760"/>
    </row>
    <row r="426" spans="1:18" ht="15.95" hidden="1" customHeight="1" x14ac:dyDescent="0.2">
      <c r="A426" s="229"/>
      <c r="B426" s="229"/>
      <c r="C426" s="352" t="s">
        <v>930</v>
      </c>
      <c r="D426" s="359" t="s">
        <v>956</v>
      </c>
      <c r="E426" s="610"/>
      <c r="F426" s="462">
        <v>155419</v>
      </c>
      <c r="G426" s="170"/>
      <c r="H426" s="170"/>
      <c r="I426" s="170"/>
      <c r="J426" s="170"/>
      <c r="K426" s="170"/>
      <c r="L426" s="170"/>
      <c r="M426" s="170"/>
      <c r="N426" s="170"/>
      <c r="O426" s="170"/>
      <c r="P426" s="170"/>
      <c r="Q426" s="170">
        <f t="shared" si="26"/>
        <v>0</v>
      </c>
      <c r="R426" s="760"/>
    </row>
    <row r="427" spans="1:18" ht="15.95" hidden="1" customHeight="1" x14ac:dyDescent="0.2">
      <c r="A427" s="229"/>
      <c r="B427" s="229"/>
      <c r="C427" s="352" t="s">
        <v>932</v>
      </c>
      <c r="D427" s="359" t="s">
        <v>957</v>
      </c>
      <c r="E427" s="610"/>
      <c r="F427" s="462">
        <v>155421</v>
      </c>
      <c r="G427" s="170"/>
      <c r="H427" s="170"/>
      <c r="I427" s="170"/>
      <c r="J427" s="170"/>
      <c r="K427" s="170"/>
      <c r="L427" s="170"/>
      <c r="M427" s="170"/>
      <c r="N427" s="170"/>
      <c r="O427" s="170"/>
      <c r="P427" s="170"/>
      <c r="Q427" s="170">
        <f t="shared" si="26"/>
        <v>0</v>
      </c>
      <c r="R427" s="760"/>
    </row>
    <row r="428" spans="1:18" ht="15.95" hidden="1" customHeight="1" x14ac:dyDescent="0.2">
      <c r="A428" s="229"/>
      <c r="B428" s="229"/>
      <c r="C428" s="352" t="s">
        <v>934</v>
      </c>
      <c r="D428" s="359" t="s">
        <v>958</v>
      </c>
      <c r="E428" s="610"/>
      <c r="F428" s="462">
        <v>155422</v>
      </c>
      <c r="G428" s="170"/>
      <c r="H428" s="170"/>
      <c r="I428" s="170"/>
      <c r="J428" s="170"/>
      <c r="K428" s="170"/>
      <c r="L428" s="170"/>
      <c r="M428" s="170"/>
      <c r="N428" s="170"/>
      <c r="O428" s="170"/>
      <c r="P428" s="170"/>
      <c r="Q428" s="170">
        <f t="shared" si="26"/>
        <v>0</v>
      </c>
      <c r="R428" s="760"/>
    </row>
    <row r="429" spans="1:18" ht="26.25" hidden="1" customHeight="1" x14ac:dyDescent="0.2">
      <c r="A429" s="229"/>
      <c r="B429" s="229"/>
      <c r="C429" s="352" t="s">
        <v>936</v>
      </c>
      <c r="D429" s="359" t="s">
        <v>959</v>
      </c>
      <c r="E429" s="610"/>
      <c r="F429" s="462">
        <v>155424</v>
      </c>
      <c r="G429" s="170"/>
      <c r="H429" s="170"/>
      <c r="I429" s="170"/>
      <c r="J429" s="170"/>
      <c r="K429" s="170"/>
      <c r="L429" s="170"/>
      <c r="M429" s="170"/>
      <c r="N429" s="170"/>
      <c r="O429" s="170"/>
      <c r="P429" s="170"/>
      <c r="Q429" s="170">
        <f t="shared" si="26"/>
        <v>0</v>
      </c>
      <c r="R429" s="760"/>
    </row>
    <row r="430" spans="1:18" ht="19.5" hidden="1" customHeight="1" x14ac:dyDescent="0.2">
      <c r="A430" s="229"/>
      <c r="B430" s="229"/>
      <c r="C430" s="352" t="s">
        <v>938</v>
      </c>
      <c r="D430" s="359" t="s">
        <v>960</v>
      </c>
      <c r="E430" s="610"/>
      <c r="F430" s="462">
        <v>155426</v>
      </c>
      <c r="G430" s="170"/>
      <c r="H430" s="170"/>
      <c r="I430" s="170"/>
      <c r="J430" s="170"/>
      <c r="K430" s="170"/>
      <c r="L430" s="170"/>
      <c r="M430" s="170"/>
      <c r="N430" s="170"/>
      <c r="O430" s="170"/>
      <c r="P430" s="170"/>
      <c r="Q430" s="170">
        <f t="shared" si="26"/>
        <v>0</v>
      </c>
      <c r="R430" s="760"/>
    </row>
    <row r="431" spans="1:18" ht="16.5" customHeight="1" x14ac:dyDescent="0.2">
      <c r="A431" s="229"/>
      <c r="B431" s="229"/>
      <c r="C431" s="352" t="s">
        <v>940</v>
      </c>
      <c r="D431" s="359" t="s">
        <v>961</v>
      </c>
      <c r="E431" s="610"/>
      <c r="F431" s="462">
        <v>152426</v>
      </c>
      <c r="G431" s="170"/>
      <c r="H431" s="170"/>
      <c r="I431" s="170"/>
      <c r="J431" s="170"/>
      <c r="K431" s="170"/>
      <c r="L431" s="170">
        <v>-1478</v>
      </c>
      <c r="M431" s="170">
        <v>2702</v>
      </c>
      <c r="N431" s="170"/>
      <c r="O431" s="170"/>
      <c r="P431" s="170"/>
      <c r="Q431" s="170">
        <f t="shared" si="26"/>
        <v>1224</v>
      </c>
      <c r="R431" s="760" t="s">
        <v>1490</v>
      </c>
    </row>
    <row r="432" spans="1:18" ht="24.75" hidden="1" customHeight="1" x14ac:dyDescent="0.2">
      <c r="A432" s="229"/>
      <c r="B432" s="229"/>
      <c r="C432" s="352" t="s">
        <v>942</v>
      </c>
      <c r="D432" s="359" t="s">
        <v>962</v>
      </c>
      <c r="E432" s="610"/>
      <c r="F432" s="170">
        <v>155429</v>
      </c>
      <c r="G432" s="170"/>
      <c r="H432" s="170"/>
      <c r="I432" s="170"/>
      <c r="J432" s="170"/>
      <c r="K432" s="170"/>
      <c r="L432" s="170"/>
      <c r="M432" s="170"/>
      <c r="N432" s="170"/>
      <c r="O432" s="170"/>
      <c r="P432" s="170"/>
      <c r="Q432" s="170">
        <f t="shared" si="26"/>
        <v>0</v>
      </c>
      <c r="R432" s="760"/>
    </row>
    <row r="433" spans="1:18" ht="18" hidden="1" customHeight="1" x14ac:dyDescent="0.2">
      <c r="A433" s="229"/>
      <c r="B433" s="229"/>
      <c r="C433" s="352" t="s">
        <v>944</v>
      </c>
      <c r="D433" s="359" t="s">
        <v>963</v>
      </c>
      <c r="E433" s="610"/>
      <c r="F433" s="170">
        <v>155430</v>
      </c>
      <c r="G433" s="170"/>
      <c r="H433" s="170"/>
      <c r="I433" s="170"/>
      <c r="J433" s="170"/>
      <c r="K433" s="170"/>
      <c r="L433" s="170"/>
      <c r="M433" s="170"/>
      <c r="N433" s="170"/>
      <c r="O433" s="170"/>
      <c r="P433" s="170"/>
      <c r="Q433" s="170">
        <f t="shared" si="26"/>
        <v>0</v>
      </c>
      <c r="R433" s="760"/>
    </row>
    <row r="434" spans="1:18" ht="18" customHeight="1" x14ac:dyDescent="0.2">
      <c r="A434" s="229"/>
      <c r="B434" s="229"/>
      <c r="C434" s="352" t="s">
        <v>946</v>
      </c>
      <c r="D434" s="359" t="s">
        <v>964</v>
      </c>
      <c r="E434" s="610"/>
      <c r="F434" s="170">
        <v>155427</v>
      </c>
      <c r="G434" s="170"/>
      <c r="H434" s="170"/>
      <c r="I434" s="170"/>
      <c r="J434" s="170"/>
      <c r="K434" s="170"/>
      <c r="L434" s="170"/>
      <c r="M434" s="170">
        <v>2464</v>
      </c>
      <c r="N434" s="170"/>
      <c r="O434" s="170"/>
      <c r="P434" s="170"/>
      <c r="Q434" s="170">
        <f t="shared" si="26"/>
        <v>2464</v>
      </c>
      <c r="R434" s="760" t="s">
        <v>1490</v>
      </c>
    </row>
    <row r="435" spans="1:18" ht="18" customHeight="1" x14ac:dyDescent="0.2">
      <c r="A435" s="229"/>
      <c r="B435" s="229"/>
      <c r="C435" s="360"/>
      <c r="D435" s="314" t="s">
        <v>502</v>
      </c>
      <c r="E435" s="358"/>
      <c r="F435" s="170"/>
      <c r="G435" s="170"/>
      <c r="H435" s="170"/>
      <c r="I435" s="170"/>
      <c r="J435" s="170"/>
      <c r="K435" s="170"/>
      <c r="L435" s="170"/>
      <c r="M435" s="170"/>
      <c r="N435" s="170"/>
      <c r="O435" s="170"/>
      <c r="P435" s="170"/>
      <c r="Q435" s="170"/>
      <c r="R435" s="760"/>
    </row>
    <row r="436" spans="1:18" ht="14.25" customHeight="1" x14ac:dyDescent="0.2">
      <c r="A436" s="229"/>
      <c r="B436" s="229"/>
      <c r="C436" s="352" t="s">
        <v>965</v>
      </c>
      <c r="D436" s="245" t="s">
        <v>966</v>
      </c>
      <c r="E436" s="230"/>
      <c r="F436" s="170">
        <v>155420</v>
      </c>
      <c r="G436" s="170"/>
      <c r="H436" s="170"/>
      <c r="I436" s="170"/>
      <c r="J436" s="170"/>
      <c r="K436" s="170"/>
      <c r="L436" s="170"/>
      <c r="M436" s="170">
        <v>1881</v>
      </c>
      <c r="N436" s="170"/>
      <c r="O436" s="170"/>
      <c r="P436" s="170"/>
      <c r="Q436" s="170">
        <f t="shared" ref="Q436:Q443" si="27">SUM(G436:P436)</f>
        <v>1881</v>
      </c>
      <c r="R436" s="760" t="s">
        <v>1490</v>
      </c>
    </row>
    <row r="437" spans="1:18" ht="27" hidden="1" customHeight="1" x14ac:dyDescent="0.2">
      <c r="A437" s="229"/>
      <c r="B437" s="229"/>
      <c r="C437" s="352" t="s">
        <v>967</v>
      </c>
      <c r="D437" s="245" t="s">
        <v>968</v>
      </c>
      <c r="E437" s="230"/>
      <c r="F437" s="170">
        <v>154433</v>
      </c>
      <c r="G437" s="170"/>
      <c r="H437" s="170"/>
      <c r="I437" s="170"/>
      <c r="J437" s="170"/>
      <c r="K437" s="170"/>
      <c r="L437" s="170"/>
      <c r="M437" s="170"/>
      <c r="N437" s="170"/>
      <c r="O437" s="170"/>
      <c r="P437" s="170"/>
      <c r="Q437" s="170">
        <f t="shared" si="27"/>
        <v>0</v>
      </c>
      <c r="R437" s="760"/>
    </row>
    <row r="438" spans="1:18" ht="13.5" hidden="1" customHeight="1" x14ac:dyDescent="0.2">
      <c r="A438" s="229"/>
      <c r="B438" s="229"/>
      <c r="C438" s="352" t="s">
        <v>969</v>
      </c>
      <c r="D438" s="245" t="s">
        <v>970</v>
      </c>
      <c r="E438" s="230"/>
      <c r="F438" s="170">
        <v>154479</v>
      </c>
      <c r="G438" s="170"/>
      <c r="H438" s="170"/>
      <c r="I438" s="170"/>
      <c r="J438" s="170"/>
      <c r="K438" s="170"/>
      <c r="L438" s="170"/>
      <c r="M438" s="170"/>
      <c r="N438" s="170"/>
      <c r="O438" s="170"/>
      <c r="P438" s="170"/>
      <c r="Q438" s="170">
        <f t="shared" si="27"/>
        <v>0</v>
      </c>
      <c r="R438" s="760"/>
    </row>
    <row r="439" spans="1:18" ht="18" hidden="1" customHeight="1" x14ac:dyDescent="0.2">
      <c r="A439" s="229"/>
      <c r="B439" s="229"/>
      <c r="C439" s="352" t="s">
        <v>971</v>
      </c>
      <c r="D439" s="245" t="s">
        <v>972</v>
      </c>
      <c r="E439" s="230"/>
      <c r="F439" s="170">
        <v>154489</v>
      </c>
      <c r="G439" s="170"/>
      <c r="H439" s="170"/>
      <c r="I439" s="170"/>
      <c r="J439" s="170"/>
      <c r="K439" s="170"/>
      <c r="L439" s="170"/>
      <c r="M439" s="170"/>
      <c r="N439" s="170"/>
      <c r="O439" s="170"/>
      <c r="P439" s="170"/>
      <c r="Q439" s="170">
        <f t="shared" si="27"/>
        <v>0</v>
      </c>
      <c r="R439" s="760"/>
    </row>
    <row r="440" spans="1:18" ht="12" hidden="1" customHeight="1" x14ac:dyDescent="0.2">
      <c r="A440" s="229"/>
      <c r="B440" s="229"/>
      <c r="C440" s="352" t="s">
        <v>973</v>
      </c>
      <c r="D440" s="325" t="s">
        <v>974</v>
      </c>
      <c r="E440" s="230"/>
      <c r="F440" s="170">
        <v>152414</v>
      </c>
      <c r="G440" s="170"/>
      <c r="H440" s="170"/>
      <c r="I440" s="170"/>
      <c r="J440" s="170"/>
      <c r="K440" s="170"/>
      <c r="L440" s="170"/>
      <c r="M440" s="170"/>
      <c r="N440" s="170"/>
      <c r="O440" s="170"/>
      <c r="P440" s="170"/>
      <c r="Q440" s="170">
        <f t="shared" si="27"/>
        <v>0</v>
      </c>
      <c r="R440" s="760"/>
    </row>
    <row r="441" spans="1:18" ht="18" hidden="1" customHeight="1" x14ac:dyDescent="0.2">
      <c r="A441" s="229"/>
      <c r="B441" s="229"/>
      <c r="C441" s="352" t="s">
        <v>975</v>
      </c>
      <c r="D441" s="171" t="s">
        <v>978</v>
      </c>
      <c r="E441" s="230"/>
      <c r="F441" s="170">
        <v>164415</v>
      </c>
      <c r="G441" s="170"/>
      <c r="H441" s="170"/>
      <c r="I441" s="170"/>
      <c r="J441" s="170"/>
      <c r="K441" s="170"/>
      <c r="L441" s="170"/>
      <c r="M441" s="170"/>
      <c r="N441" s="170"/>
      <c r="O441" s="170"/>
      <c r="P441" s="170"/>
      <c r="Q441" s="170">
        <f t="shared" si="27"/>
        <v>0</v>
      </c>
      <c r="R441" s="760"/>
    </row>
    <row r="442" spans="1:18" ht="28.5" hidden="1" customHeight="1" x14ac:dyDescent="0.2">
      <c r="A442" s="229"/>
      <c r="B442" s="229"/>
      <c r="C442" s="352" t="s">
        <v>977</v>
      </c>
      <c r="D442" s="624" t="s">
        <v>981</v>
      </c>
      <c r="E442" s="230"/>
      <c r="F442" s="170">
        <v>155425</v>
      </c>
      <c r="G442" s="170"/>
      <c r="H442" s="170"/>
      <c r="I442" s="170"/>
      <c r="J442" s="170"/>
      <c r="K442" s="170"/>
      <c r="L442" s="170"/>
      <c r="M442" s="170"/>
      <c r="N442" s="170"/>
      <c r="O442" s="170"/>
      <c r="P442" s="170"/>
      <c r="Q442" s="170">
        <f t="shared" si="27"/>
        <v>0</v>
      </c>
      <c r="R442" s="760"/>
    </row>
    <row r="443" spans="1:18" ht="29.25" customHeight="1" x14ac:dyDescent="0.2">
      <c r="A443" s="229"/>
      <c r="B443" s="229"/>
      <c r="C443" s="352" t="s">
        <v>979</v>
      </c>
      <c r="D443" s="682" t="s">
        <v>982</v>
      </c>
      <c r="E443" s="230"/>
      <c r="F443" s="170">
        <v>152405</v>
      </c>
      <c r="G443" s="170"/>
      <c r="H443" s="170"/>
      <c r="I443" s="170">
        <v>-666</v>
      </c>
      <c r="J443" s="170"/>
      <c r="K443" s="170"/>
      <c r="L443" s="170"/>
      <c r="M443" s="170"/>
      <c r="N443" s="170"/>
      <c r="O443" s="170"/>
      <c r="P443" s="170"/>
      <c r="Q443" s="170">
        <f t="shared" si="27"/>
        <v>-666</v>
      </c>
      <c r="R443" s="760" t="s">
        <v>1490</v>
      </c>
    </row>
    <row r="444" spans="1:18" ht="15.75" customHeight="1" x14ac:dyDescent="0.2">
      <c r="A444" s="229"/>
      <c r="B444" s="229"/>
      <c r="C444" s="361" t="s">
        <v>115</v>
      </c>
      <c r="D444" s="362" t="s">
        <v>984</v>
      </c>
      <c r="E444" s="232"/>
      <c r="F444" s="233"/>
      <c r="G444" s="170"/>
      <c r="H444" s="170"/>
      <c r="I444" s="170"/>
      <c r="J444" s="170"/>
      <c r="K444" s="170"/>
      <c r="L444" s="170"/>
      <c r="M444" s="170"/>
      <c r="N444" s="170"/>
      <c r="O444" s="170"/>
      <c r="P444" s="170"/>
      <c r="Q444" s="170"/>
      <c r="R444" s="760"/>
    </row>
    <row r="445" spans="1:18" ht="18.75" customHeight="1" x14ac:dyDescent="0.2">
      <c r="A445" s="229"/>
      <c r="B445" s="229"/>
      <c r="C445" s="217" t="s">
        <v>985</v>
      </c>
      <c r="D445" s="353" t="s">
        <v>986</v>
      </c>
      <c r="E445" s="610"/>
      <c r="F445" s="170">
        <v>152564</v>
      </c>
      <c r="G445" s="170"/>
      <c r="H445" s="170"/>
      <c r="I445" s="170"/>
      <c r="J445" s="170"/>
      <c r="K445" s="170"/>
      <c r="L445" s="170">
        <v>-2000</v>
      </c>
      <c r="M445" s="170"/>
      <c r="N445" s="170">
        <v>2000</v>
      </c>
      <c r="O445" s="170"/>
      <c r="P445" s="170"/>
      <c r="Q445" s="170">
        <f t="shared" ref="Q445:Q458" si="28">SUM(G445:P445)</f>
        <v>0</v>
      </c>
      <c r="R445" s="760" t="s">
        <v>1490</v>
      </c>
    </row>
    <row r="446" spans="1:18" ht="13.5" hidden="1" customHeight="1" x14ac:dyDescent="0.2">
      <c r="A446" s="229"/>
      <c r="B446" s="229"/>
      <c r="C446" s="217" t="s">
        <v>987</v>
      </c>
      <c r="D446" s="329" t="s">
        <v>988</v>
      </c>
      <c r="E446" s="610"/>
      <c r="F446" s="170">
        <v>152565</v>
      </c>
      <c r="G446" s="170"/>
      <c r="H446" s="170"/>
      <c r="I446" s="170"/>
      <c r="J446" s="170"/>
      <c r="K446" s="170"/>
      <c r="L446" s="170"/>
      <c r="M446" s="170"/>
      <c r="N446" s="170"/>
      <c r="O446" s="170"/>
      <c r="P446" s="170"/>
      <c r="Q446" s="170">
        <f t="shared" si="28"/>
        <v>0</v>
      </c>
      <c r="R446" s="760"/>
    </row>
    <row r="447" spans="1:18" ht="14.25" hidden="1" customHeight="1" x14ac:dyDescent="0.2">
      <c r="A447" s="229"/>
      <c r="B447" s="229"/>
      <c r="C447" s="217" t="s">
        <v>989</v>
      </c>
      <c r="D447" s="245" t="s">
        <v>990</v>
      </c>
      <c r="E447" s="232"/>
      <c r="F447" s="170">
        <v>152504</v>
      </c>
      <c r="G447" s="170"/>
      <c r="H447" s="170"/>
      <c r="I447" s="170"/>
      <c r="J447" s="170"/>
      <c r="K447" s="170"/>
      <c r="L447" s="170"/>
      <c r="M447" s="170"/>
      <c r="N447" s="170"/>
      <c r="O447" s="170"/>
      <c r="P447" s="170"/>
      <c r="Q447" s="170">
        <f t="shared" si="28"/>
        <v>0</v>
      </c>
      <c r="R447" s="760"/>
    </row>
    <row r="448" spans="1:18" ht="18.75" hidden="1" customHeight="1" x14ac:dyDescent="0.2">
      <c r="A448" s="229"/>
      <c r="B448" s="229"/>
      <c r="C448" s="217" t="s">
        <v>991</v>
      </c>
      <c r="D448" s="353" t="s">
        <v>992</v>
      </c>
      <c r="E448" s="232"/>
      <c r="F448" s="170">
        <v>152566</v>
      </c>
      <c r="G448" s="170"/>
      <c r="H448" s="170"/>
      <c r="I448" s="170"/>
      <c r="J448" s="170"/>
      <c r="K448" s="170"/>
      <c r="L448" s="170"/>
      <c r="M448" s="170"/>
      <c r="N448" s="170"/>
      <c r="O448" s="170"/>
      <c r="P448" s="170"/>
      <c r="Q448" s="170">
        <f t="shared" si="28"/>
        <v>0</v>
      </c>
      <c r="R448" s="760"/>
    </row>
    <row r="449" spans="1:18" ht="18.75" hidden="1" customHeight="1" x14ac:dyDescent="0.2">
      <c r="A449" s="229"/>
      <c r="B449" s="229"/>
      <c r="C449" s="217" t="s">
        <v>993</v>
      </c>
      <c r="D449" s="245" t="s">
        <v>994</v>
      </c>
      <c r="E449" s="232"/>
      <c r="F449" s="170">
        <v>152567</v>
      </c>
      <c r="G449" s="170"/>
      <c r="H449" s="170"/>
      <c r="I449" s="170"/>
      <c r="J449" s="170"/>
      <c r="K449" s="170"/>
      <c r="L449" s="170"/>
      <c r="M449" s="170"/>
      <c r="N449" s="170"/>
      <c r="O449" s="170"/>
      <c r="P449" s="170"/>
      <c r="Q449" s="170">
        <f t="shared" si="28"/>
        <v>0</v>
      </c>
      <c r="R449" s="760"/>
    </row>
    <row r="450" spans="1:18" ht="18.75" hidden="1" customHeight="1" x14ac:dyDescent="0.2">
      <c r="A450" s="229"/>
      <c r="B450" s="229"/>
      <c r="C450" s="217" t="s">
        <v>995</v>
      </c>
      <c r="D450" s="245" t="s">
        <v>996</v>
      </c>
      <c r="E450" s="232"/>
      <c r="F450" s="170">
        <v>152568</v>
      </c>
      <c r="G450" s="170"/>
      <c r="H450" s="170"/>
      <c r="I450" s="170"/>
      <c r="J450" s="170"/>
      <c r="K450" s="170"/>
      <c r="L450" s="170"/>
      <c r="M450" s="170"/>
      <c r="N450" s="170"/>
      <c r="O450" s="170"/>
      <c r="P450" s="170"/>
      <c r="Q450" s="170">
        <f t="shared" si="28"/>
        <v>0</v>
      </c>
      <c r="R450" s="760"/>
    </row>
    <row r="451" spans="1:18" ht="18.75" hidden="1" customHeight="1" x14ac:dyDescent="0.2">
      <c r="A451" s="229"/>
      <c r="B451" s="229"/>
      <c r="C451" s="217" t="s">
        <v>997</v>
      </c>
      <c r="D451" s="592" t="s">
        <v>998</v>
      </c>
      <c r="E451" s="232"/>
      <c r="F451" s="170">
        <v>152569</v>
      </c>
      <c r="G451" s="170"/>
      <c r="H451" s="170"/>
      <c r="I451" s="170"/>
      <c r="J451" s="170"/>
      <c r="K451" s="170"/>
      <c r="L451" s="170"/>
      <c r="M451" s="170"/>
      <c r="N451" s="170"/>
      <c r="O451" s="170"/>
      <c r="P451" s="170"/>
      <c r="Q451" s="170">
        <f t="shared" si="28"/>
        <v>0</v>
      </c>
      <c r="R451" s="760"/>
    </row>
    <row r="452" spans="1:18" ht="18" hidden="1" customHeight="1" x14ac:dyDescent="0.2">
      <c r="A452" s="229"/>
      <c r="B452" s="229"/>
      <c r="C452" s="217" t="s">
        <v>999</v>
      </c>
      <c r="D452" s="592" t="s">
        <v>1000</v>
      </c>
      <c r="E452" s="610"/>
      <c r="F452" s="170">
        <v>152570</v>
      </c>
      <c r="G452" s="170"/>
      <c r="H452" s="170"/>
      <c r="I452" s="170"/>
      <c r="J452" s="170"/>
      <c r="K452" s="170"/>
      <c r="L452" s="170"/>
      <c r="M452" s="170"/>
      <c r="N452" s="170"/>
      <c r="O452" s="170"/>
      <c r="P452" s="170"/>
      <c r="Q452" s="170">
        <f t="shared" si="28"/>
        <v>0</v>
      </c>
      <c r="R452" s="760"/>
    </row>
    <row r="453" spans="1:18" ht="18" hidden="1" customHeight="1" x14ac:dyDescent="0.2">
      <c r="A453" s="229"/>
      <c r="B453" s="229"/>
      <c r="C453" s="217" t="s">
        <v>1001</v>
      </c>
      <c r="D453" s="353" t="s">
        <v>1002</v>
      </c>
      <c r="E453" s="610"/>
      <c r="F453" s="170">
        <v>154541</v>
      </c>
      <c r="G453" s="170"/>
      <c r="H453" s="170"/>
      <c r="I453" s="170"/>
      <c r="J453" s="170"/>
      <c r="K453" s="170"/>
      <c r="L453" s="170"/>
      <c r="M453" s="170"/>
      <c r="N453" s="170"/>
      <c r="O453" s="170"/>
      <c r="P453" s="170"/>
      <c r="Q453" s="170">
        <f t="shared" si="28"/>
        <v>0</v>
      </c>
      <c r="R453" s="760"/>
    </row>
    <row r="454" spans="1:18" ht="18.75" hidden="1" customHeight="1" x14ac:dyDescent="0.2">
      <c r="A454" s="229"/>
      <c r="B454" s="229"/>
      <c r="C454" s="217" t="s">
        <v>1003</v>
      </c>
      <c r="D454" s="353" t="s">
        <v>1004</v>
      </c>
      <c r="E454" s="610"/>
      <c r="F454" s="170">
        <v>154544</v>
      </c>
      <c r="G454" s="170"/>
      <c r="H454" s="170"/>
      <c r="I454" s="170"/>
      <c r="J454" s="170"/>
      <c r="K454" s="170"/>
      <c r="L454" s="170"/>
      <c r="M454" s="170"/>
      <c r="N454" s="170"/>
      <c r="O454" s="170"/>
      <c r="P454" s="170"/>
      <c r="Q454" s="170">
        <f t="shared" si="28"/>
        <v>0</v>
      </c>
      <c r="R454" s="760"/>
    </row>
    <row r="455" spans="1:18" ht="18.75" hidden="1" customHeight="1" x14ac:dyDescent="0.2">
      <c r="A455" s="229"/>
      <c r="B455" s="229"/>
      <c r="C455" s="217" t="s">
        <v>1005</v>
      </c>
      <c r="D455" s="359" t="s">
        <v>1006</v>
      </c>
      <c r="E455" s="610"/>
      <c r="F455" s="170">
        <v>152571</v>
      </c>
      <c r="G455" s="170"/>
      <c r="H455" s="170"/>
      <c r="I455" s="170"/>
      <c r="J455" s="170"/>
      <c r="K455" s="170"/>
      <c r="L455" s="170"/>
      <c r="M455" s="170"/>
      <c r="N455" s="170"/>
      <c r="O455" s="170"/>
      <c r="P455" s="170"/>
      <c r="Q455" s="170">
        <f t="shared" si="28"/>
        <v>0</v>
      </c>
      <c r="R455" s="760"/>
    </row>
    <row r="456" spans="1:18" ht="23.25" hidden="1" customHeight="1" x14ac:dyDescent="0.2">
      <c r="A456" s="229"/>
      <c r="B456" s="229"/>
      <c r="C456" s="217" t="s">
        <v>1007</v>
      </c>
      <c r="D456" s="359" t="s">
        <v>1008</v>
      </c>
      <c r="E456" s="610"/>
      <c r="F456" s="170">
        <v>152572</v>
      </c>
      <c r="G456" s="170"/>
      <c r="H456" s="170"/>
      <c r="I456" s="170"/>
      <c r="J456" s="170"/>
      <c r="K456" s="170"/>
      <c r="L456" s="170"/>
      <c r="M456" s="170"/>
      <c r="N456" s="170"/>
      <c r="O456" s="170"/>
      <c r="P456" s="170"/>
      <c r="Q456" s="170">
        <f t="shared" si="28"/>
        <v>0</v>
      </c>
      <c r="R456" s="760"/>
    </row>
    <row r="457" spans="1:18" ht="24.75" hidden="1" customHeight="1" x14ac:dyDescent="0.2">
      <c r="A457" s="229"/>
      <c r="B457" s="229"/>
      <c r="C457" s="217" t="s">
        <v>1009</v>
      </c>
      <c r="D457" s="359" t="s">
        <v>1390</v>
      </c>
      <c r="E457" s="610"/>
      <c r="F457" s="170">
        <v>152573</v>
      </c>
      <c r="G457" s="170"/>
      <c r="H457" s="170"/>
      <c r="I457" s="170"/>
      <c r="J457" s="170"/>
      <c r="K457" s="170"/>
      <c r="L457" s="170"/>
      <c r="M457" s="170"/>
      <c r="N457" s="170"/>
      <c r="O457" s="170"/>
      <c r="P457" s="170"/>
      <c r="Q457" s="170">
        <f t="shared" si="28"/>
        <v>0</v>
      </c>
      <c r="R457" s="760"/>
    </row>
    <row r="458" spans="1:18" ht="17.100000000000001" hidden="1" customHeight="1" x14ac:dyDescent="0.2">
      <c r="A458" s="229"/>
      <c r="B458" s="229"/>
      <c r="C458" s="217" t="s">
        <v>1010</v>
      </c>
      <c r="D458" s="359" t="s">
        <v>1011</v>
      </c>
      <c r="E458" s="610"/>
      <c r="F458" s="170">
        <v>152948</v>
      </c>
      <c r="G458" s="170"/>
      <c r="H458" s="170"/>
      <c r="I458" s="170"/>
      <c r="J458" s="170"/>
      <c r="K458" s="170"/>
      <c r="L458" s="170"/>
      <c r="M458" s="170"/>
      <c r="N458" s="170"/>
      <c r="O458" s="170"/>
      <c r="P458" s="170"/>
      <c r="Q458" s="170">
        <f t="shared" si="28"/>
        <v>0</v>
      </c>
      <c r="R458" s="760"/>
    </row>
    <row r="459" spans="1:18" ht="17.100000000000001" hidden="1" customHeight="1" x14ac:dyDescent="0.2">
      <c r="A459" s="229"/>
      <c r="B459" s="229"/>
      <c r="C459" s="229"/>
      <c r="D459" s="314" t="s">
        <v>502</v>
      </c>
      <c r="E459" s="232"/>
      <c r="F459" s="233"/>
      <c r="G459" s="170"/>
      <c r="H459" s="170"/>
      <c r="I459" s="170"/>
      <c r="J459" s="170"/>
      <c r="K459" s="170"/>
      <c r="L459" s="170"/>
      <c r="M459" s="170"/>
      <c r="N459" s="170"/>
      <c r="O459" s="170"/>
      <c r="P459" s="170"/>
      <c r="Q459" s="170"/>
      <c r="R459" s="760"/>
    </row>
    <row r="460" spans="1:18" ht="17.100000000000001" hidden="1" customHeight="1" x14ac:dyDescent="0.2">
      <c r="A460" s="229"/>
      <c r="B460" s="229"/>
      <c r="C460" s="363" t="s">
        <v>1012</v>
      </c>
      <c r="D460" s="625" t="s">
        <v>1013</v>
      </c>
      <c r="E460" s="358"/>
      <c r="F460" s="170">
        <v>154511</v>
      </c>
      <c r="G460" s="170"/>
      <c r="H460" s="170"/>
      <c r="I460" s="170"/>
      <c r="J460" s="170"/>
      <c r="K460" s="170"/>
      <c r="L460" s="170"/>
      <c r="M460" s="170"/>
      <c r="N460" s="170"/>
      <c r="O460" s="170"/>
      <c r="P460" s="170"/>
      <c r="Q460" s="170">
        <f>SUM(G460:P460)</f>
        <v>0</v>
      </c>
      <c r="R460" s="760"/>
    </row>
    <row r="461" spans="1:18" ht="24.75" hidden="1" customHeight="1" x14ac:dyDescent="0.2">
      <c r="A461" s="229"/>
      <c r="B461" s="229"/>
      <c r="C461" s="363" t="s">
        <v>1014</v>
      </c>
      <c r="D461" s="171" t="s">
        <v>1015</v>
      </c>
      <c r="E461" s="232"/>
      <c r="F461" s="170">
        <v>152555</v>
      </c>
      <c r="G461" s="170"/>
      <c r="H461" s="170"/>
      <c r="I461" s="170"/>
      <c r="J461" s="170"/>
      <c r="K461" s="170"/>
      <c r="L461" s="170"/>
      <c r="M461" s="170"/>
      <c r="N461" s="170"/>
      <c r="O461" s="170"/>
      <c r="P461" s="170"/>
      <c r="Q461" s="170">
        <f>SUM(G461:P461)</f>
        <v>0</v>
      </c>
      <c r="R461" s="760"/>
    </row>
    <row r="462" spans="1:18" ht="17.100000000000001" hidden="1" customHeight="1" x14ac:dyDescent="0.2">
      <c r="A462" s="229"/>
      <c r="B462" s="229"/>
      <c r="C462" s="363" t="s">
        <v>1016</v>
      </c>
      <c r="D462" s="245" t="s">
        <v>1017</v>
      </c>
      <c r="E462" s="622"/>
      <c r="F462" s="170">
        <v>152507</v>
      </c>
      <c r="G462" s="170"/>
      <c r="H462" s="170"/>
      <c r="I462" s="170"/>
      <c r="J462" s="170"/>
      <c r="K462" s="170"/>
      <c r="L462" s="170"/>
      <c r="M462" s="170"/>
      <c r="N462" s="170"/>
      <c r="O462" s="170"/>
      <c r="P462" s="170"/>
      <c r="Q462" s="170">
        <f>SUM(G462:P462)</f>
        <v>0</v>
      </c>
      <c r="R462" s="760"/>
    </row>
    <row r="463" spans="1:18" ht="26.25" hidden="1" customHeight="1" x14ac:dyDescent="0.2">
      <c r="A463" s="229"/>
      <c r="B463" s="229"/>
      <c r="C463" s="363" t="s">
        <v>1018</v>
      </c>
      <c r="D463" s="245" t="s">
        <v>1019</v>
      </c>
      <c r="E463" s="622"/>
      <c r="F463" s="170">
        <v>152561</v>
      </c>
      <c r="G463" s="170"/>
      <c r="H463" s="170"/>
      <c r="I463" s="170"/>
      <c r="J463" s="170"/>
      <c r="K463" s="170"/>
      <c r="L463" s="170"/>
      <c r="M463" s="170"/>
      <c r="N463" s="170"/>
      <c r="O463" s="170"/>
      <c r="P463" s="170"/>
      <c r="Q463" s="170">
        <f>SUM(G463:P463)</f>
        <v>0</v>
      </c>
      <c r="R463" s="760"/>
    </row>
    <row r="464" spans="1:18" ht="24" hidden="1" customHeight="1" x14ac:dyDescent="0.2">
      <c r="A464" s="229"/>
      <c r="B464" s="229"/>
      <c r="C464" s="363" t="s">
        <v>1020</v>
      </c>
      <c r="D464" s="245" t="s">
        <v>1021</v>
      </c>
      <c r="E464" s="622"/>
      <c r="F464" s="170">
        <v>152562</v>
      </c>
      <c r="G464" s="170"/>
      <c r="H464" s="170"/>
      <c r="I464" s="170"/>
      <c r="J464" s="170"/>
      <c r="K464" s="170"/>
      <c r="L464" s="170"/>
      <c r="M464" s="170"/>
      <c r="N464" s="170"/>
      <c r="O464" s="170"/>
      <c r="P464" s="170"/>
      <c r="Q464" s="170">
        <f>SUM(G464:P464)</f>
        <v>0</v>
      </c>
      <c r="R464" s="760"/>
    </row>
    <row r="465" spans="1:18" ht="17.100000000000001" hidden="1" customHeight="1" x14ac:dyDescent="0.2">
      <c r="A465" s="229"/>
      <c r="B465" s="229"/>
      <c r="C465" s="364" t="s">
        <v>116</v>
      </c>
      <c r="D465" s="350" t="s">
        <v>1022</v>
      </c>
      <c r="E465" s="232"/>
      <c r="F465" s="233"/>
      <c r="G465" s="170"/>
      <c r="H465" s="170"/>
      <c r="I465" s="170"/>
      <c r="J465" s="170"/>
      <c r="K465" s="170"/>
      <c r="L465" s="170"/>
      <c r="M465" s="170"/>
      <c r="N465" s="170"/>
      <c r="O465" s="170"/>
      <c r="P465" s="170"/>
      <c r="Q465" s="170"/>
      <c r="R465" s="760"/>
    </row>
    <row r="466" spans="1:18" ht="17.100000000000001" hidden="1" customHeight="1" x14ac:dyDescent="0.2">
      <c r="A466" s="229"/>
      <c r="B466" s="229"/>
      <c r="C466" s="360" t="s">
        <v>117</v>
      </c>
      <c r="D466" s="626" t="s">
        <v>1023</v>
      </c>
      <c r="E466" s="232"/>
      <c r="F466" s="233"/>
      <c r="G466" s="170"/>
      <c r="H466" s="170"/>
      <c r="I466" s="170"/>
      <c r="J466" s="170"/>
      <c r="K466" s="170"/>
      <c r="L466" s="170"/>
      <c r="M466" s="170"/>
      <c r="N466" s="170"/>
      <c r="O466" s="170"/>
      <c r="P466" s="170"/>
      <c r="Q466" s="170"/>
      <c r="R466" s="760"/>
    </row>
    <row r="467" spans="1:18" ht="17.100000000000001" hidden="1" customHeight="1" x14ac:dyDescent="0.2">
      <c r="A467" s="229"/>
      <c r="B467" s="229"/>
      <c r="C467" s="352" t="s">
        <v>1024</v>
      </c>
      <c r="D467" s="365" t="s">
        <v>1025</v>
      </c>
      <c r="E467" s="232"/>
      <c r="F467" s="170">
        <v>152801</v>
      </c>
      <c r="G467" s="230"/>
      <c r="H467" s="170"/>
      <c r="I467" s="170"/>
      <c r="J467" s="170"/>
      <c r="K467" s="170"/>
      <c r="L467" s="170"/>
      <c r="M467" s="170"/>
      <c r="N467" s="170"/>
      <c r="O467" s="170"/>
      <c r="P467" s="170"/>
      <c r="Q467" s="170">
        <f>SUM(G467:P467)</f>
        <v>0</v>
      </c>
      <c r="R467" s="760"/>
    </row>
    <row r="468" spans="1:18" ht="17.100000000000001" customHeight="1" x14ac:dyDescent="0.2">
      <c r="A468" s="229"/>
      <c r="B468" s="229"/>
      <c r="C468" s="366" t="s">
        <v>118</v>
      </c>
      <c r="D468" s="627" t="s">
        <v>1026</v>
      </c>
      <c r="E468" s="358"/>
      <c r="F468" s="170"/>
      <c r="G468" s="230"/>
      <c r="H468" s="170"/>
      <c r="I468" s="170"/>
      <c r="J468" s="170"/>
      <c r="K468" s="170"/>
      <c r="L468" s="170"/>
      <c r="M468" s="170"/>
      <c r="N468" s="170"/>
      <c r="O468" s="170"/>
      <c r="P468" s="170"/>
      <c r="Q468" s="170"/>
      <c r="R468" s="760"/>
    </row>
    <row r="469" spans="1:18" ht="17.100000000000001" hidden="1" customHeight="1" x14ac:dyDescent="0.2">
      <c r="A469" s="229"/>
      <c r="B469" s="229"/>
      <c r="C469" s="367" t="s">
        <v>1027</v>
      </c>
      <c r="D469" s="329" t="s">
        <v>1028</v>
      </c>
      <c r="E469" s="358"/>
      <c r="F469" s="170">
        <v>154921</v>
      </c>
      <c r="G469" s="230"/>
      <c r="H469" s="170"/>
      <c r="I469" s="170"/>
      <c r="J469" s="170"/>
      <c r="K469" s="170"/>
      <c r="L469" s="170"/>
      <c r="M469" s="170"/>
      <c r="N469" s="170"/>
      <c r="O469" s="170"/>
      <c r="P469" s="170"/>
      <c r="Q469" s="170">
        <f>SUM(G469:P469)</f>
        <v>0</v>
      </c>
      <c r="R469" s="760"/>
    </row>
    <row r="470" spans="1:18" ht="17.100000000000001" hidden="1" customHeight="1" x14ac:dyDescent="0.2">
      <c r="A470" s="229"/>
      <c r="B470" s="229"/>
      <c r="C470" s="367" t="s">
        <v>1029</v>
      </c>
      <c r="D470" s="329" t="s">
        <v>1030</v>
      </c>
      <c r="E470" s="358"/>
      <c r="F470" s="462">
        <v>152947</v>
      </c>
      <c r="G470" s="230"/>
      <c r="H470" s="170"/>
      <c r="I470" s="170"/>
      <c r="J470" s="170"/>
      <c r="K470" s="170"/>
      <c r="L470" s="170"/>
      <c r="M470" s="170"/>
      <c r="N470" s="170"/>
      <c r="O470" s="170"/>
      <c r="P470" s="170"/>
      <c r="Q470" s="170">
        <f>SUM(G470:P470)</f>
        <v>0</v>
      </c>
      <c r="R470" s="760" t="s">
        <v>1490</v>
      </c>
    </row>
    <row r="471" spans="1:18" ht="17.100000000000001" hidden="1" customHeight="1" x14ac:dyDescent="0.2">
      <c r="A471" s="229"/>
      <c r="B471" s="229"/>
      <c r="C471" s="284"/>
      <c r="D471" s="314" t="s">
        <v>502</v>
      </c>
      <c r="E471" s="358"/>
      <c r="F471" s="170"/>
      <c r="G471" s="230"/>
      <c r="H471" s="170"/>
      <c r="I471" s="170"/>
      <c r="J471" s="170"/>
      <c r="K471" s="170"/>
      <c r="L471" s="170"/>
      <c r="M471" s="170"/>
      <c r="N471" s="170"/>
      <c r="O471" s="170"/>
      <c r="P471" s="170"/>
      <c r="Q471" s="170"/>
      <c r="R471" s="760"/>
    </row>
    <row r="472" spans="1:18" ht="17.100000000000001" hidden="1" customHeight="1" x14ac:dyDescent="0.2">
      <c r="A472" s="229"/>
      <c r="B472" s="229"/>
      <c r="C472" s="217" t="s">
        <v>1031</v>
      </c>
      <c r="D472" s="368" t="s">
        <v>1034</v>
      </c>
      <c r="E472" s="230"/>
      <c r="F472" s="170">
        <v>152937</v>
      </c>
      <c r="G472" s="230"/>
      <c r="H472" s="170"/>
      <c r="I472" s="170"/>
      <c r="J472" s="170"/>
      <c r="K472" s="170"/>
      <c r="L472" s="170"/>
      <c r="M472" s="170"/>
      <c r="N472" s="170"/>
      <c r="O472" s="170"/>
      <c r="P472" s="170"/>
      <c r="Q472" s="170">
        <f t="shared" ref="Q472:Q477" si="29">SUM(G472:P472)</f>
        <v>0</v>
      </c>
      <c r="R472" s="760"/>
    </row>
    <row r="473" spans="1:18" ht="17.100000000000001" customHeight="1" x14ac:dyDescent="0.2">
      <c r="A473" s="229"/>
      <c r="B473" s="229"/>
      <c r="C473" s="217" t="s">
        <v>1033</v>
      </c>
      <c r="D473" s="245" t="s">
        <v>1036</v>
      </c>
      <c r="E473" s="610"/>
      <c r="F473" s="170">
        <v>152942</v>
      </c>
      <c r="G473" s="230"/>
      <c r="H473" s="170"/>
      <c r="I473" s="170">
        <v>8346</v>
      </c>
      <c r="J473" s="170"/>
      <c r="K473" s="170"/>
      <c r="L473" s="170">
        <v>-5000</v>
      </c>
      <c r="M473" s="170"/>
      <c r="N473" s="170"/>
      <c r="O473" s="170"/>
      <c r="P473" s="170"/>
      <c r="Q473" s="170">
        <f t="shared" si="29"/>
        <v>3346</v>
      </c>
      <c r="R473" s="760" t="s">
        <v>1490</v>
      </c>
    </row>
    <row r="474" spans="1:18" ht="26.25" hidden="1" customHeight="1" x14ac:dyDescent="0.2">
      <c r="A474" s="229"/>
      <c r="B474" s="229"/>
      <c r="C474" s="217" t="s">
        <v>1035</v>
      </c>
      <c r="D474" s="245" t="s">
        <v>1038</v>
      </c>
      <c r="E474" s="610"/>
      <c r="F474" s="170">
        <v>152940</v>
      </c>
      <c r="G474" s="230"/>
      <c r="H474" s="170"/>
      <c r="I474" s="170"/>
      <c r="J474" s="170"/>
      <c r="K474" s="170"/>
      <c r="L474" s="170"/>
      <c r="M474" s="170"/>
      <c r="N474" s="170"/>
      <c r="O474" s="170"/>
      <c r="P474" s="170"/>
      <c r="Q474" s="170">
        <f t="shared" si="29"/>
        <v>0</v>
      </c>
      <c r="R474" s="760"/>
    </row>
    <row r="475" spans="1:18" ht="17.25" hidden="1" customHeight="1" x14ac:dyDescent="0.2">
      <c r="A475" s="229"/>
      <c r="B475" s="229"/>
      <c r="C475" s="217" t="s">
        <v>1037</v>
      </c>
      <c r="D475" s="245" t="s">
        <v>1040</v>
      </c>
      <c r="E475" s="610"/>
      <c r="F475" s="170">
        <v>152944</v>
      </c>
      <c r="G475" s="230"/>
      <c r="H475" s="170"/>
      <c r="I475" s="170"/>
      <c r="J475" s="170"/>
      <c r="K475" s="170"/>
      <c r="L475" s="170"/>
      <c r="M475" s="170"/>
      <c r="N475" s="170"/>
      <c r="O475" s="170"/>
      <c r="P475" s="170"/>
      <c r="Q475" s="170">
        <f t="shared" si="29"/>
        <v>0</v>
      </c>
      <c r="R475" s="760"/>
    </row>
    <row r="476" spans="1:18" ht="19.5" hidden="1" customHeight="1" x14ac:dyDescent="0.2">
      <c r="A476" s="229"/>
      <c r="B476" s="229"/>
      <c r="C476" s="217" t="s">
        <v>1039</v>
      </c>
      <c r="D476" s="245" t="s">
        <v>1042</v>
      </c>
      <c r="E476" s="610"/>
      <c r="F476" s="170">
        <v>154918</v>
      </c>
      <c r="G476" s="230"/>
      <c r="H476" s="170"/>
      <c r="I476" s="170"/>
      <c r="J476" s="170"/>
      <c r="K476" s="170"/>
      <c r="L476" s="170"/>
      <c r="M476" s="170"/>
      <c r="N476" s="170"/>
      <c r="O476" s="170"/>
      <c r="P476" s="170"/>
      <c r="Q476" s="170">
        <f t="shared" si="29"/>
        <v>0</v>
      </c>
      <c r="R476" s="760"/>
    </row>
    <row r="477" spans="1:18" ht="18" hidden="1" customHeight="1" x14ac:dyDescent="0.2">
      <c r="A477" s="229"/>
      <c r="B477" s="229"/>
      <c r="C477" s="217" t="s">
        <v>1041</v>
      </c>
      <c r="D477" s="245" t="s">
        <v>1044</v>
      </c>
      <c r="E477" s="610"/>
      <c r="F477" s="170">
        <v>152946</v>
      </c>
      <c r="G477" s="230"/>
      <c r="H477" s="170"/>
      <c r="I477" s="170"/>
      <c r="J477" s="170"/>
      <c r="K477" s="170"/>
      <c r="L477" s="170"/>
      <c r="M477" s="170"/>
      <c r="N477" s="170"/>
      <c r="O477" s="170"/>
      <c r="P477" s="170"/>
      <c r="Q477" s="170">
        <f t="shared" si="29"/>
        <v>0</v>
      </c>
      <c r="R477" s="760"/>
    </row>
    <row r="478" spans="1:18" ht="20.25" customHeight="1" x14ac:dyDescent="0.2">
      <c r="A478" s="223"/>
      <c r="B478" s="223"/>
      <c r="C478" s="224"/>
      <c r="D478" s="182" t="s">
        <v>1045</v>
      </c>
      <c r="E478" s="227"/>
      <c r="F478" s="227"/>
      <c r="G478" s="227">
        <f t="shared" ref="G478:Q478" si="30">SUM(G351:G477)</f>
        <v>42</v>
      </c>
      <c r="H478" s="227">
        <f t="shared" si="30"/>
        <v>0</v>
      </c>
      <c r="I478" s="227">
        <f t="shared" si="30"/>
        <v>-4720</v>
      </c>
      <c r="J478" s="227">
        <f t="shared" si="30"/>
        <v>0</v>
      </c>
      <c r="K478" s="227">
        <f t="shared" si="30"/>
        <v>3600</v>
      </c>
      <c r="L478" s="227">
        <f t="shared" si="30"/>
        <v>-10524</v>
      </c>
      <c r="M478" s="227">
        <f t="shared" si="30"/>
        <v>14070</v>
      </c>
      <c r="N478" s="227">
        <f t="shared" si="30"/>
        <v>2000</v>
      </c>
      <c r="O478" s="227">
        <f t="shared" si="30"/>
        <v>0</v>
      </c>
      <c r="P478" s="227">
        <f t="shared" si="30"/>
        <v>0</v>
      </c>
      <c r="Q478" s="227">
        <f t="shared" si="30"/>
        <v>4468</v>
      </c>
      <c r="R478" s="761"/>
    </row>
    <row r="479" spans="1:18" ht="15" customHeight="1" x14ac:dyDescent="0.2">
      <c r="A479" s="197">
        <v>1</v>
      </c>
      <c r="B479" s="197">
        <v>16</v>
      </c>
      <c r="C479" s="217"/>
      <c r="D479" s="307" t="s">
        <v>1046</v>
      </c>
      <c r="E479" s="230"/>
      <c r="F479" s="170"/>
      <c r="G479" s="170"/>
      <c r="H479" s="202"/>
      <c r="I479" s="202"/>
      <c r="J479" s="202"/>
      <c r="K479" s="202"/>
      <c r="L479" s="202"/>
      <c r="M479" s="170"/>
      <c r="N479" s="170"/>
      <c r="O479" s="170"/>
      <c r="P479" s="170"/>
      <c r="Q479" s="170"/>
      <c r="R479" s="760"/>
    </row>
    <row r="480" spans="1:18" ht="15" customHeight="1" x14ac:dyDescent="0.2">
      <c r="A480" s="197"/>
      <c r="B480" s="197"/>
      <c r="C480" s="217"/>
      <c r="D480" s="177" t="s">
        <v>342</v>
      </c>
      <c r="E480" s="230"/>
      <c r="F480" s="170"/>
      <c r="G480" s="170"/>
      <c r="H480" s="202"/>
      <c r="I480" s="202"/>
      <c r="J480" s="202"/>
      <c r="K480" s="202"/>
      <c r="L480" s="202"/>
      <c r="M480" s="170"/>
      <c r="N480" s="170"/>
      <c r="O480" s="170"/>
      <c r="P480" s="170"/>
      <c r="Q480" s="170"/>
      <c r="R480" s="760"/>
    </row>
    <row r="481" spans="1:18" ht="15" hidden="1" customHeight="1" x14ac:dyDescent="0.2">
      <c r="A481" s="197"/>
      <c r="B481" s="197"/>
      <c r="C481" s="217"/>
      <c r="D481" s="314" t="s">
        <v>1047</v>
      </c>
      <c r="E481" s="170">
        <v>2</v>
      </c>
      <c r="F481" s="170">
        <v>161910</v>
      </c>
      <c r="G481" s="170"/>
      <c r="H481" s="202"/>
      <c r="I481" s="202"/>
      <c r="J481" s="202"/>
      <c r="K481" s="202"/>
      <c r="L481" s="202"/>
      <c r="M481" s="170"/>
      <c r="N481" s="170"/>
      <c r="O481" s="170"/>
      <c r="P481" s="170"/>
      <c r="Q481" s="170">
        <f t="shared" ref="Q481:Q487" si="31">SUM(G481:P481)</f>
        <v>0</v>
      </c>
      <c r="R481" s="760"/>
    </row>
    <row r="482" spans="1:18" ht="15" customHeight="1" x14ac:dyDescent="0.2">
      <c r="A482" s="197"/>
      <c r="B482" s="197"/>
      <c r="C482" s="217"/>
      <c r="D482" s="314" t="s">
        <v>1048</v>
      </c>
      <c r="E482" s="170">
        <v>1</v>
      </c>
      <c r="F482" s="170">
        <v>161908</v>
      </c>
      <c r="G482" s="170"/>
      <c r="H482" s="202"/>
      <c r="I482" s="202">
        <v>-750</v>
      </c>
      <c r="J482" s="202"/>
      <c r="K482" s="202"/>
      <c r="L482" s="202"/>
      <c r="M482" s="170"/>
      <c r="N482" s="170"/>
      <c r="O482" s="170"/>
      <c r="P482" s="326"/>
      <c r="Q482" s="170">
        <f t="shared" si="31"/>
        <v>-750</v>
      </c>
      <c r="R482" s="760" t="s">
        <v>1491</v>
      </c>
    </row>
    <row r="483" spans="1:18" ht="29.25" customHeight="1" x14ac:dyDescent="0.2">
      <c r="A483" s="197"/>
      <c r="B483" s="197"/>
      <c r="C483" s="217"/>
      <c r="D483" s="172" t="s">
        <v>1049</v>
      </c>
      <c r="E483" s="170">
        <v>2</v>
      </c>
      <c r="F483" s="170">
        <v>161911</v>
      </c>
      <c r="G483" s="170"/>
      <c r="H483" s="202"/>
      <c r="I483" s="202">
        <v>273</v>
      </c>
      <c r="J483" s="202"/>
      <c r="K483" s="202"/>
      <c r="L483" s="202"/>
      <c r="M483" s="170"/>
      <c r="N483" s="170"/>
      <c r="O483" s="170"/>
      <c r="P483" s="326"/>
      <c r="Q483" s="170">
        <f t="shared" si="31"/>
        <v>273</v>
      </c>
      <c r="R483" s="760" t="s">
        <v>1489</v>
      </c>
    </row>
    <row r="484" spans="1:18" ht="24" hidden="1" customHeight="1" x14ac:dyDescent="0.2">
      <c r="A484" s="197"/>
      <c r="B484" s="197"/>
      <c r="C484" s="217"/>
      <c r="D484" s="171" t="s">
        <v>1050</v>
      </c>
      <c r="E484" s="170">
        <v>2</v>
      </c>
      <c r="F484" s="170">
        <v>161904</v>
      </c>
      <c r="G484" s="170"/>
      <c r="H484" s="202"/>
      <c r="I484" s="202"/>
      <c r="J484" s="202"/>
      <c r="K484" s="202"/>
      <c r="L484" s="202"/>
      <c r="M484" s="170"/>
      <c r="N484" s="170"/>
      <c r="O484" s="170"/>
      <c r="P484" s="326"/>
      <c r="Q484" s="170">
        <f t="shared" si="31"/>
        <v>0</v>
      </c>
      <c r="R484" s="760"/>
    </row>
    <row r="485" spans="1:18" ht="24" hidden="1" customHeight="1" x14ac:dyDescent="0.2">
      <c r="A485" s="197"/>
      <c r="B485" s="197"/>
      <c r="C485" s="217"/>
      <c r="D485" s="172" t="s">
        <v>1051</v>
      </c>
      <c r="E485" s="213">
        <v>2</v>
      </c>
      <c r="F485" s="170">
        <v>161903</v>
      </c>
      <c r="G485" s="170"/>
      <c r="H485" s="202"/>
      <c r="I485" s="202"/>
      <c r="J485" s="202"/>
      <c r="K485" s="202"/>
      <c r="L485" s="202"/>
      <c r="M485" s="170"/>
      <c r="N485" s="170"/>
      <c r="O485" s="170"/>
      <c r="P485" s="326"/>
      <c r="Q485" s="170">
        <f t="shared" si="31"/>
        <v>0</v>
      </c>
      <c r="R485" s="760"/>
    </row>
    <row r="486" spans="1:18" ht="24" hidden="1" customHeight="1" x14ac:dyDescent="0.2">
      <c r="A486" s="197"/>
      <c r="B486" s="197"/>
      <c r="C486" s="217"/>
      <c r="D486" s="172" t="s">
        <v>1052</v>
      </c>
      <c r="E486" s="170">
        <v>1</v>
      </c>
      <c r="F486" s="170">
        <v>161912</v>
      </c>
      <c r="G486" s="170"/>
      <c r="H486" s="202"/>
      <c r="I486" s="202"/>
      <c r="J486" s="202"/>
      <c r="K486" s="202"/>
      <c r="L486" s="202"/>
      <c r="M486" s="170"/>
      <c r="N486" s="170"/>
      <c r="O486" s="170"/>
      <c r="P486" s="326"/>
      <c r="Q486" s="170">
        <f t="shared" si="31"/>
        <v>0</v>
      </c>
      <c r="R486" s="760"/>
    </row>
    <row r="487" spans="1:18" ht="19.5" hidden="1" customHeight="1" x14ac:dyDescent="0.2">
      <c r="A487" s="197"/>
      <c r="B487" s="197"/>
      <c r="C487" s="217"/>
      <c r="D487" s="333" t="s">
        <v>762</v>
      </c>
      <c r="E487" s="334">
        <v>1</v>
      </c>
      <c r="F487" s="250">
        <v>151919</v>
      </c>
      <c r="G487" s="170"/>
      <c r="H487" s="202"/>
      <c r="I487" s="170"/>
      <c r="J487" s="202"/>
      <c r="K487" s="202"/>
      <c r="L487" s="202"/>
      <c r="M487" s="170"/>
      <c r="N487" s="170"/>
      <c r="O487" s="170"/>
      <c r="P487" s="170"/>
      <c r="Q487" s="170">
        <f t="shared" si="31"/>
        <v>0</v>
      </c>
      <c r="R487" s="760"/>
    </row>
    <row r="488" spans="1:18" ht="14.1" hidden="1" customHeight="1" x14ac:dyDescent="0.2">
      <c r="A488" s="197"/>
      <c r="B488" s="197"/>
      <c r="C488" s="217"/>
      <c r="D488" s="325" t="s">
        <v>356</v>
      </c>
      <c r="E488" s="370"/>
      <c r="F488" s="170"/>
      <c r="G488" s="170"/>
      <c r="H488" s="202"/>
      <c r="I488" s="202"/>
      <c r="J488" s="202"/>
      <c r="K488" s="202"/>
      <c r="L488" s="202"/>
      <c r="M488" s="170"/>
      <c r="N488" s="170"/>
      <c r="O488" s="170"/>
      <c r="P488" s="170"/>
      <c r="Q488" s="170"/>
      <c r="R488" s="760"/>
    </row>
    <row r="489" spans="1:18" ht="14.1" hidden="1" customHeight="1" x14ac:dyDescent="0.2">
      <c r="A489" s="197"/>
      <c r="B489" s="197"/>
      <c r="C489" s="217"/>
      <c r="D489" s="371" t="s">
        <v>1053</v>
      </c>
      <c r="E489" s="170">
        <v>2</v>
      </c>
      <c r="F489" s="170">
        <v>151606</v>
      </c>
      <c r="G489" s="170"/>
      <c r="H489" s="202"/>
      <c r="I489" s="202"/>
      <c r="J489" s="202"/>
      <c r="K489" s="202"/>
      <c r="L489" s="202"/>
      <c r="M489" s="170"/>
      <c r="N489" s="170"/>
      <c r="O489" s="170"/>
      <c r="P489" s="170"/>
      <c r="Q489" s="170">
        <f>SUM(G489:P489)</f>
        <v>0</v>
      </c>
      <c r="R489" s="760"/>
    </row>
    <row r="490" spans="1:18" ht="16.5" hidden="1" customHeight="1" x14ac:dyDescent="0.2">
      <c r="A490" s="197"/>
      <c r="B490" s="197"/>
      <c r="C490" s="217"/>
      <c r="D490" s="325" t="s">
        <v>790</v>
      </c>
      <c r="E490" s="372"/>
      <c r="F490" s="170"/>
      <c r="G490" s="170"/>
      <c r="H490" s="202"/>
      <c r="I490" s="202"/>
      <c r="J490" s="202"/>
      <c r="K490" s="202"/>
      <c r="L490" s="202"/>
      <c r="M490" s="170"/>
      <c r="N490" s="170"/>
      <c r="O490" s="170"/>
      <c r="P490" s="170"/>
      <c r="Q490" s="170"/>
      <c r="R490" s="760"/>
    </row>
    <row r="491" spans="1:18" ht="25.5" hidden="1" customHeight="1" x14ac:dyDescent="0.2">
      <c r="A491" s="197"/>
      <c r="B491" s="197"/>
      <c r="C491" s="217"/>
      <c r="D491" s="171" t="s">
        <v>1459</v>
      </c>
      <c r="E491" s="170">
        <v>2</v>
      </c>
      <c r="F491" s="170">
        <v>151203</v>
      </c>
      <c r="G491" s="170"/>
      <c r="H491" s="202"/>
      <c r="I491" s="170"/>
      <c r="J491" s="202"/>
      <c r="K491" s="202"/>
      <c r="L491" s="202"/>
      <c r="M491" s="170"/>
      <c r="N491" s="170"/>
      <c r="O491" s="170"/>
      <c r="P491" s="170"/>
      <c r="Q491" s="170">
        <f>SUM(G491:P491)</f>
        <v>0</v>
      </c>
      <c r="R491" s="760"/>
    </row>
    <row r="492" spans="1:18" ht="14.1" customHeight="1" x14ac:dyDescent="0.2">
      <c r="A492" s="373"/>
      <c r="B492" s="373"/>
      <c r="C492" s="374"/>
      <c r="D492" s="339" t="s">
        <v>1054</v>
      </c>
      <c r="E492" s="315"/>
      <c r="F492" s="317"/>
      <c r="G492" s="317">
        <f t="shared" ref="G492:Q492" si="32">SUM(G481:G491)</f>
        <v>0</v>
      </c>
      <c r="H492" s="317">
        <f t="shared" si="32"/>
        <v>0</v>
      </c>
      <c r="I492" s="317">
        <f t="shared" si="32"/>
        <v>-477</v>
      </c>
      <c r="J492" s="317">
        <f t="shared" si="32"/>
        <v>0</v>
      </c>
      <c r="K492" s="317">
        <f t="shared" si="32"/>
        <v>0</v>
      </c>
      <c r="L492" s="317">
        <f t="shared" si="32"/>
        <v>0</v>
      </c>
      <c r="M492" s="317">
        <f t="shared" si="32"/>
        <v>0</v>
      </c>
      <c r="N492" s="317">
        <f t="shared" si="32"/>
        <v>0</v>
      </c>
      <c r="O492" s="317">
        <f t="shared" si="32"/>
        <v>0</v>
      </c>
      <c r="P492" s="317">
        <f t="shared" si="32"/>
        <v>0</v>
      </c>
      <c r="Q492" s="317">
        <f t="shared" si="32"/>
        <v>-477</v>
      </c>
      <c r="R492" s="761"/>
    </row>
    <row r="493" spans="1:18" ht="14.1" customHeight="1" x14ac:dyDescent="0.2">
      <c r="A493" s="197"/>
      <c r="B493" s="197"/>
      <c r="C493" s="217"/>
      <c r="D493" s="318" t="s">
        <v>1055</v>
      </c>
      <c r="E493" s="230"/>
      <c r="F493" s="170"/>
      <c r="G493" s="202"/>
      <c r="H493" s="202"/>
      <c r="I493" s="202"/>
      <c r="J493" s="170"/>
      <c r="K493" s="170"/>
      <c r="L493" s="170"/>
      <c r="M493" s="170"/>
      <c r="N493" s="170"/>
      <c r="O493" s="170"/>
      <c r="P493" s="170"/>
      <c r="Q493" s="170"/>
      <c r="R493" s="760"/>
    </row>
    <row r="494" spans="1:18" ht="17.25" customHeight="1" x14ac:dyDescent="0.2">
      <c r="A494" s="197"/>
      <c r="B494" s="197"/>
      <c r="C494" s="375" t="s">
        <v>125</v>
      </c>
      <c r="D494" s="376" t="s">
        <v>803</v>
      </c>
      <c r="E494" s="230"/>
      <c r="F494" s="170"/>
      <c r="G494" s="202"/>
      <c r="H494" s="202"/>
      <c r="I494" s="202"/>
      <c r="J494" s="170"/>
      <c r="K494" s="170"/>
      <c r="L494" s="170"/>
      <c r="M494" s="170"/>
      <c r="N494" s="170"/>
      <c r="O494" s="170"/>
      <c r="P494" s="170"/>
      <c r="Q494" s="170"/>
      <c r="R494" s="760"/>
    </row>
    <row r="495" spans="1:18" ht="17.25" customHeight="1" x14ac:dyDescent="0.2">
      <c r="A495" s="197"/>
      <c r="B495" s="197"/>
      <c r="C495" s="350" t="s">
        <v>500</v>
      </c>
      <c r="D495" s="377" t="s">
        <v>1056</v>
      </c>
      <c r="E495" s="230"/>
      <c r="F495" s="230">
        <v>164106</v>
      </c>
      <c r="G495" s="202"/>
      <c r="H495" s="202"/>
      <c r="I495" s="202"/>
      <c r="J495" s="170"/>
      <c r="K495" s="170"/>
      <c r="L495" s="170">
        <v>1444</v>
      </c>
      <c r="M495" s="170">
        <v>1585</v>
      </c>
      <c r="N495" s="170"/>
      <c r="O495" s="170"/>
      <c r="P495" s="170"/>
      <c r="Q495" s="170">
        <f>SUM(G495:P495)</f>
        <v>3029</v>
      </c>
      <c r="R495" s="760" t="s">
        <v>1491</v>
      </c>
    </row>
    <row r="496" spans="1:18" ht="17.25" customHeight="1" x14ac:dyDescent="0.2">
      <c r="A496" s="197"/>
      <c r="B496" s="197"/>
      <c r="C496" s="350" t="s">
        <v>805</v>
      </c>
      <c r="D496" s="579" t="s">
        <v>1391</v>
      </c>
      <c r="E496" s="230"/>
      <c r="F496" s="230">
        <v>161909</v>
      </c>
      <c r="G496" s="202"/>
      <c r="H496" s="202"/>
      <c r="I496" s="202"/>
      <c r="J496" s="170"/>
      <c r="K496" s="170"/>
      <c r="L496" s="170">
        <v>-14766</v>
      </c>
      <c r="M496" s="170">
        <v>28198</v>
      </c>
      <c r="N496" s="170"/>
      <c r="O496" s="170"/>
      <c r="P496" s="170"/>
      <c r="Q496" s="170">
        <f>SUM(G496:P496)</f>
        <v>13432</v>
      </c>
      <c r="R496" s="760" t="s">
        <v>1491</v>
      </c>
    </row>
    <row r="497" spans="1:18" ht="14.1" hidden="1" customHeight="1" x14ac:dyDescent="0.2">
      <c r="A497" s="197"/>
      <c r="B497" s="197"/>
      <c r="C497" s="217"/>
      <c r="D497" s="314" t="s">
        <v>502</v>
      </c>
      <c r="E497" s="230"/>
      <c r="F497" s="230"/>
      <c r="G497" s="202"/>
      <c r="H497" s="202"/>
      <c r="I497" s="202"/>
      <c r="J497" s="170"/>
      <c r="K497" s="170"/>
      <c r="L497" s="170"/>
      <c r="M497" s="170"/>
      <c r="N497" s="170"/>
      <c r="O497" s="170"/>
      <c r="P497" s="170"/>
      <c r="Q497" s="170"/>
      <c r="R497" s="760"/>
    </row>
    <row r="498" spans="1:18" ht="14.1" hidden="1" customHeight="1" x14ac:dyDescent="0.2">
      <c r="A498" s="197"/>
      <c r="B498" s="197"/>
      <c r="C498" s="217" t="s">
        <v>503</v>
      </c>
      <c r="D498" s="378" t="s">
        <v>1057</v>
      </c>
      <c r="E498" s="358"/>
      <c r="F498" s="230">
        <v>162126</v>
      </c>
      <c r="G498" s="202"/>
      <c r="H498" s="202"/>
      <c r="I498" s="202"/>
      <c r="J498" s="170"/>
      <c r="K498" s="170"/>
      <c r="L498" s="170"/>
      <c r="M498" s="170"/>
      <c r="N498" s="170"/>
      <c r="O498" s="170"/>
      <c r="P498" s="170"/>
      <c r="Q498" s="170">
        <f>SUM(G498:P498)</f>
        <v>0</v>
      </c>
      <c r="R498" s="760"/>
    </row>
    <row r="499" spans="1:18" ht="23.25" hidden="1" customHeight="1" x14ac:dyDescent="0.2">
      <c r="A499" s="197"/>
      <c r="B499" s="197"/>
      <c r="C499" s="217" t="s">
        <v>505</v>
      </c>
      <c r="D499" s="379" t="s">
        <v>1058</v>
      </c>
      <c r="E499" s="358"/>
      <c r="F499" s="230">
        <v>162112</v>
      </c>
      <c r="G499" s="202"/>
      <c r="H499" s="202"/>
      <c r="I499" s="202"/>
      <c r="J499" s="170"/>
      <c r="K499" s="170"/>
      <c r="L499" s="170"/>
      <c r="M499" s="170"/>
      <c r="N499" s="170"/>
      <c r="O499" s="170"/>
      <c r="P499" s="170"/>
      <c r="Q499" s="170">
        <f>SUM(G499:P499)</f>
        <v>0</v>
      </c>
      <c r="R499" s="760"/>
    </row>
    <row r="500" spans="1:18" ht="18" hidden="1" customHeight="1" x14ac:dyDescent="0.2">
      <c r="A500" s="197"/>
      <c r="B500" s="197"/>
      <c r="C500" s="217" t="s">
        <v>820</v>
      </c>
      <c r="D500" s="379" t="s">
        <v>1059</v>
      </c>
      <c r="E500" s="358"/>
      <c r="F500" s="230">
        <v>162107</v>
      </c>
      <c r="G500" s="202"/>
      <c r="H500" s="202"/>
      <c r="I500" s="202"/>
      <c r="J500" s="170"/>
      <c r="K500" s="170"/>
      <c r="L500" s="170"/>
      <c r="M500" s="170"/>
      <c r="N500" s="170"/>
      <c r="O500" s="170"/>
      <c r="P500" s="170"/>
      <c r="Q500" s="170">
        <f>SUM(G500:P500)</f>
        <v>0</v>
      </c>
      <c r="R500" s="760"/>
    </row>
    <row r="501" spans="1:18" ht="25.5" hidden="1" customHeight="1" x14ac:dyDescent="0.2">
      <c r="A501" s="197"/>
      <c r="B501" s="197"/>
      <c r="C501" s="217" t="s">
        <v>822</v>
      </c>
      <c r="D501" s="171" t="s">
        <v>1060</v>
      </c>
      <c r="E501" s="230"/>
      <c r="F501" s="230">
        <v>162166</v>
      </c>
      <c r="G501" s="202"/>
      <c r="H501" s="202"/>
      <c r="I501" s="202"/>
      <c r="J501" s="170"/>
      <c r="K501" s="170"/>
      <c r="L501" s="170"/>
      <c r="M501" s="170"/>
      <c r="N501" s="170"/>
      <c r="O501" s="170"/>
      <c r="P501" s="170"/>
      <c r="Q501" s="170">
        <f>SUM(G501:P501)</f>
        <v>0</v>
      </c>
      <c r="R501" s="760"/>
    </row>
    <row r="502" spans="1:18" ht="15.75" hidden="1" customHeight="1" x14ac:dyDescent="0.2">
      <c r="A502" s="197"/>
      <c r="B502" s="197"/>
      <c r="C502" s="217" t="s">
        <v>824</v>
      </c>
      <c r="D502" s="377" t="s">
        <v>1061</v>
      </c>
      <c r="E502" s="230"/>
      <c r="F502" s="230">
        <v>162168</v>
      </c>
      <c r="G502" s="202"/>
      <c r="H502" s="202"/>
      <c r="I502" s="202"/>
      <c r="J502" s="170"/>
      <c r="K502" s="170"/>
      <c r="L502" s="170"/>
      <c r="M502" s="170"/>
      <c r="N502" s="170"/>
      <c r="O502" s="170"/>
      <c r="P502" s="170"/>
      <c r="Q502" s="170">
        <f>SUM(G502:P502)</f>
        <v>0</v>
      </c>
      <c r="R502" s="760"/>
    </row>
    <row r="503" spans="1:18" ht="17.25" hidden="1" customHeight="1" x14ac:dyDescent="0.2">
      <c r="A503" s="197"/>
      <c r="B503" s="197"/>
      <c r="C503" s="628" t="s">
        <v>124</v>
      </c>
      <c r="D503" s="350" t="s">
        <v>826</v>
      </c>
      <c r="E503" s="230"/>
      <c r="F503" s="230"/>
      <c r="G503" s="202"/>
      <c r="H503" s="202"/>
      <c r="I503" s="202"/>
      <c r="J503" s="170"/>
      <c r="K503" s="170"/>
      <c r="L503" s="170"/>
      <c r="M503" s="170"/>
      <c r="N503" s="170"/>
      <c r="O503" s="170"/>
      <c r="P503" s="170"/>
      <c r="Q503" s="170"/>
      <c r="R503" s="760"/>
    </row>
    <row r="504" spans="1:18" ht="16.5" hidden="1" customHeight="1" x14ac:dyDescent="0.2">
      <c r="A504" s="197"/>
      <c r="B504" s="197"/>
      <c r="C504" s="628" t="s">
        <v>1062</v>
      </c>
      <c r="D504" s="380" t="s">
        <v>1063</v>
      </c>
      <c r="E504" s="230"/>
      <c r="F504" s="230">
        <v>164204</v>
      </c>
      <c r="G504" s="202"/>
      <c r="H504" s="202"/>
      <c r="I504" s="202"/>
      <c r="J504" s="170"/>
      <c r="K504" s="170"/>
      <c r="L504" s="170"/>
      <c r="M504" s="170"/>
      <c r="N504" s="170"/>
      <c r="O504" s="170"/>
      <c r="P504" s="170"/>
      <c r="Q504" s="170">
        <f>SUM(G504:P504)</f>
        <v>0</v>
      </c>
      <c r="R504" s="760"/>
    </row>
    <row r="505" spans="1:18" ht="16.5" hidden="1" customHeight="1" x14ac:dyDescent="0.2">
      <c r="A505" s="197"/>
      <c r="B505" s="197"/>
      <c r="C505" s="217"/>
      <c r="D505" s="314" t="s">
        <v>502</v>
      </c>
      <c r="E505" s="230"/>
      <c r="F505" s="230"/>
      <c r="G505" s="202"/>
      <c r="H505" s="202"/>
      <c r="I505" s="202"/>
      <c r="J505" s="170"/>
      <c r="K505" s="170"/>
      <c r="L505" s="170"/>
      <c r="M505" s="170"/>
      <c r="N505" s="170"/>
      <c r="O505" s="170"/>
      <c r="P505" s="170"/>
      <c r="Q505" s="170"/>
      <c r="R505" s="760"/>
    </row>
    <row r="506" spans="1:18" ht="34.5" hidden="1" customHeight="1" x14ac:dyDescent="0.2">
      <c r="A506" s="197"/>
      <c r="B506" s="197"/>
      <c r="C506" s="217" t="s">
        <v>1064</v>
      </c>
      <c r="D506" s="245" t="s">
        <v>1065</v>
      </c>
      <c r="E506" s="230"/>
      <c r="F506" s="230">
        <v>164205</v>
      </c>
      <c r="G506" s="202"/>
      <c r="H506" s="202"/>
      <c r="I506" s="202"/>
      <c r="J506" s="170"/>
      <c r="K506" s="170"/>
      <c r="L506" s="170"/>
      <c r="M506" s="170"/>
      <c r="N506" s="170"/>
      <c r="O506" s="170"/>
      <c r="P506" s="170"/>
      <c r="Q506" s="170">
        <f>SUM(G506:P506)</f>
        <v>0</v>
      </c>
      <c r="R506" s="760"/>
    </row>
    <row r="507" spans="1:18" ht="36.75" hidden="1" customHeight="1" x14ac:dyDescent="0.2">
      <c r="A507" s="197"/>
      <c r="B507" s="197"/>
      <c r="C507" s="217" t="s">
        <v>1066</v>
      </c>
      <c r="D507" s="245" t="s">
        <v>1067</v>
      </c>
      <c r="E507" s="230"/>
      <c r="F507" s="230">
        <v>164206</v>
      </c>
      <c r="G507" s="202"/>
      <c r="H507" s="202"/>
      <c r="I507" s="202"/>
      <c r="J507" s="170"/>
      <c r="K507" s="170"/>
      <c r="L507" s="170"/>
      <c r="M507" s="170"/>
      <c r="N507" s="170"/>
      <c r="O507" s="170"/>
      <c r="P507" s="170"/>
      <c r="Q507" s="170">
        <f>SUM(G507:P507)</f>
        <v>0</v>
      </c>
      <c r="R507" s="760"/>
    </row>
    <row r="508" spans="1:18" ht="17.100000000000001" customHeight="1" x14ac:dyDescent="0.2">
      <c r="A508" s="197"/>
      <c r="B508" s="197"/>
      <c r="C508" s="629" t="s">
        <v>126</v>
      </c>
      <c r="D508" s="350" t="s">
        <v>1068</v>
      </c>
      <c r="E508" s="230"/>
      <c r="F508" s="230"/>
      <c r="G508" s="202"/>
      <c r="H508" s="202"/>
      <c r="I508" s="202"/>
      <c r="J508" s="170"/>
      <c r="K508" s="170"/>
      <c r="L508" s="170"/>
      <c r="M508" s="170"/>
      <c r="N508" s="170"/>
      <c r="O508" s="170"/>
      <c r="P508" s="170"/>
      <c r="Q508" s="170"/>
      <c r="R508" s="760"/>
    </row>
    <row r="509" spans="1:18" ht="17.100000000000001" hidden="1" customHeight="1" x14ac:dyDescent="0.2">
      <c r="A509" s="197"/>
      <c r="B509" s="381"/>
      <c r="C509" s="630" t="s">
        <v>668</v>
      </c>
      <c r="D509" s="609" t="s">
        <v>1069</v>
      </c>
      <c r="E509" s="230"/>
      <c r="F509" s="230">
        <v>162302</v>
      </c>
      <c r="G509" s="202"/>
      <c r="H509" s="202"/>
      <c r="I509" s="202"/>
      <c r="J509" s="170"/>
      <c r="K509" s="170"/>
      <c r="L509" s="170"/>
      <c r="M509" s="170"/>
      <c r="N509" s="170"/>
      <c r="O509" s="170"/>
      <c r="P509" s="170"/>
      <c r="Q509" s="170">
        <f>SUM(G509:P509)</f>
        <v>0</v>
      </c>
      <c r="R509" s="760"/>
    </row>
    <row r="510" spans="1:18" ht="17.100000000000001" hidden="1" customHeight="1" x14ac:dyDescent="0.2">
      <c r="A510" s="197"/>
      <c r="B510" s="381"/>
      <c r="C510" s="630" t="s">
        <v>669</v>
      </c>
      <c r="D510" s="464" t="s">
        <v>1070</v>
      </c>
      <c r="E510" s="230"/>
      <c r="F510" s="607">
        <v>162307</v>
      </c>
      <c r="G510" s="202"/>
      <c r="H510" s="202"/>
      <c r="I510" s="202"/>
      <c r="J510" s="170"/>
      <c r="K510" s="170"/>
      <c r="L510" s="170"/>
      <c r="M510" s="170"/>
      <c r="N510" s="170"/>
      <c r="O510" s="170"/>
      <c r="P510" s="170"/>
      <c r="Q510" s="170">
        <f>SUM(G510:P510)</f>
        <v>0</v>
      </c>
      <c r="R510" s="760"/>
    </row>
    <row r="511" spans="1:18" ht="27.75" hidden="1" customHeight="1" x14ac:dyDescent="0.2">
      <c r="A511" s="197"/>
      <c r="B511" s="381"/>
      <c r="C511" s="630" t="s">
        <v>830</v>
      </c>
      <c r="D511" s="464" t="s">
        <v>1355</v>
      </c>
      <c r="E511" s="230"/>
      <c r="F511" s="607">
        <v>164301</v>
      </c>
      <c r="G511" s="202"/>
      <c r="H511" s="202"/>
      <c r="I511" s="202"/>
      <c r="J511" s="170"/>
      <c r="K511" s="170"/>
      <c r="L511" s="170"/>
      <c r="M511" s="170"/>
      <c r="N511" s="170"/>
      <c r="O511" s="170"/>
      <c r="P511" s="170"/>
      <c r="Q511" s="170">
        <f>SUM(G511:P511)</f>
        <v>0</v>
      </c>
      <c r="R511" s="760"/>
    </row>
    <row r="512" spans="1:18" ht="18" customHeight="1" x14ac:dyDescent="0.2">
      <c r="A512" s="862"/>
      <c r="B512" s="919"/>
      <c r="C512" s="920" t="s">
        <v>1498</v>
      </c>
      <c r="D512" s="921" t="s">
        <v>1499</v>
      </c>
      <c r="E512" s="857"/>
      <c r="F512" s="861">
        <v>162308</v>
      </c>
      <c r="G512" s="863"/>
      <c r="H512" s="863"/>
      <c r="I512" s="863"/>
      <c r="J512" s="823"/>
      <c r="K512" s="823"/>
      <c r="L512" s="823">
        <v>1600</v>
      </c>
      <c r="M512" s="823"/>
      <c r="N512" s="823"/>
      <c r="O512" s="823"/>
      <c r="P512" s="823"/>
      <c r="Q512" s="170">
        <f>SUM(G512:P512)</f>
        <v>1600</v>
      </c>
      <c r="R512" s="852" t="s">
        <v>1489</v>
      </c>
    </row>
    <row r="513" spans="1:18" ht="17.100000000000001" customHeight="1" x14ac:dyDescent="0.2">
      <c r="A513" s="197"/>
      <c r="B513" s="381"/>
      <c r="C513" s="631" t="s">
        <v>127</v>
      </c>
      <c r="D513" s="350" t="s">
        <v>1071</v>
      </c>
      <c r="E513" s="230"/>
      <c r="F513" s="230"/>
      <c r="G513" s="202"/>
      <c r="H513" s="202"/>
      <c r="I513" s="202"/>
      <c r="J513" s="170"/>
      <c r="K513" s="170"/>
      <c r="L513" s="170"/>
      <c r="M513" s="170"/>
      <c r="N513" s="170"/>
      <c r="O513" s="170"/>
      <c r="P513" s="170"/>
      <c r="Q513" s="170"/>
      <c r="R513" s="760"/>
    </row>
    <row r="514" spans="1:18" ht="17.100000000000001" customHeight="1" x14ac:dyDescent="0.2">
      <c r="A514" s="197"/>
      <c r="B514" s="381"/>
      <c r="C514" s="631" t="s">
        <v>847</v>
      </c>
      <c r="D514" s="353" t="s">
        <v>1072</v>
      </c>
      <c r="E514" s="610"/>
      <c r="F514" s="230">
        <v>164417</v>
      </c>
      <c r="G514" s="170"/>
      <c r="H514" s="170"/>
      <c r="I514" s="170"/>
      <c r="J514" s="170"/>
      <c r="K514" s="170"/>
      <c r="L514" s="170"/>
      <c r="M514" s="170">
        <v>1670</v>
      </c>
      <c r="N514" s="170"/>
      <c r="O514" s="170"/>
      <c r="P514" s="170"/>
      <c r="Q514" s="170">
        <f t="shared" ref="Q514:Q541" si="33">SUM(G514:P514)</f>
        <v>1670</v>
      </c>
      <c r="R514" s="760" t="s">
        <v>1490</v>
      </c>
    </row>
    <row r="515" spans="1:18" ht="17.100000000000001" hidden="1" customHeight="1" x14ac:dyDescent="0.2">
      <c r="A515" s="197"/>
      <c r="B515" s="381"/>
      <c r="C515" s="631" t="s">
        <v>849</v>
      </c>
      <c r="D515" s="353" t="s">
        <v>1073</v>
      </c>
      <c r="E515" s="610"/>
      <c r="F515" s="230">
        <v>162420</v>
      </c>
      <c r="G515" s="170"/>
      <c r="H515" s="170"/>
      <c r="I515" s="170"/>
      <c r="J515" s="170"/>
      <c r="K515" s="170"/>
      <c r="L515" s="170"/>
      <c r="M515" s="170"/>
      <c r="N515" s="170"/>
      <c r="O515" s="170"/>
      <c r="P515" s="170"/>
      <c r="Q515" s="170">
        <f t="shared" si="33"/>
        <v>0</v>
      </c>
      <c r="R515" s="760"/>
    </row>
    <row r="516" spans="1:18" ht="24.75" hidden="1" customHeight="1" x14ac:dyDescent="0.2">
      <c r="A516" s="197"/>
      <c r="B516" s="381"/>
      <c r="C516" s="631" t="s">
        <v>851</v>
      </c>
      <c r="D516" s="382" t="s">
        <v>1074</v>
      </c>
      <c r="E516" s="610"/>
      <c r="F516" s="230">
        <v>162425</v>
      </c>
      <c r="G516" s="170"/>
      <c r="H516" s="170"/>
      <c r="I516" s="170"/>
      <c r="J516" s="170"/>
      <c r="K516" s="170"/>
      <c r="L516" s="170"/>
      <c r="M516" s="170"/>
      <c r="N516" s="170"/>
      <c r="O516" s="170"/>
      <c r="P516" s="170"/>
      <c r="Q516" s="170">
        <f t="shared" si="33"/>
        <v>0</v>
      </c>
      <c r="R516" s="760"/>
    </row>
    <row r="517" spans="1:18" ht="17.25" hidden="1" customHeight="1" x14ac:dyDescent="0.2">
      <c r="A517" s="197"/>
      <c r="B517" s="381"/>
      <c r="C517" s="631" t="s">
        <v>853</v>
      </c>
      <c r="D517" s="359" t="s">
        <v>1075</v>
      </c>
      <c r="E517" s="610"/>
      <c r="F517" s="230">
        <v>162426</v>
      </c>
      <c r="G517" s="170"/>
      <c r="H517" s="170"/>
      <c r="I517" s="170"/>
      <c r="J517" s="170"/>
      <c r="K517" s="170"/>
      <c r="L517" s="170"/>
      <c r="M517" s="170"/>
      <c r="N517" s="170"/>
      <c r="O517" s="170"/>
      <c r="P517" s="170"/>
      <c r="Q517" s="170">
        <f t="shared" si="33"/>
        <v>0</v>
      </c>
      <c r="R517" s="760"/>
    </row>
    <row r="518" spans="1:18" ht="15.75" hidden="1" customHeight="1" x14ac:dyDescent="0.2">
      <c r="A518" s="197"/>
      <c r="B518" s="381"/>
      <c r="C518" s="631" t="s">
        <v>855</v>
      </c>
      <c r="D518" s="359" t="s">
        <v>1076</v>
      </c>
      <c r="E518" s="610"/>
      <c r="F518" s="230">
        <v>162966</v>
      </c>
      <c r="G518" s="170"/>
      <c r="H518" s="170"/>
      <c r="I518" s="170"/>
      <c r="J518" s="170"/>
      <c r="K518" s="170"/>
      <c r="L518" s="170"/>
      <c r="M518" s="170"/>
      <c r="N518" s="170"/>
      <c r="O518" s="170"/>
      <c r="P518" s="170"/>
      <c r="Q518" s="170">
        <f t="shared" si="33"/>
        <v>0</v>
      </c>
      <c r="R518" s="760"/>
    </row>
    <row r="519" spans="1:18" ht="24.75" hidden="1" customHeight="1" x14ac:dyDescent="0.2">
      <c r="A519" s="197"/>
      <c r="B519" s="381"/>
      <c r="C519" s="631" t="s">
        <v>857</v>
      </c>
      <c r="D519" s="359" t="s">
        <v>1077</v>
      </c>
      <c r="E519" s="610"/>
      <c r="F519" s="230">
        <v>162427</v>
      </c>
      <c r="G519" s="170"/>
      <c r="H519" s="170"/>
      <c r="I519" s="170"/>
      <c r="J519" s="170"/>
      <c r="K519" s="170"/>
      <c r="L519" s="170"/>
      <c r="M519" s="170"/>
      <c r="N519" s="170"/>
      <c r="O519" s="170"/>
      <c r="P519" s="170"/>
      <c r="Q519" s="170">
        <f t="shared" si="33"/>
        <v>0</v>
      </c>
      <c r="R519" s="760"/>
    </row>
    <row r="520" spans="1:18" ht="18.75" customHeight="1" x14ac:dyDescent="0.2">
      <c r="A520" s="197"/>
      <c r="B520" s="381"/>
      <c r="C520" s="631" t="s">
        <v>859</v>
      </c>
      <c r="D520" s="213" t="s">
        <v>1078</v>
      </c>
      <c r="E520" s="610"/>
      <c r="F520" s="230">
        <v>162428</v>
      </c>
      <c r="G520" s="170"/>
      <c r="H520" s="170"/>
      <c r="I520" s="170"/>
      <c r="J520" s="170"/>
      <c r="K520" s="170"/>
      <c r="L520" s="170">
        <v>-3690</v>
      </c>
      <c r="M520" s="170"/>
      <c r="N520" s="170"/>
      <c r="O520" s="170"/>
      <c r="P520" s="170"/>
      <c r="Q520" s="170">
        <f t="shared" si="33"/>
        <v>-3690</v>
      </c>
      <c r="R520" s="760" t="s">
        <v>1490</v>
      </c>
    </row>
    <row r="521" spans="1:18" ht="13.5" customHeight="1" x14ac:dyDescent="0.2">
      <c r="A521" s="197"/>
      <c r="B521" s="381"/>
      <c r="C521" s="631" t="s">
        <v>861</v>
      </c>
      <c r="D521" s="213" t="s">
        <v>1079</v>
      </c>
      <c r="E521" s="610"/>
      <c r="F521" s="230">
        <v>162429</v>
      </c>
      <c r="G521" s="170"/>
      <c r="H521" s="170"/>
      <c r="I521" s="170">
        <v>1562</v>
      </c>
      <c r="J521" s="170"/>
      <c r="K521" s="170"/>
      <c r="L521" s="170">
        <v>-1562</v>
      </c>
      <c r="M521" s="170"/>
      <c r="N521" s="170"/>
      <c r="O521" s="170"/>
      <c r="P521" s="170"/>
      <c r="Q521" s="170">
        <f t="shared" si="33"/>
        <v>0</v>
      </c>
      <c r="R521" s="760" t="s">
        <v>1490</v>
      </c>
    </row>
    <row r="522" spans="1:18" ht="16.5" hidden="1" customHeight="1" x14ac:dyDescent="0.2">
      <c r="A522" s="197"/>
      <c r="B522" s="381"/>
      <c r="C522" s="631" t="s">
        <v>863</v>
      </c>
      <c r="D522" s="382" t="s">
        <v>1080</v>
      </c>
      <c r="E522" s="610"/>
      <c r="F522" s="230">
        <v>162430</v>
      </c>
      <c r="G522" s="170"/>
      <c r="H522" s="170"/>
      <c r="I522" s="170"/>
      <c r="J522" s="170"/>
      <c r="K522" s="170"/>
      <c r="L522" s="170"/>
      <c r="M522" s="170"/>
      <c r="N522" s="170"/>
      <c r="O522" s="170"/>
      <c r="P522" s="170"/>
      <c r="Q522" s="170">
        <f t="shared" si="33"/>
        <v>0</v>
      </c>
      <c r="R522" s="760"/>
    </row>
    <row r="523" spans="1:18" ht="16.5" customHeight="1" x14ac:dyDescent="0.2">
      <c r="A523" s="197"/>
      <c r="B523" s="381"/>
      <c r="C523" s="631" t="s">
        <v>865</v>
      </c>
      <c r="D523" s="382" t="s">
        <v>1354</v>
      </c>
      <c r="E523" s="610"/>
      <c r="F523" s="230">
        <v>162431</v>
      </c>
      <c r="G523" s="170"/>
      <c r="H523" s="170"/>
      <c r="I523" s="170">
        <v>394</v>
      </c>
      <c r="J523" s="170"/>
      <c r="K523" s="170"/>
      <c r="L523" s="170">
        <v>-394</v>
      </c>
      <c r="M523" s="170"/>
      <c r="N523" s="170"/>
      <c r="O523" s="170"/>
      <c r="P523" s="170"/>
      <c r="Q523" s="170">
        <f t="shared" si="33"/>
        <v>0</v>
      </c>
      <c r="R523" s="760" t="s">
        <v>1490</v>
      </c>
    </row>
    <row r="524" spans="1:18" ht="36" hidden="1" customHeight="1" x14ac:dyDescent="0.2">
      <c r="A524" s="197"/>
      <c r="B524" s="381"/>
      <c r="C524" s="631" t="s">
        <v>866</v>
      </c>
      <c r="D524" s="297" t="s">
        <v>848</v>
      </c>
      <c r="E524" s="610"/>
      <c r="F524" s="230">
        <v>152417</v>
      </c>
      <c r="G524" s="170"/>
      <c r="H524" s="170"/>
      <c r="I524" s="170"/>
      <c r="J524" s="170"/>
      <c r="K524" s="170"/>
      <c r="L524" s="170"/>
      <c r="M524" s="170"/>
      <c r="N524" s="170"/>
      <c r="O524" s="170"/>
      <c r="P524" s="170"/>
      <c r="Q524" s="170">
        <f t="shared" si="33"/>
        <v>0</v>
      </c>
      <c r="R524" s="760"/>
    </row>
    <row r="525" spans="1:18" ht="16.5" hidden="1" customHeight="1" x14ac:dyDescent="0.2">
      <c r="A525" s="197"/>
      <c r="B525" s="381"/>
      <c r="C525" s="631" t="s">
        <v>868</v>
      </c>
      <c r="D525" s="353" t="s">
        <v>850</v>
      </c>
      <c r="E525" s="358"/>
      <c r="F525" s="230">
        <v>152418</v>
      </c>
      <c r="G525" s="170"/>
      <c r="H525" s="170"/>
      <c r="I525" s="170"/>
      <c r="J525" s="170"/>
      <c r="K525" s="170"/>
      <c r="L525" s="170"/>
      <c r="M525" s="170"/>
      <c r="N525" s="170"/>
      <c r="O525" s="170"/>
      <c r="P525" s="170"/>
      <c r="Q525" s="170">
        <f t="shared" si="33"/>
        <v>0</v>
      </c>
      <c r="R525" s="760"/>
    </row>
    <row r="526" spans="1:18" ht="27.75" hidden="1" customHeight="1" x14ac:dyDescent="0.2">
      <c r="A526" s="197"/>
      <c r="B526" s="381"/>
      <c r="C526" s="631" t="s">
        <v>870</v>
      </c>
      <c r="D526" s="353" t="s">
        <v>856</v>
      </c>
      <c r="E526" s="610"/>
      <c r="F526" s="230">
        <v>152413</v>
      </c>
      <c r="G526" s="170"/>
      <c r="H526" s="170"/>
      <c r="I526" s="170"/>
      <c r="J526" s="170"/>
      <c r="K526" s="170"/>
      <c r="L526" s="170"/>
      <c r="M526" s="170"/>
      <c r="N526" s="170"/>
      <c r="O526" s="170"/>
      <c r="P526" s="170"/>
      <c r="Q526" s="170">
        <f t="shared" si="33"/>
        <v>0</v>
      </c>
      <c r="R526" s="760"/>
    </row>
    <row r="527" spans="1:18" ht="16.5" hidden="1" customHeight="1" x14ac:dyDescent="0.2">
      <c r="A527" s="197"/>
      <c r="B527" s="381"/>
      <c r="C527" s="631" t="s">
        <v>872</v>
      </c>
      <c r="D527" s="353" t="s">
        <v>873</v>
      </c>
      <c r="E527" s="610"/>
      <c r="F527" s="230">
        <v>155486</v>
      </c>
      <c r="G527" s="170"/>
      <c r="H527" s="170"/>
      <c r="I527" s="170"/>
      <c r="J527" s="170"/>
      <c r="K527" s="170"/>
      <c r="L527" s="170"/>
      <c r="M527" s="170"/>
      <c r="N527" s="170"/>
      <c r="O527" s="170"/>
      <c r="P527" s="170"/>
      <c r="Q527" s="170">
        <f t="shared" si="33"/>
        <v>0</v>
      </c>
      <c r="R527" s="760"/>
    </row>
    <row r="528" spans="1:18" ht="16.5" hidden="1" customHeight="1" x14ac:dyDescent="0.2">
      <c r="A528" s="197"/>
      <c r="B528" s="381"/>
      <c r="C528" s="631" t="s">
        <v>874</v>
      </c>
      <c r="D528" s="353" t="s">
        <v>875</v>
      </c>
      <c r="E528" s="610"/>
      <c r="F528" s="230">
        <v>155487</v>
      </c>
      <c r="G528" s="170"/>
      <c r="H528" s="170"/>
      <c r="I528" s="170"/>
      <c r="J528" s="170"/>
      <c r="K528" s="170"/>
      <c r="L528" s="170"/>
      <c r="M528" s="170"/>
      <c r="N528" s="170"/>
      <c r="O528" s="170"/>
      <c r="P528" s="170"/>
      <c r="Q528" s="170">
        <f t="shared" si="33"/>
        <v>0</v>
      </c>
      <c r="R528" s="760"/>
    </row>
    <row r="529" spans="1:18" ht="16.5" hidden="1" customHeight="1" x14ac:dyDescent="0.2">
      <c r="A529" s="197"/>
      <c r="B529" s="381"/>
      <c r="C529" s="631" t="s">
        <v>876</v>
      </c>
      <c r="D529" s="353" t="s">
        <v>877</v>
      </c>
      <c r="E529" s="610"/>
      <c r="F529" s="230">
        <v>155488</v>
      </c>
      <c r="G529" s="170"/>
      <c r="H529" s="170"/>
      <c r="I529" s="170"/>
      <c r="J529" s="170"/>
      <c r="K529" s="170"/>
      <c r="L529" s="170"/>
      <c r="M529" s="170"/>
      <c r="N529" s="170"/>
      <c r="O529" s="170"/>
      <c r="P529" s="170"/>
      <c r="Q529" s="170">
        <f t="shared" si="33"/>
        <v>0</v>
      </c>
      <c r="R529" s="760"/>
    </row>
    <row r="530" spans="1:18" ht="16.5" hidden="1" customHeight="1" x14ac:dyDescent="0.2">
      <c r="A530" s="197"/>
      <c r="B530" s="381"/>
      <c r="C530" s="631" t="s">
        <v>878</v>
      </c>
      <c r="D530" s="382" t="s">
        <v>879</v>
      </c>
      <c r="E530" s="230"/>
      <c r="F530" s="230">
        <v>152491</v>
      </c>
      <c r="G530" s="202"/>
      <c r="H530" s="202"/>
      <c r="I530" s="202"/>
      <c r="J530" s="170"/>
      <c r="K530" s="170"/>
      <c r="L530" s="170"/>
      <c r="M530" s="170"/>
      <c r="N530" s="170"/>
      <c r="O530" s="170"/>
      <c r="P530" s="170"/>
      <c r="Q530" s="170">
        <f t="shared" si="33"/>
        <v>0</v>
      </c>
      <c r="R530" s="760"/>
    </row>
    <row r="531" spans="1:18" ht="16.5" hidden="1" customHeight="1" x14ac:dyDescent="0.2">
      <c r="A531" s="197"/>
      <c r="B531" s="381"/>
      <c r="C531" s="631" t="s">
        <v>880</v>
      </c>
      <c r="D531" s="353" t="s">
        <v>883</v>
      </c>
      <c r="E531" s="610"/>
      <c r="F531" s="230">
        <v>152492</v>
      </c>
      <c r="G531" s="170"/>
      <c r="H531" s="170"/>
      <c r="I531" s="170"/>
      <c r="J531" s="170"/>
      <c r="K531" s="170"/>
      <c r="L531" s="170"/>
      <c r="M531" s="170"/>
      <c r="N531" s="170"/>
      <c r="O531" s="170"/>
      <c r="P531" s="170"/>
      <c r="Q531" s="170">
        <f t="shared" si="33"/>
        <v>0</v>
      </c>
      <c r="R531" s="760"/>
    </row>
    <row r="532" spans="1:18" ht="16.5" hidden="1" customHeight="1" x14ac:dyDescent="0.2">
      <c r="A532" s="197"/>
      <c r="B532" s="381"/>
      <c r="C532" s="631" t="s">
        <v>882</v>
      </c>
      <c r="D532" s="592" t="s">
        <v>892</v>
      </c>
      <c r="E532" s="610"/>
      <c r="F532" s="230">
        <v>152493</v>
      </c>
      <c r="G532" s="170"/>
      <c r="H532" s="170"/>
      <c r="I532" s="170"/>
      <c r="J532" s="170"/>
      <c r="K532" s="170"/>
      <c r="L532" s="170"/>
      <c r="M532" s="170"/>
      <c r="N532" s="170"/>
      <c r="O532" s="170"/>
      <c r="P532" s="170"/>
      <c r="Q532" s="170">
        <f t="shared" si="33"/>
        <v>0</v>
      </c>
      <c r="R532" s="760"/>
    </row>
    <row r="533" spans="1:18" ht="16.5" hidden="1" customHeight="1" x14ac:dyDescent="0.2">
      <c r="A533" s="197"/>
      <c r="B533" s="381"/>
      <c r="C533" s="631" t="s">
        <v>884</v>
      </c>
      <c r="D533" s="593" t="s">
        <v>1366</v>
      </c>
      <c r="E533" s="610"/>
      <c r="F533" s="230">
        <v>155493</v>
      </c>
      <c r="G533" s="170"/>
      <c r="H533" s="170"/>
      <c r="I533" s="170"/>
      <c r="J533" s="170"/>
      <c r="K533" s="170"/>
      <c r="L533" s="170"/>
      <c r="M533" s="170"/>
      <c r="N533" s="170"/>
      <c r="O533" s="170"/>
      <c r="P533" s="170"/>
      <c r="Q533" s="170">
        <f t="shared" si="33"/>
        <v>0</v>
      </c>
      <c r="R533" s="760"/>
    </row>
    <row r="534" spans="1:18" ht="16.5" hidden="1" customHeight="1" x14ac:dyDescent="0.2">
      <c r="A534" s="197"/>
      <c r="B534" s="381"/>
      <c r="C534" s="631" t="s">
        <v>885</v>
      </c>
      <c r="D534" s="353" t="s">
        <v>901</v>
      </c>
      <c r="E534" s="610"/>
      <c r="F534" s="230">
        <v>152494</v>
      </c>
      <c r="G534" s="170"/>
      <c r="H534" s="170"/>
      <c r="I534" s="170"/>
      <c r="J534" s="170"/>
      <c r="K534" s="170"/>
      <c r="L534" s="170"/>
      <c r="M534" s="170"/>
      <c r="N534" s="170"/>
      <c r="O534" s="170"/>
      <c r="P534" s="170"/>
      <c r="Q534" s="170">
        <f t="shared" si="33"/>
        <v>0</v>
      </c>
      <c r="R534" s="760"/>
    </row>
    <row r="535" spans="1:18" ht="16.5" hidden="1" customHeight="1" x14ac:dyDescent="0.2">
      <c r="A535" s="197"/>
      <c r="B535" s="381"/>
      <c r="C535" s="631" t="s">
        <v>887</v>
      </c>
      <c r="D535" s="593" t="s">
        <v>907</v>
      </c>
      <c r="E535" s="610"/>
      <c r="F535" s="230">
        <v>152497</v>
      </c>
      <c r="G535" s="170"/>
      <c r="H535" s="170"/>
      <c r="I535" s="170"/>
      <c r="J535" s="170"/>
      <c r="K535" s="170"/>
      <c r="L535" s="170"/>
      <c r="M535" s="170"/>
      <c r="N535" s="170"/>
      <c r="O535" s="170"/>
      <c r="P535" s="170"/>
      <c r="Q535" s="170">
        <f t="shared" si="33"/>
        <v>0</v>
      </c>
      <c r="R535" s="760"/>
    </row>
    <row r="536" spans="1:18" ht="16.5" hidden="1" customHeight="1" x14ac:dyDescent="0.2">
      <c r="A536" s="197"/>
      <c r="B536" s="381"/>
      <c r="C536" s="631" t="s">
        <v>889</v>
      </c>
      <c r="D536" s="353" t="s">
        <v>909</v>
      </c>
      <c r="E536" s="610"/>
      <c r="F536" s="230">
        <v>152498</v>
      </c>
      <c r="G536" s="170"/>
      <c r="H536" s="170"/>
      <c r="I536" s="170"/>
      <c r="J536" s="170"/>
      <c r="K536" s="170"/>
      <c r="L536" s="170"/>
      <c r="M536" s="170"/>
      <c r="N536" s="170"/>
      <c r="O536" s="170"/>
      <c r="P536" s="170"/>
      <c r="Q536" s="170">
        <f t="shared" si="33"/>
        <v>0</v>
      </c>
      <c r="R536" s="760"/>
    </row>
    <row r="537" spans="1:18" ht="16.5" hidden="1" customHeight="1" x14ac:dyDescent="0.2">
      <c r="A537" s="197"/>
      <c r="B537" s="381"/>
      <c r="C537" s="631" t="s">
        <v>891</v>
      </c>
      <c r="D537" s="353" t="s">
        <v>911</v>
      </c>
      <c r="E537" s="610"/>
      <c r="F537" s="230">
        <v>155495</v>
      </c>
      <c r="G537" s="170"/>
      <c r="H537" s="170"/>
      <c r="I537" s="170"/>
      <c r="J537" s="170"/>
      <c r="K537" s="170"/>
      <c r="L537" s="170"/>
      <c r="M537" s="170"/>
      <c r="N537" s="170"/>
      <c r="O537" s="170"/>
      <c r="P537" s="170"/>
      <c r="Q537" s="170">
        <f t="shared" si="33"/>
        <v>0</v>
      </c>
      <c r="R537" s="760"/>
    </row>
    <row r="538" spans="1:18" ht="16.5" hidden="1" customHeight="1" x14ac:dyDescent="0.2">
      <c r="A538" s="197"/>
      <c r="B538" s="381"/>
      <c r="C538" s="631" t="s">
        <v>893</v>
      </c>
      <c r="D538" s="593" t="s">
        <v>917</v>
      </c>
      <c r="E538" s="610"/>
      <c r="F538" s="230">
        <v>152421</v>
      </c>
      <c r="G538" s="170"/>
      <c r="H538" s="170"/>
      <c r="I538" s="170"/>
      <c r="J538" s="170"/>
      <c r="K538" s="170"/>
      <c r="L538" s="170"/>
      <c r="M538" s="170"/>
      <c r="N538" s="170"/>
      <c r="O538" s="170"/>
      <c r="P538" s="170"/>
      <c r="Q538" s="170">
        <f t="shared" si="33"/>
        <v>0</v>
      </c>
      <c r="R538" s="760"/>
    </row>
    <row r="539" spans="1:18" ht="16.5" hidden="1" customHeight="1" x14ac:dyDescent="0.2">
      <c r="A539" s="197"/>
      <c r="B539" s="381"/>
      <c r="C539" s="631" t="s">
        <v>895</v>
      </c>
      <c r="D539" s="353" t="s">
        <v>919</v>
      </c>
      <c r="E539" s="610"/>
      <c r="F539" s="230">
        <v>152422</v>
      </c>
      <c r="G539" s="170"/>
      <c r="H539" s="170"/>
      <c r="I539" s="170"/>
      <c r="J539" s="170"/>
      <c r="K539" s="170"/>
      <c r="L539" s="170"/>
      <c r="M539" s="170"/>
      <c r="N539" s="170"/>
      <c r="O539" s="170"/>
      <c r="P539" s="170"/>
      <c r="Q539" s="170">
        <f t="shared" si="33"/>
        <v>0</v>
      </c>
      <c r="R539" s="760"/>
    </row>
    <row r="540" spans="1:18" ht="16.5" hidden="1" customHeight="1" x14ac:dyDescent="0.2">
      <c r="A540" s="197"/>
      <c r="B540" s="381"/>
      <c r="C540" s="631" t="s">
        <v>896</v>
      </c>
      <c r="D540" s="353" t="s">
        <v>923</v>
      </c>
      <c r="E540" s="610"/>
      <c r="F540" s="230">
        <v>152423</v>
      </c>
      <c r="G540" s="170"/>
      <c r="H540" s="170"/>
      <c r="I540" s="170"/>
      <c r="J540" s="170"/>
      <c r="K540" s="170"/>
      <c r="L540" s="170"/>
      <c r="M540" s="170"/>
      <c r="N540" s="170"/>
      <c r="O540" s="170"/>
      <c r="P540" s="170"/>
      <c r="Q540" s="170">
        <f t="shared" si="33"/>
        <v>0</v>
      </c>
      <c r="R540" s="760"/>
    </row>
    <row r="541" spans="1:18" ht="16.5" hidden="1" customHeight="1" x14ac:dyDescent="0.2">
      <c r="A541" s="197"/>
      <c r="B541" s="381"/>
      <c r="C541" s="631" t="s">
        <v>898</v>
      </c>
      <c r="D541" s="353" t="s">
        <v>925</v>
      </c>
      <c r="E541" s="610"/>
      <c r="F541" s="230">
        <v>152424</v>
      </c>
      <c r="G541" s="170"/>
      <c r="H541" s="170"/>
      <c r="I541" s="170"/>
      <c r="J541" s="170"/>
      <c r="K541" s="170"/>
      <c r="L541" s="170"/>
      <c r="M541" s="170"/>
      <c r="N541" s="170"/>
      <c r="O541" s="170"/>
      <c r="P541" s="170"/>
      <c r="Q541" s="170">
        <f t="shared" si="33"/>
        <v>0</v>
      </c>
      <c r="R541" s="760"/>
    </row>
    <row r="542" spans="1:18" ht="17.100000000000001" hidden="1" customHeight="1" x14ac:dyDescent="0.2">
      <c r="A542" s="197"/>
      <c r="B542" s="197"/>
      <c r="C542" s="631"/>
      <c r="D542" s="314" t="s">
        <v>502</v>
      </c>
      <c r="E542" s="230"/>
      <c r="F542" s="230"/>
      <c r="G542" s="202"/>
      <c r="H542" s="202"/>
      <c r="I542" s="202"/>
      <c r="J542" s="170"/>
      <c r="K542" s="170"/>
      <c r="L542" s="170"/>
      <c r="M542" s="170"/>
      <c r="N542" s="170"/>
      <c r="O542" s="170"/>
      <c r="P542" s="170"/>
      <c r="Q542" s="170"/>
      <c r="R542" s="760"/>
    </row>
    <row r="543" spans="1:18" ht="17.100000000000001" hidden="1" customHeight="1" x14ac:dyDescent="0.2">
      <c r="A543" s="197"/>
      <c r="B543" s="197"/>
      <c r="C543" s="631" t="s">
        <v>965</v>
      </c>
      <c r="D543" s="383" t="s">
        <v>1081</v>
      </c>
      <c r="E543" s="230"/>
      <c r="F543" s="230">
        <v>162424</v>
      </c>
      <c r="G543" s="202"/>
      <c r="H543" s="202"/>
      <c r="I543" s="202"/>
      <c r="J543" s="170"/>
      <c r="K543" s="170"/>
      <c r="L543" s="170"/>
      <c r="M543" s="170"/>
      <c r="N543" s="170"/>
      <c r="O543" s="170"/>
      <c r="P543" s="170"/>
      <c r="Q543" s="170">
        <f>SUM(G543:P543)</f>
        <v>0</v>
      </c>
      <c r="R543" s="760"/>
    </row>
    <row r="544" spans="1:18" ht="17.100000000000001" hidden="1" customHeight="1" x14ac:dyDescent="0.2">
      <c r="A544" s="197"/>
      <c r="B544" s="197"/>
      <c r="C544" s="631" t="s">
        <v>967</v>
      </c>
      <c r="D544" s="325" t="s">
        <v>1082</v>
      </c>
      <c r="E544" s="230"/>
      <c r="F544" s="230">
        <v>154416</v>
      </c>
      <c r="G544" s="170"/>
      <c r="H544" s="170"/>
      <c r="I544" s="170"/>
      <c r="J544" s="170"/>
      <c r="K544" s="170"/>
      <c r="L544" s="170"/>
      <c r="M544" s="170"/>
      <c r="N544" s="170"/>
      <c r="O544" s="170"/>
      <c r="P544" s="170"/>
      <c r="Q544" s="170">
        <f>SUM(G544:P544)</f>
        <v>0</v>
      </c>
      <c r="R544" s="760"/>
    </row>
    <row r="545" spans="1:18" ht="17.100000000000001" hidden="1" customHeight="1" x14ac:dyDescent="0.2">
      <c r="A545" s="197"/>
      <c r="B545" s="197"/>
      <c r="C545" s="631" t="s">
        <v>969</v>
      </c>
      <c r="D545" s="325" t="s">
        <v>976</v>
      </c>
      <c r="E545" s="230"/>
      <c r="F545" s="230">
        <v>152415</v>
      </c>
      <c r="G545" s="170"/>
      <c r="H545" s="170"/>
      <c r="I545" s="170"/>
      <c r="J545" s="170"/>
      <c r="K545" s="170"/>
      <c r="L545" s="170"/>
      <c r="M545" s="170"/>
      <c r="N545" s="170"/>
      <c r="O545" s="170"/>
      <c r="P545" s="170"/>
      <c r="Q545" s="170">
        <f>SUM(G545:P545)</f>
        <v>0</v>
      </c>
      <c r="R545" s="760"/>
    </row>
    <row r="546" spans="1:18" ht="17.100000000000001" hidden="1" customHeight="1" x14ac:dyDescent="0.2">
      <c r="A546" s="197"/>
      <c r="B546" s="197"/>
      <c r="C546" s="631" t="s">
        <v>971</v>
      </c>
      <c r="D546" s="171" t="s">
        <v>980</v>
      </c>
      <c r="E546" s="230"/>
      <c r="F546" s="230">
        <v>164416</v>
      </c>
      <c r="G546" s="170"/>
      <c r="H546" s="170"/>
      <c r="I546" s="170"/>
      <c r="J546" s="170"/>
      <c r="K546" s="170"/>
      <c r="L546" s="170"/>
      <c r="M546" s="170"/>
      <c r="N546" s="170"/>
      <c r="O546" s="170"/>
      <c r="P546" s="170"/>
      <c r="Q546" s="170">
        <f>SUM(G546:P546)</f>
        <v>0</v>
      </c>
      <c r="R546" s="760"/>
    </row>
    <row r="547" spans="1:18" ht="17.100000000000001" hidden="1" customHeight="1" x14ac:dyDescent="0.2">
      <c r="A547" s="197"/>
      <c r="B547" s="197"/>
      <c r="C547" s="631" t="s">
        <v>973</v>
      </c>
      <c r="D547" s="245" t="s">
        <v>983</v>
      </c>
      <c r="E547" s="230"/>
      <c r="F547" s="230">
        <v>152408</v>
      </c>
      <c r="G547" s="170"/>
      <c r="H547" s="170"/>
      <c r="I547" s="170"/>
      <c r="J547" s="170"/>
      <c r="K547" s="170"/>
      <c r="L547" s="170"/>
      <c r="M547" s="170"/>
      <c r="N547" s="170"/>
      <c r="O547" s="170"/>
      <c r="P547" s="170"/>
      <c r="Q547" s="170">
        <f>SUM(G547:P547)</f>
        <v>0</v>
      </c>
      <c r="R547" s="760"/>
    </row>
    <row r="548" spans="1:18" ht="17.100000000000001" hidden="1" customHeight="1" x14ac:dyDescent="0.2">
      <c r="A548" s="197"/>
      <c r="B548" s="197"/>
      <c r="C548" s="632" t="s">
        <v>115</v>
      </c>
      <c r="D548" s="288" t="s">
        <v>984</v>
      </c>
      <c r="E548" s="230"/>
      <c r="F548" s="230"/>
      <c r="G548" s="202"/>
      <c r="H548" s="202"/>
      <c r="I548" s="202"/>
      <c r="J548" s="170"/>
      <c r="K548" s="170"/>
      <c r="L548" s="170"/>
      <c r="M548" s="170"/>
      <c r="N548" s="170"/>
      <c r="O548" s="170"/>
      <c r="P548" s="170"/>
      <c r="Q548" s="170"/>
      <c r="R548" s="760"/>
    </row>
    <row r="549" spans="1:18" ht="17.100000000000001" hidden="1" customHeight="1" x14ac:dyDescent="0.2">
      <c r="A549" s="197"/>
      <c r="B549" s="197"/>
      <c r="C549" s="632" t="s">
        <v>985</v>
      </c>
      <c r="D549" s="609" t="s">
        <v>1083</v>
      </c>
      <c r="E549" s="230"/>
      <c r="F549" s="230">
        <v>162505</v>
      </c>
      <c r="G549" s="202"/>
      <c r="H549" s="202"/>
      <c r="I549" s="202"/>
      <c r="J549" s="170"/>
      <c r="K549" s="170"/>
      <c r="L549" s="170"/>
      <c r="M549" s="170"/>
      <c r="N549" s="170"/>
      <c r="O549" s="170"/>
      <c r="P549" s="170"/>
      <c r="Q549" s="170">
        <f>SUM(G549:P549)</f>
        <v>0</v>
      </c>
      <c r="R549" s="760"/>
    </row>
    <row r="550" spans="1:18" ht="17.100000000000001" hidden="1" customHeight="1" x14ac:dyDescent="0.2">
      <c r="A550" s="197"/>
      <c r="B550" s="197"/>
      <c r="C550" s="629"/>
      <c r="D550" s="314" t="s">
        <v>502</v>
      </c>
      <c r="E550" s="230"/>
      <c r="F550" s="230"/>
      <c r="G550" s="202"/>
      <c r="H550" s="202"/>
      <c r="I550" s="202"/>
      <c r="J550" s="170"/>
      <c r="K550" s="170"/>
      <c r="L550" s="170"/>
      <c r="M550" s="170"/>
      <c r="N550" s="170"/>
      <c r="O550" s="170"/>
      <c r="P550" s="170"/>
      <c r="Q550" s="170"/>
      <c r="R550" s="760"/>
    </row>
    <row r="551" spans="1:18" ht="17.100000000000001" hidden="1" customHeight="1" x14ac:dyDescent="0.2">
      <c r="A551" s="197"/>
      <c r="B551" s="197"/>
      <c r="C551" s="633" t="s">
        <v>1012</v>
      </c>
      <c r="D551" s="314" t="s">
        <v>1084</v>
      </c>
      <c r="E551" s="230"/>
      <c r="F551" s="230">
        <v>154513</v>
      </c>
      <c r="G551" s="170"/>
      <c r="H551" s="170"/>
      <c r="I551" s="170"/>
      <c r="J551" s="170"/>
      <c r="K551" s="170"/>
      <c r="L551" s="170"/>
      <c r="M551" s="170"/>
      <c r="N551" s="170"/>
      <c r="O551" s="170"/>
      <c r="P551" s="170"/>
      <c r="Q551" s="170">
        <f>SUM(G551:P551)</f>
        <v>0</v>
      </c>
      <c r="R551" s="760"/>
    </row>
    <row r="552" spans="1:18" ht="17.100000000000001" hidden="1" customHeight="1" x14ac:dyDescent="0.2">
      <c r="A552" s="197"/>
      <c r="B552" s="197"/>
      <c r="C552" s="633" t="s">
        <v>1014</v>
      </c>
      <c r="D552" s="314" t="s">
        <v>1085</v>
      </c>
      <c r="E552" s="230"/>
      <c r="F552" s="230">
        <v>154518</v>
      </c>
      <c r="G552" s="170"/>
      <c r="H552" s="170"/>
      <c r="I552" s="170"/>
      <c r="J552" s="170"/>
      <c r="K552" s="170"/>
      <c r="L552" s="170"/>
      <c r="M552" s="170"/>
      <c r="N552" s="170"/>
      <c r="O552" s="170"/>
      <c r="P552" s="170"/>
      <c r="Q552" s="170">
        <f>SUM(G552:P552)</f>
        <v>0</v>
      </c>
      <c r="R552" s="760"/>
    </row>
    <row r="553" spans="1:18" ht="17.100000000000001" hidden="1" customHeight="1" x14ac:dyDescent="0.2">
      <c r="A553" s="197"/>
      <c r="B553" s="197"/>
      <c r="C553" s="629" t="s">
        <v>114</v>
      </c>
      <c r="D553" s="357" t="s">
        <v>1086</v>
      </c>
      <c r="E553" s="230"/>
      <c r="F553" s="230"/>
      <c r="G553" s="202"/>
      <c r="H553" s="202"/>
      <c r="I553" s="202"/>
      <c r="J553" s="170"/>
      <c r="K553" s="170"/>
      <c r="L553" s="170"/>
      <c r="M553" s="170"/>
      <c r="N553" s="170"/>
      <c r="O553" s="170"/>
      <c r="P553" s="170"/>
      <c r="Q553" s="170"/>
      <c r="R553" s="760"/>
    </row>
    <row r="554" spans="1:18" ht="17.100000000000001" hidden="1" customHeight="1" x14ac:dyDescent="0.2">
      <c r="A554" s="197"/>
      <c r="B554" s="197"/>
      <c r="C554" s="629"/>
      <c r="D554" s="314" t="s">
        <v>502</v>
      </c>
      <c r="E554" s="230"/>
      <c r="F554" s="230"/>
      <c r="G554" s="202"/>
      <c r="H554" s="202"/>
      <c r="I554" s="202"/>
      <c r="J554" s="170"/>
      <c r="K554" s="170"/>
      <c r="L554" s="170"/>
      <c r="M554" s="170"/>
      <c r="N554" s="170"/>
      <c r="O554" s="170"/>
      <c r="P554" s="170"/>
      <c r="Q554" s="170"/>
      <c r="R554" s="760"/>
    </row>
    <row r="555" spans="1:18" ht="17.100000000000001" hidden="1" customHeight="1" x14ac:dyDescent="0.2">
      <c r="A555" s="197"/>
      <c r="B555" s="197"/>
      <c r="C555" s="634" t="s">
        <v>672</v>
      </c>
      <c r="D555" s="384" t="s">
        <v>1087</v>
      </c>
      <c r="E555" s="386"/>
      <c r="F555" s="386">
        <v>162601</v>
      </c>
      <c r="G555" s="202"/>
      <c r="H555" s="202"/>
      <c r="I555" s="202"/>
      <c r="J555" s="170"/>
      <c r="K555" s="170"/>
      <c r="L555" s="170"/>
      <c r="M555" s="170"/>
      <c r="N555" s="170"/>
      <c r="O555" s="170"/>
      <c r="P555" s="170"/>
      <c r="Q555" s="170">
        <f>SUM(G555:P555)</f>
        <v>0</v>
      </c>
      <c r="R555" s="760"/>
    </row>
    <row r="556" spans="1:18" ht="17.100000000000001" hidden="1" customHeight="1" x14ac:dyDescent="0.2">
      <c r="A556" s="197"/>
      <c r="B556" s="197"/>
      <c r="C556" s="634" t="s">
        <v>674</v>
      </c>
      <c r="D556" s="384" t="s">
        <v>1088</v>
      </c>
      <c r="E556" s="386"/>
      <c r="F556" s="386">
        <v>162636</v>
      </c>
      <c r="G556" s="202"/>
      <c r="H556" s="202"/>
      <c r="I556" s="202"/>
      <c r="J556" s="170"/>
      <c r="K556" s="170"/>
      <c r="L556" s="170"/>
      <c r="M556" s="170"/>
      <c r="N556" s="170"/>
      <c r="O556" s="170"/>
      <c r="P556" s="170"/>
      <c r="Q556" s="170">
        <f>SUM(G556:P556)</f>
        <v>0</v>
      </c>
      <c r="R556" s="760"/>
    </row>
    <row r="557" spans="1:18" ht="17.100000000000001" hidden="1" customHeight="1" x14ac:dyDescent="0.2">
      <c r="A557" s="197"/>
      <c r="B557" s="197"/>
      <c r="C557" s="634" t="s">
        <v>676</v>
      </c>
      <c r="D557" s="384" t="s">
        <v>1089</v>
      </c>
      <c r="E557" s="386"/>
      <c r="F557" s="386">
        <v>162637</v>
      </c>
      <c r="G557" s="202"/>
      <c r="H557" s="202"/>
      <c r="I557" s="202"/>
      <c r="J557" s="170"/>
      <c r="K557" s="170"/>
      <c r="L557" s="170"/>
      <c r="M557" s="170"/>
      <c r="N557" s="170"/>
      <c r="O557" s="170"/>
      <c r="P557" s="170"/>
      <c r="Q557" s="170">
        <f>SUM(G557:P557)</f>
        <v>0</v>
      </c>
      <c r="R557" s="760"/>
    </row>
    <row r="558" spans="1:18" ht="17.100000000000001" hidden="1" customHeight="1" x14ac:dyDescent="0.2">
      <c r="A558" s="197"/>
      <c r="B558" s="197"/>
      <c r="C558" s="629" t="s">
        <v>116</v>
      </c>
      <c r="D558" s="387" t="s">
        <v>1022</v>
      </c>
      <c r="E558" s="358"/>
      <c r="F558" s="230"/>
      <c r="G558" s="202"/>
      <c r="H558" s="202"/>
      <c r="I558" s="202"/>
      <c r="J558" s="170"/>
      <c r="K558" s="170"/>
      <c r="L558" s="170"/>
      <c r="M558" s="170"/>
      <c r="N558" s="170"/>
      <c r="O558" s="170"/>
      <c r="P558" s="170"/>
      <c r="Q558" s="170"/>
      <c r="R558" s="760"/>
    </row>
    <row r="559" spans="1:18" ht="17.100000000000001" hidden="1" customHeight="1" x14ac:dyDescent="0.2">
      <c r="A559" s="197"/>
      <c r="B559" s="197"/>
      <c r="C559" s="634"/>
      <c r="D559" s="314" t="s">
        <v>502</v>
      </c>
      <c r="E559" s="358"/>
      <c r="F559" s="230"/>
      <c r="G559" s="202"/>
      <c r="H559" s="202"/>
      <c r="I559" s="202"/>
      <c r="J559" s="170"/>
      <c r="K559" s="170"/>
      <c r="L559" s="170"/>
      <c r="M559" s="170"/>
      <c r="N559" s="170"/>
      <c r="O559" s="170"/>
      <c r="P559" s="170"/>
      <c r="Q559" s="170"/>
      <c r="R559" s="760"/>
    </row>
    <row r="560" spans="1:18" ht="26.25" hidden="1" customHeight="1" x14ac:dyDescent="0.2">
      <c r="A560" s="197"/>
      <c r="B560" s="197"/>
      <c r="C560" s="634" t="s">
        <v>1090</v>
      </c>
      <c r="D560" s="388" t="s">
        <v>1091</v>
      </c>
      <c r="E560" s="358"/>
      <c r="F560" s="230">
        <v>162701</v>
      </c>
      <c r="G560" s="202"/>
      <c r="H560" s="202"/>
      <c r="I560" s="202"/>
      <c r="J560" s="170"/>
      <c r="K560" s="170"/>
      <c r="L560" s="170"/>
      <c r="M560" s="170"/>
      <c r="N560" s="170"/>
      <c r="O560" s="170"/>
      <c r="P560" s="170"/>
      <c r="Q560" s="170">
        <f>SUM(G560:P560)</f>
        <v>0</v>
      </c>
      <c r="R560" s="760"/>
    </row>
    <row r="561" spans="1:18" ht="16.5" customHeight="1" x14ac:dyDescent="0.2">
      <c r="A561" s="197"/>
      <c r="B561" s="197"/>
      <c r="C561" s="629" t="s">
        <v>117</v>
      </c>
      <c r="D561" s="389" t="s">
        <v>1023</v>
      </c>
      <c r="E561" s="358"/>
      <c r="F561" s="230"/>
      <c r="G561" s="202"/>
      <c r="H561" s="202"/>
      <c r="I561" s="202"/>
      <c r="J561" s="170"/>
      <c r="K561" s="170"/>
      <c r="L561" s="170"/>
      <c r="M561" s="170"/>
      <c r="N561" s="170"/>
      <c r="O561" s="170"/>
      <c r="P561" s="170"/>
      <c r="Q561" s="170"/>
      <c r="R561" s="760"/>
    </row>
    <row r="562" spans="1:18" ht="16.5" customHeight="1" x14ac:dyDescent="0.2">
      <c r="A562" s="862"/>
      <c r="B562" s="862"/>
      <c r="C562" s="305" t="s">
        <v>1495</v>
      </c>
      <c r="D562" s="915" t="s">
        <v>1496</v>
      </c>
      <c r="E562" s="916"/>
      <c r="F562" s="858">
        <v>152811</v>
      </c>
      <c r="G562" s="863"/>
      <c r="H562" s="863"/>
      <c r="I562" s="863"/>
      <c r="J562" s="823"/>
      <c r="K562" s="823"/>
      <c r="L562" s="823">
        <v>8000</v>
      </c>
      <c r="M562" s="823"/>
      <c r="N562" s="823"/>
      <c r="O562" s="823"/>
      <c r="P562" s="823"/>
      <c r="Q562" s="170">
        <f t="shared" ref="Q562" si="34">SUM(G562:P562)</f>
        <v>8000</v>
      </c>
      <c r="R562" s="852" t="s">
        <v>1489</v>
      </c>
    </row>
    <row r="563" spans="1:18" ht="15.75" customHeight="1" x14ac:dyDescent="0.2">
      <c r="A563" s="197"/>
      <c r="B563" s="197"/>
      <c r="C563" s="629" t="s">
        <v>118</v>
      </c>
      <c r="D563" s="389" t="s">
        <v>1026</v>
      </c>
      <c r="E563" s="358"/>
      <c r="F563" s="230"/>
      <c r="G563" s="202"/>
      <c r="H563" s="202"/>
      <c r="I563" s="202"/>
      <c r="J563" s="170"/>
      <c r="K563" s="170"/>
      <c r="L563" s="170"/>
      <c r="M563" s="170"/>
      <c r="N563" s="170"/>
      <c r="O563" s="170"/>
      <c r="P563" s="170"/>
      <c r="Q563" s="170"/>
      <c r="R563" s="760"/>
    </row>
    <row r="564" spans="1:18" ht="13.5" hidden="1" customHeight="1" x14ac:dyDescent="0.2">
      <c r="A564" s="197"/>
      <c r="B564" s="197"/>
      <c r="C564" s="633" t="s">
        <v>1092</v>
      </c>
      <c r="D564" s="575" t="s">
        <v>1093</v>
      </c>
      <c r="E564" s="358"/>
      <c r="F564" s="230">
        <v>164921</v>
      </c>
      <c r="G564" s="202"/>
      <c r="H564" s="202"/>
      <c r="I564" s="202"/>
      <c r="J564" s="170"/>
      <c r="K564" s="170"/>
      <c r="L564" s="170"/>
      <c r="M564" s="170"/>
      <c r="N564" s="170"/>
      <c r="O564" s="170"/>
      <c r="P564" s="170"/>
      <c r="Q564" s="170">
        <f t="shared" ref="Q564:Q574" si="35">SUM(G564:P564)</f>
        <v>0</v>
      </c>
      <c r="R564" s="760"/>
    </row>
    <row r="565" spans="1:18" ht="15.75" hidden="1" customHeight="1" x14ac:dyDescent="0.2">
      <c r="A565" s="197"/>
      <c r="B565" s="197"/>
      <c r="C565" s="633" t="s">
        <v>1029</v>
      </c>
      <c r="D565" s="576" t="s">
        <v>1094</v>
      </c>
      <c r="E565" s="610"/>
      <c r="F565" s="230">
        <v>162929</v>
      </c>
      <c r="G565" s="202"/>
      <c r="H565" s="202"/>
      <c r="I565" s="202"/>
      <c r="J565" s="170"/>
      <c r="K565" s="170"/>
      <c r="L565" s="170"/>
      <c r="M565" s="170"/>
      <c r="N565" s="170"/>
      <c r="O565" s="170"/>
      <c r="P565" s="170"/>
      <c r="Q565" s="170">
        <f t="shared" si="35"/>
        <v>0</v>
      </c>
      <c r="R565" s="760"/>
    </row>
    <row r="566" spans="1:18" ht="15.75" hidden="1" customHeight="1" x14ac:dyDescent="0.2">
      <c r="A566" s="197"/>
      <c r="B566" s="197"/>
      <c r="C566" s="633" t="s">
        <v>1095</v>
      </c>
      <c r="D566" s="639" t="s">
        <v>1096</v>
      </c>
      <c r="E566" s="230"/>
      <c r="F566" s="230">
        <v>162956</v>
      </c>
      <c r="G566" s="202"/>
      <c r="H566" s="202"/>
      <c r="I566" s="202"/>
      <c r="J566" s="170"/>
      <c r="K566" s="170"/>
      <c r="L566" s="170"/>
      <c r="M566" s="170"/>
      <c r="N566" s="170"/>
      <c r="O566" s="170"/>
      <c r="P566" s="170"/>
      <c r="Q566" s="170">
        <f t="shared" si="35"/>
        <v>0</v>
      </c>
      <c r="R566" s="760"/>
    </row>
    <row r="567" spans="1:18" ht="36.75" hidden="1" customHeight="1" x14ac:dyDescent="0.2">
      <c r="A567" s="197"/>
      <c r="B567" s="197"/>
      <c r="C567" s="633" t="s">
        <v>1097</v>
      </c>
      <c r="D567" s="725" t="s">
        <v>1423</v>
      </c>
      <c r="E567" s="358"/>
      <c r="F567" s="230">
        <v>164928</v>
      </c>
      <c r="G567" s="202"/>
      <c r="H567" s="202"/>
      <c r="I567" s="202"/>
      <c r="J567" s="170"/>
      <c r="K567" s="170"/>
      <c r="L567" s="170"/>
      <c r="M567" s="170"/>
      <c r="N567" s="170"/>
      <c r="O567" s="170"/>
      <c r="P567" s="170"/>
      <c r="Q567" s="170">
        <f t="shared" si="35"/>
        <v>0</v>
      </c>
      <c r="R567" s="760"/>
    </row>
    <row r="568" spans="1:18" ht="17.25" hidden="1" customHeight="1" x14ac:dyDescent="0.2">
      <c r="A568" s="197"/>
      <c r="B568" s="197"/>
      <c r="C568" s="633" t="s">
        <v>1098</v>
      </c>
      <c r="D568" s="640" t="s">
        <v>1367</v>
      </c>
      <c r="E568" s="610"/>
      <c r="F568" s="649">
        <v>164930</v>
      </c>
      <c r="G568" s="202"/>
      <c r="H568" s="202"/>
      <c r="I568" s="202"/>
      <c r="J568" s="170"/>
      <c r="K568" s="170"/>
      <c r="L568" s="170"/>
      <c r="M568" s="170"/>
      <c r="N568" s="170"/>
      <c r="O568" s="170"/>
      <c r="P568" s="170"/>
      <c r="Q568" s="170">
        <f t="shared" si="35"/>
        <v>0</v>
      </c>
      <c r="R568" s="760"/>
    </row>
    <row r="569" spans="1:18" ht="17.25" hidden="1" customHeight="1" x14ac:dyDescent="0.2">
      <c r="A569" s="197"/>
      <c r="B569" s="197"/>
      <c r="C569" s="633" t="s">
        <v>1099</v>
      </c>
      <c r="D569" s="641" t="s">
        <v>1100</v>
      </c>
      <c r="E569" s="610"/>
      <c r="F569" s="649">
        <v>162964</v>
      </c>
      <c r="G569" s="202"/>
      <c r="H569" s="202"/>
      <c r="I569" s="202"/>
      <c r="J569" s="170"/>
      <c r="K569" s="170"/>
      <c r="L569" s="170"/>
      <c r="M569" s="170"/>
      <c r="N569" s="170"/>
      <c r="O569" s="170"/>
      <c r="P569" s="170"/>
      <c r="Q569" s="170">
        <f t="shared" si="35"/>
        <v>0</v>
      </c>
      <c r="R569" s="760"/>
    </row>
    <row r="570" spans="1:18" ht="17.25" hidden="1" customHeight="1" x14ac:dyDescent="0.2">
      <c r="A570" s="197"/>
      <c r="B570" s="197"/>
      <c r="C570" s="633" t="s">
        <v>1353</v>
      </c>
      <c r="D570" s="641" t="s">
        <v>1380</v>
      </c>
      <c r="E570" s="610"/>
      <c r="F570" s="649">
        <v>162965</v>
      </c>
      <c r="G570" s="392"/>
      <c r="H570" s="202"/>
      <c r="I570" s="202"/>
      <c r="J570" s="170"/>
      <c r="K570" s="170"/>
      <c r="L570" s="170"/>
      <c r="M570" s="170"/>
      <c r="N570" s="170"/>
      <c r="O570" s="170"/>
      <c r="P570" s="170"/>
      <c r="Q570" s="170">
        <f t="shared" si="35"/>
        <v>0</v>
      </c>
      <c r="R570" s="760"/>
    </row>
    <row r="571" spans="1:18" ht="17.25" hidden="1" customHeight="1" x14ac:dyDescent="0.2">
      <c r="A571" s="197"/>
      <c r="B571" s="197"/>
      <c r="C571" s="633" t="s">
        <v>1359</v>
      </c>
      <c r="D571" s="591" t="s">
        <v>1101</v>
      </c>
      <c r="E571" s="358"/>
      <c r="F571" s="230">
        <v>164929</v>
      </c>
      <c r="G571" s="230"/>
      <c r="H571" s="170"/>
      <c r="I571" s="170"/>
      <c r="J571" s="170"/>
      <c r="K571" s="170"/>
      <c r="L571" s="170"/>
      <c r="M571" s="170"/>
      <c r="N571" s="170"/>
      <c r="O571" s="170"/>
      <c r="P571" s="170"/>
      <c r="Q571" s="170">
        <f t="shared" si="35"/>
        <v>0</v>
      </c>
      <c r="R571" s="760"/>
    </row>
    <row r="572" spans="1:18" ht="27" hidden="1" customHeight="1" x14ac:dyDescent="0.2">
      <c r="A572" s="805"/>
      <c r="B572" s="805"/>
      <c r="C572" s="868" t="s">
        <v>1452</v>
      </c>
      <c r="D572" s="808" t="s">
        <v>1453</v>
      </c>
      <c r="E572" s="806"/>
      <c r="F572" s="820">
        <v>164931</v>
      </c>
      <c r="G572" s="599"/>
      <c r="H572" s="600"/>
      <c r="I572" s="600"/>
      <c r="J572" s="600"/>
      <c r="K572" s="600"/>
      <c r="L572" s="600"/>
      <c r="M572" s="600"/>
      <c r="N572" s="600"/>
      <c r="O572" s="600"/>
      <c r="P572" s="600"/>
      <c r="Q572" s="170">
        <f t="shared" si="35"/>
        <v>0</v>
      </c>
      <c r="R572" s="807"/>
    </row>
    <row r="573" spans="1:18" ht="16.5" customHeight="1" x14ac:dyDescent="0.2">
      <c r="A573" s="862"/>
      <c r="B573" s="862"/>
      <c r="C573" s="869" t="s">
        <v>1479</v>
      </c>
      <c r="D573" s="866" t="s">
        <v>1480</v>
      </c>
      <c r="E573" s="867"/>
      <c r="F573" s="861">
        <v>164932</v>
      </c>
      <c r="G573" s="857"/>
      <c r="H573" s="823"/>
      <c r="I573" s="823"/>
      <c r="J573" s="823"/>
      <c r="K573" s="823"/>
      <c r="L573" s="823"/>
      <c r="M573" s="823">
        <v>745</v>
      </c>
      <c r="N573" s="823"/>
      <c r="O573" s="823"/>
      <c r="P573" s="823"/>
      <c r="Q573" s="170">
        <f t="shared" si="35"/>
        <v>745</v>
      </c>
      <c r="R573" s="852" t="s">
        <v>1490</v>
      </c>
    </row>
    <row r="574" spans="1:18" ht="25.5" customHeight="1" x14ac:dyDescent="0.2">
      <c r="A574" s="862"/>
      <c r="B574" s="862"/>
      <c r="C574" s="917" t="s">
        <v>1479</v>
      </c>
      <c r="D574" s="918" t="s">
        <v>1497</v>
      </c>
      <c r="E574" s="914"/>
      <c r="F574" s="861">
        <v>162967</v>
      </c>
      <c r="G574" s="857"/>
      <c r="H574" s="823"/>
      <c r="I574" s="823"/>
      <c r="J574" s="823"/>
      <c r="K574" s="823"/>
      <c r="L574" s="823">
        <v>500</v>
      </c>
      <c r="M574" s="823"/>
      <c r="N574" s="823"/>
      <c r="O574" s="823"/>
      <c r="P574" s="823"/>
      <c r="Q574" s="170">
        <f t="shared" si="35"/>
        <v>500</v>
      </c>
      <c r="R574" s="852" t="s">
        <v>1489</v>
      </c>
    </row>
    <row r="575" spans="1:18" ht="15.75" customHeight="1" x14ac:dyDescent="0.2">
      <c r="A575" s="197"/>
      <c r="B575" s="197"/>
      <c r="C575" s="629"/>
      <c r="D575" s="461" t="s">
        <v>502</v>
      </c>
      <c r="E575" s="358"/>
      <c r="F575" s="230"/>
      <c r="G575" s="202"/>
      <c r="H575" s="202"/>
      <c r="I575" s="202"/>
      <c r="J575" s="170"/>
      <c r="K575" s="170"/>
      <c r="L575" s="170"/>
      <c r="M575" s="170"/>
      <c r="N575" s="170"/>
      <c r="O575" s="170"/>
      <c r="P575" s="170"/>
      <c r="Q575" s="170"/>
      <c r="R575" s="760"/>
    </row>
    <row r="576" spans="1:18" ht="38.25" hidden="1" customHeight="1" x14ac:dyDescent="0.2">
      <c r="A576" s="197"/>
      <c r="B576" s="197"/>
      <c r="C576" s="217" t="s">
        <v>1031</v>
      </c>
      <c r="D576" s="577" t="s">
        <v>1102</v>
      </c>
      <c r="E576" s="230"/>
      <c r="F576" s="230">
        <v>174902</v>
      </c>
      <c r="G576" s="202"/>
      <c r="H576" s="202"/>
      <c r="I576" s="202"/>
      <c r="J576" s="170"/>
      <c r="K576" s="170"/>
      <c r="L576" s="170"/>
      <c r="M576" s="170"/>
      <c r="N576" s="170"/>
      <c r="O576" s="170"/>
      <c r="P576" s="170"/>
      <c r="Q576" s="170">
        <f t="shared" ref="Q576:Q586" si="36">SUM(G576:P576)</f>
        <v>0</v>
      </c>
      <c r="R576" s="760"/>
    </row>
    <row r="577" spans="1:18" ht="27.75" hidden="1" customHeight="1" x14ac:dyDescent="0.2">
      <c r="A577" s="197"/>
      <c r="B577" s="197"/>
      <c r="C577" s="217" t="s">
        <v>1033</v>
      </c>
      <c r="D577" s="578" t="s">
        <v>1103</v>
      </c>
      <c r="E577" s="358"/>
      <c r="F577" s="230">
        <v>164914</v>
      </c>
      <c r="G577" s="202"/>
      <c r="H577" s="202"/>
      <c r="I577" s="202"/>
      <c r="J577" s="170"/>
      <c r="K577" s="170"/>
      <c r="L577" s="170"/>
      <c r="M577" s="170"/>
      <c r="N577" s="170"/>
      <c r="O577" s="170"/>
      <c r="P577" s="170"/>
      <c r="Q577" s="170">
        <f t="shared" si="36"/>
        <v>0</v>
      </c>
      <c r="R577" s="760"/>
    </row>
    <row r="578" spans="1:18" ht="18" customHeight="1" x14ac:dyDescent="0.2">
      <c r="A578" s="197"/>
      <c r="B578" s="197"/>
      <c r="C578" s="217" t="s">
        <v>1037</v>
      </c>
      <c r="D578" s="390" t="s">
        <v>1104</v>
      </c>
      <c r="E578" s="386"/>
      <c r="F578" s="230">
        <v>162942</v>
      </c>
      <c r="G578" s="202"/>
      <c r="H578" s="202"/>
      <c r="I578" s="202"/>
      <c r="J578" s="170"/>
      <c r="K578" s="170"/>
      <c r="L578" s="170"/>
      <c r="M578" s="170">
        <v>2030</v>
      </c>
      <c r="N578" s="170"/>
      <c r="O578" s="170"/>
      <c r="P578" s="170"/>
      <c r="Q578" s="170">
        <f t="shared" si="36"/>
        <v>2030</v>
      </c>
      <c r="R578" s="760" t="s">
        <v>1489</v>
      </c>
    </row>
    <row r="579" spans="1:18" ht="20.25" hidden="1" customHeight="1" x14ac:dyDescent="0.2">
      <c r="A579" s="197"/>
      <c r="B579" s="197"/>
      <c r="C579" s="217" t="s">
        <v>1039</v>
      </c>
      <c r="D579" s="391" t="s">
        <v>1105</v>
      </c>
      <c r="E579" s="386"/>
      <c r="F579" s="230">
        <v>162929</v>
      </c>
      <c r="G579" s="202"/>
      <c r="H579" s="202"/>
      <c r="I579" s="202"/>
      <c r="J579" s="170"/>
      <c r="K579" s="170"/>
      <c r="L579" s="170"/>
      <c r="M579" s="170"/>
      <c r="N579" s="170"/>
      <c r="O579" s="170"/>
      <c r="P579" s="170"/>
      <c r="Q579" s="170">
        <f t="shared" si="36"/>
        <v>0</v>
      </c>
      <c r="R579" s="760"/>
    </row>
    <row r="580" spans="1:18" ht="18.75" hidden="1" customHeight="1" x14ac:dyDescent="0.2">
      <c r="A580" s="197"/>
      <c r="B580" s="197"/>
      <c r="C580" s="217" t="s">
        <v>1041</v>
      </c>
      <c r="D580" s="391" t="s">
        <v>1106</v>
      </c>
      <c r="E580" s="386"/>
      <c r="F580" s="230">
        <v>162931</v>
      </c>
      <c r="G580" s="170"/>
      <c r="H580" s="170"/>
      <c r="I580" s="170"/>
      <c r="J580" s="170"/>
      <c r="K580" s="170"/>
      <c r="L580" s="170"/>
      <c r="M580" s="170"/>
      <c r="N580" s="170"/>
      <c r="O580" s="170"/>
      <c r="P580" s="170"/>
      <c r="Q580" s="170">
        <f t="shared" si="36"/>
        <v>0</v>
      </c>
      <c r="R580" s="760"/>
    </row>
    <row r="581" spans="1:18" ht="14.25" hidden="1" customHeight="1" x14ac:dyDescent="0.2">
      <c r="A581" s="197"/>
      <c r="B581" s="197"/>
      <c r="C581" s="217" t="s">
        <v>1043</v>
      </c>
      <c r="D581" s="391" t="s">
        <v>1107</v>
      </c>
      <c r="E581" s="386"/>
      <c r="F581" s="230">
        <v>162903</v>
      </c>
      <c r="G581" s="230"/>
      <c r="H581" s="170"/>
      <c r="I581" s="170"/>
      <c r="J581" s="170"/>
      <c r="K581" s="170"/>
      <c r="L581" s="170"/>
      <c r="M581" s="170"/>
      <c r="N581" s="170"/>
      <c r="O581" s="170"/>
      <c r="P581" s="170"/>
      <c r="Q581" s="170">
        <f t="shared" si="36"/>
        <v>0</v>
      </c>
      <c r="R581" s="760"/>
    </row>
    <row r="582" spans="1:18" ht="28.5" hidden="1" customHeight="1" x14ac:dyDescent="0.2">
      <c r="A582" s="197"/>
      <c r="B582" s="197"/>
      <c r="C582" s="217" t="s">
        <v>1108</v>
      </c>
      <c r="D582" s="391" t="s">
        <v>1109</v>
      </c>
      <c r="E582" s="386"/>
      <c r="F582" s="230">
        <v>164925</v>
      </c>
      <c r="G582" s="230"/>
      <c r="H582" s="170"/>
      <c r="I582" s="170"/>
      <c r="J582" s="170"/>
      <c r="K582" s="170"/>
      <c r="L582" s="170"/>
      <c r="M582" s="170"/>
      <c r="N582" s="170"/>
      <c r="O582" s="170"/>
      <c r="P582" s="170"/>
      <c r="Q582" s="170">
        <f t="shared" si="36"/>
        <v>0</v>
      </c>
      <c r="R582" s="760"/>
    </row>
    <row r="583" spans="1:18" ht="18" hidden="1" customHeight="1" x14ac:dyDescent="0.2">
      <c r="A583" s="197"/>
      <c r="B583" s="197"/>
      <c r="C583" s="217" t="s">
        <v>1110</v>
      </c>
      <c r="D583" s="391" t="s">
        <v>1111</v>
      </c>
      <c r="E583" s="386"/>
      <c r="F583" s="230">
        <v>162958</v>
      </c>
      <c r="G583" s="230"/>
      <c r="H583" s="170"/>
      <c r="I583" s="170"/>
      <c r="J583" s="170"/>
      <c r="K583" s="170"/>
      <c r="L583" s="170"/>
      <c r="M583" s="170"/>
      <c r="N583" s="170"/>
      <c r="O583" s="170"/>
      <c r="P583" s="170"/>
      <c r="Q583" s="170">
        <f t="shared" si="36"/>
        <v>0</v>
      </c>
      <c r="R583" s="760"/>
    </row>
    <row r="584" spans="1:18" ht="18.75" customHeight="1" x14ac:dyDescent="0.2">
      <c r="A584" s="197"/>
      <c r="B584" s="197"/>
      <c r="C584" s="217" t="s">
        <v>1112</v>
      </c>
      <c r="D584" s="391" t="s">
        <v>1113</v>
      </c>
      <c r="E584" s="386"/>
      <c r="F584" s="230">
        <v>162959</v>
      </c>
      <c r="G584" s="230"/>
      <c r="H584" s="170"/>
      <c r="I584" s="170">
        <v>103</v>
      </c>
      <c r="J584" s="170"/>
      <c r="K584" s="170"/>
      <c r="L584" s="170">
        <v>-103</v>
      </c>
      <c r="M584" s="170"/>
      <c r="N584" s="170"/>
      <c r="O584" s="170"/>
      <c r="P584" s="170"/>
      <c r="Q584" s="170">
        <f t="shared" si="36"/>
        <v>0</v>
      </c>
      <c r="R584" s="760" t="s">
        <v>1490</v>
      </c>
    </row>
    <row r="585" spans="1:18" ht="29.25" hidden="1" customHeight="1" x14ac:dyDescent="0.2">
      <c r="A585" s="197"/>
      <c r="B585" s="197"/>
      <c r="C585" s="217" t="s">
        <v>1114</v>
      </c>
      <c r="D585" s="172" t="s">
        <v>1115</v>
      </c>
      <c r="E585" s="232"/>
      <c r="F585" s="230">
        <v>182906</v>
      </c>
      <c r="G585" s="230"/>
      <c r="H585" s="170"/>
      <c r="I585" s="170"/>
      <c r="J585" s="170"/>
      <c r="K585" s="170"/>
      <c r="L585" s="170"/>
      <c r="M585" s="170"/>
      <c r="N585" s="170"/>
      <c r="O585" s="170"/>
      <c r="P585" s="170"/>
      <c r="Q585" s="170">
        <f t="shared" si="36"/>
        <v>0</v>
      </c>
      <c r="R585" s="760"/>
    </row>
    <row r="586" spans="1:18" ht="20.25" hidden="1" customHeight="1" x14ac:dyDescent="0.2">
      <c r="A586" s="197"/>
      <c r="B586" s="197"/>
      <c r="C586" s="217" t="s">
        <v>1379</v>
      </c>
      <c r="D586" s="171" t="s">
        <v>1032</v>
      </c>
      <c r="E586" s="230"/>
      <c r="F586" s="230">
        <v>134964</v>
      </c>
      <c r="G586" s="230"/>
      <c r="H586" s="170"/>
      <c r="I586" s="170"/>
      <c r="J586" s="170"/>
      <c r="K586" s="170"/>
      <c r="L586" s="170"/>
      <c r="M586" s="170"/>
      <c r="N586" s="170"/>
      <c r="O586" s="170"/>
      <c r="P586" s="170"/>
      <c r="Q586" s="170">
        <f t="shared" si="36"/>
        <v>0</v>
      </c>
      <c r="R586" s="760"/>
    </row>
    <row r="587" spans="1:18" ht="16.5" customHeight="1" x14ac:dyDescent="0.2">
      <c r="A587" s="197"/>
      <c r="B587" s="197"/>
      <c r="C587" s="217" t="s">
        <v>33</v>
      </c>
      <c r="D587" s="307" t="s">
        <v>1116</v>
      </c>
      <c r="E587" s="358"/>
      <c r="F587" s="230"/>
      <c r="G587" s="392"/>
      <c r="H587" s="202"/>
      <c r="I587" s="202"/>
      <c r="J587" s="170"/>
      <c r="K587" s="170"/>
      <c r="L587" s="170"/>
      <c r="M587" s="170"/>
      <c r="N587" s="170"/>
      <c r="O587" s="170"/>
      <c r="P587" s="170"/>
      <c r="Q587" s="170"/>
      <c r="R587" s="760"/>
    </row>
    <row r="588" spans="1:18" ht="16.5" customHeight="1" x14ac:dyDescent="0.2">
      <c r="A588" s="197"/>
      <c r="B588" s="197"/>
      <c r="C588" s="305" t="s">
        <v>1117</v>
      </c>
      <c r="D588" s="318" t="s">
        <v>1118</v>
      </c>
      <c r="E588" s="358"/>
      <c r="F588" s="230"/>
      <c r="G588" s="392"/>
      <c r="H588" s="202"/>
      <c r="I588" s="202"/>
      <c r="J588" s="170"/>
      <c r="K588" s="170"/>
      <c r="L588" s="170"/>
      <c r="M588" s="170"/>
      <c r="N588" s="170"/>
      <c r="O588" s="170"/>
      <c r="P588" s="170"/>
      <c r="Q588" s="170"/>
      <c r="R588" s="760"/>
    </row>
    <row r="589" spans="1:18" ht="16.5" customHeight="1" x14ac:dyDescent="0.2">
      <c r="A589" s="197"/>
      <c r="B589" s="197"/>
      <c r="C589" s="305"/>
      <c r="D589" s="314" t="s">
        <v>502</v>
      </c>
      <c r="E589" s="358"/>
      <c r="F589" s="230"/>
      <c r="G589" s="392"/>
      <c r="H589" s="202"/>
      <c r="I589" s="202"/>
      <c r="J589" s="170"/>
      <c r="K589" s="170"/>
      <c r="L589" s="170"/>
      <c r="M589" s="170"/>
      <c r="N589" s="170"/>
      <c r="O589" s="170"/>
      <c r="P589" s="170"/>
      <c r="Q589" s="170"/>
      <c r="R589" s="760"/>
    </row>
    <row r="590" spans="1:18" ht="29.25" customHeight="1" x14ac:dyDescent="0.2">
      <c r="A590" s="197"/>
      <c r="B590" s="197"/>
      <c r="C590" s="635" t="s">
        <v>1119</v>
      </c>
      <c r="D590" s="642" t="s">
        <v>1120</v>
      </c>
      <c r="E590" s="358"/>
      <c r="F590" s="230">
        <v>163601</v>
      </c>
      <c r="G590" s="392">
        <v>-1990</v>
      </c>
      <c r="H590" s="202">
        <v>-442</v>
      </c>
      <c r="I590" s="202">
        <v>-165</v>
      </c>
      <c r="J590" s="170"/>
      <c r="K590" s="170"/>
      <c r="L590" s="170"/>
      <c r="M590" s="170"/>
      <c r="N590" s="170"/>
      <c r="O590" s="170"/>
      <c r="P590" s="170"/>
      <c r="Q590" s="170">
        <f t="shared" ref="Q590:Q618" si="37">SUM(G590:P590)</f>
        <v>-2597</v>
      </c>
      <c r="R590" s="760" t="s">
        <v>1489</v>
      </c>
    </row>
    <row r="591" spans="1:18" ht="37.5" hidden="1" customHeight="1" x14ac:dyDescent="0.2">
      <c r="A591" s="197"/>
      <c r="B591" s="197"/>
      <c r="C591" s="635" t="s">
        <v>1121</v>
      </c>
      <c r="D591" s="642" t="s">
        <v>218</v>
      </c>
      <c r="E591" s="358"/>
      <c r="F591" s="230">
        <v>163603</v>
      </c>
      <c r="G591" s="392"/>
      <c r="H591" s="202"/>
      <c r="I591" s="202"/>
      <c r="J591" s="170"/>
      <c r="K591" s="170"/>
      <c r="L591" s="170"/>
      <c r="M591" s="170"/>
      <c r="N591" s="170"/>
      <c r="O591" s="170"/>
      <c r="P591" s="170"/>
      <c r="Q591" s="170">
        <f t="shared" si="37"/>
        <v>0</v>
      </c>
      <c r="R591" s="760"/>
    </row>
    <row r="592" spans="1:18" ht="28.5" hidden="1" customHeight="1" x14ac:dyDescent="0.2">
      <c r="A592" s="197"/>
      <c r="B592" s="197"/>
      <c r="C592" s="635" t="s">
        <v>1122</v>
      </c>
      <c r="D592" s="643" t="s">
        <v>217</v>
      </c>
      <c r="E592" s="358"/>
      <c r="F592" s="230">
        <v>163604</v>
      </c>
      <c r="G592" s="392"/>
      <c r="H592" s="202"/>
      <c r="I592" s="202"/>
      <c r="J592" s="170"/>
      <c r="K592" s="170"/>
      <c r="L592" s="170"/>
      <c r="M592" s="170"/>
      <c r="N592" s="170"/>
      <c r="O592" s="170"/>
      <c r="P592" s="170"/>
      <c r="Q592" s="170">
        <f t="shared" si="37"/>
        <v>0</v>
      </c>
      <c r="R592" s="760"/>
    </row>
    <row r="593" spans="1:18" ht="27" hidden="1" customHeight="1" x14ac:dyDescent="0.2">
      <c r="A593" s="197"/>
      <c r="B593" s="197"/>
      <c r="C593" s="635" t="s">
        <v>1123</v>
      </c>
      <c r="D593" s="643" t="s">
        <v>219</v>
      </c>
      <c r="E593" s="358"/>
      <c r="F593" s="230">
        <v>163606</v>
      </c>
      <c r="G593" s="392"/>
      <c r="H593" s="202"/>
      <c r="I593" s="202"/>
      <c r="J593" s="170"/>
      <c r="K593" s="170"/>
      <c r="L593" s="170"/>
      <c r="M593" s="170"/>
      <c r="N593" s="170"/>
      <c r="O593" s="170"/>
      <c r="P593" s="170"/>
      <c r="Q593" s="170">
        <f t="shared" si="37"/>
        <v>0</v>
      </c>
      <c r="R593" s="760"/>
    </row>
    <row r="594" spans="1:18" ht="67.5" hidden="1" customHeight="1" x14ac:dyDescent="0.2">
      <c r="A594" s="197"/>
      <c r="B594" s="197"/>
      <c r="C594" s="635" t="s">
        <v>1124</v>
      </c>
      <c r="D594" s="642" t="s">
        <v>223</v>
      </c>
      <c r="E594" s="358"/>
      <c r="F594" s="230">
        <v>163607</v>
      </c>
      <c r="G594" s="392"/>
      <c r="H594" s="202"/>
      <c r="I594" s="202"/>
      <c r="J594" s="170"/>
      <c r="K594" s="170"/>
      <c r="L594" s="170"/>
      <c r="M594" s="170"/>
      <c r="N594" s="170"/>
      <c r="O594" s="170"/>
      <c r="P594" s="170"/>
      <c r="Q594" s="170">
        <f t="shared" si="37"/>
        <v>0</v>
      </c>
      <c r="R594" s="760"/>
    </row>
    <row r="595" spans="1:18" ht="40.5" hidden="1" customHeight="1" x14ac:dyDescent="0.2">
      <c r="A595" s="197"/>
      <c r="B595" s="197"/>
      <c r="C595" s="635" t="s">
        <v>1125</v>
      </c>
      <c r="D595" s="642" t="s">
        <v>213</v>
      </c>
      <c r="E595" s="358"/>
      <c r="F595" s="230">
        <v>163608</v>
      </c>
      <c r="G595" s="392"/>
      <c r="H595" s="202"/>
      <c r="I595" s="202"/>
      <c r="J595" s="170"/>
      <c r="K595" s="170"/>
      <c r="L595" s="170"/>
      <c r="M595" s="170"/>
      <c r="N595" s="170"/>
      <c r="O595" s="170"/>
      <c r="P595" s="170"/>
      <c r="Q595" s="170">
        <f t="shared" si="37"/>
        <v>0</v>
      </c>
      <c r="R595" s="760"/>
    </row>
    <row r="596" spans="1:18" ht="24.75" hidden="1" customHeight="1" x14ac:dyDescent="0.2">
      <c r="A596" s="197"/>
      <c r="B596" s="197"/>
      <c r="C596" s="635" t="s">
        <v>1126</v>
      </c>
      <c r="D596" s="642" t="s">
        <v>226</v>
      </c>
      <c r="E596" s="358"/>
      <c r="F596" s="230">
        <v>163609</v>
      </c>
      <c r="G596" s="392"/>
      <c r="H596" s="202"/>
      <c r="I596" s="202"/>
      <c r="J596" s="170"/>
      <c r="K596" s="170"/>
      <c r="L596" s="170"/>
      <c r="M596" s="170"/>
      <c r="N596" s="170"/>
      <c r="O596" s="170"/>
      <c r="P596" s="170"/>
      <c r="Q596" s="170">
        <f t="shared" si="37"/>
        <v>0</v>
      </c>
      <c r="R596" s="760"/>
    </row>
    <row r="597" spans="1:18" ht="41.25" hidden="1" customHeight="1" x14ac:dyDescent="0.2">
      <c r="A597" s="197"/>
      <c r="B597" s="197"/>
      <c r="C597" s="635" t="s">
        <v>1127</v>
      </c>
      <c r="D597" s="644" t="s">
        <v>220</v>
      </c>
      <c r="E597" s="358"/>
      <c r="F597" s="230">
        <v>163611</v>
      </c>
      <c r="G597" s="392"/>
      <c r="H597" s="202"/>
      <c r="I597" s="202"/>
      <c r="J597" s="170"/>
      <c r="K597" s="170"/>
      <c r="L597" s="170"/>
      <c r="M597" s="170"/>
      <c r="N597" s="170"/>
      <c r="O597" s="170"/>
      <c r="P597" s="170"/>
      <c r="Q597" s="170">
        <f t="shared" si="37"/>
        <v>0</v>
      </c>
      <c r="R597" s="760"/>
    </row>
    <row r="598" spans="1:18" ht="38.25" customHeight="1" x14ac:dyDescent="0.2">
      <c r="A598" s="197"/>
      <c r="B598" s="197"/>
      <c r="C598" s="635" t="s">
        <v>1128</v>
      </c>
      <c r="D598" s="645" t="s">
        <v>173</v>
      </c>
      <c r="E598" s="358"/>
      <c r="F598" s="230">
        <v>163612</v>
      </c>
      <c r="G598" s="392"/>
      <c r="H598" s="202"/>
      <c r="I598" s="202"/>
      <c r="J598" s="170"/>
      <c r="K598" s="170"/>
      <c r="L598" s="170">
        <v>5077</v>
      </c>
      <c r="M598" s="170"/>
      <c r="N598" s="170"/>
      <c r="O598" s="170"/>
      <c r="P598" s="170"/>
      <c r="Q598" s="170">
        <f t="shared" si="37"/>
        <v>5077</v>
      </c>
      <c r="R598" s="760" t="s">
        <v>1490</v>
      </c>
    </row>
    <row r="599" spans="1:18" ht="41.25" customHeight="1" x14ac:dyDescent="0.2">
      <c r="A599" s="197"/>
      <c r="B599" s="197"/>
      <c r="C599" s="635" t="s">
        <v>1129</v>
      </c>
      <c r="D599" s="645" t="s">
        <v>1130</v>
      </c>
      <c r="E599" s="358"/>
      <c r="F599" s="230">
        <v>163613</v>
      </c>
      <c r="G599" s="392"/>
      <c r="H599" s="202"/>
      <c r="I599" s="202">
        <v>24293</v>
      </c>
      <c r="J599" s="170"/>
      <c r="K599" s="170"/>
      <c r="L599" s="170">
        <v>89974</v>
      </c>
      <c r="M599" s="170"/>
      <c r="N599" s="170"/>
      <c r="O599" s="170"/>
      <c r="P599" s="170"/>
      <c r="Q599" s="170">
        <f t="shared" si="37"/>
        <v>114267</v>
      </c>
      <c r="R599" s="760" t="s">
        <v>1490</v>
      </c>
    </row>
    <row r="600" spans="1:18" ht="40.5" hidden="1" customHeight="1" x14ac:dyDescent="0.2">
      <c r="A600" s="197"/>
      <c r="B600" s="197"/>
      <c r="C600" s="635" t="s">
        <v>1131</v>
      </c>
      <c r="D600" s="645" t="s">
        <v>214</v>
      </c>
      <c r="E600" s="358"/>
      <c r="F600" s="230">
        <v>163614</v>
      </c>
      <c r="G600" s="392"/>
      <c r="H600" s="202"/>
      <c r="I600" s="202"/>
      <c r="J600" s="170"/>
      <c r="K600" s="170"/>
      <c r="L600" s="170"/>
      <c r="M600" s="170"/>
      <c r="N600" s="170"/>
      <c r="O600" s="170"/>
      <c r="P600" s="170"/>
      <c r="Q600" s="170">
        <f t="shared" si="37"/>
        <v>0</v>
      </c>
      <c r="R600" s="760"/>
    </row>
    <row r="601" spans="1:18" ht="51.75" hidden="1" customHeight="1" x14ac:dyDescent="0.2">
      <c r="A601" s="197"/>
      <c r="B601" s="197"/>
      <c r="C601" s="635" t="s">
        <v>1132</v>
      </c>
      <c r="D601" s="645" t="s">
        <v>225</v>
      </c>
      <c r="E601" s="358"/>
      <c r="F601" s="230">
        <v>163615</v>
      </c>
      <c r="G601" s="392"/>
      <c r="H601" s="202"/>
      <c r="I601" s="202"/>
      <c r="J601" s="170"/>
      <c r="K601" s="170"/>
      <c r="L601" s="170"/>
      <c r="M601" s="170"/>
      <c r="N601" s="170"/>
      <c r="O601" s="170"/>
      <c r="P601" s="170"/>
      <c r="Q601" s="170">
        <f t="shared" si="37"/>
        <v>0</v>
      </c>
      <c r="R601" s="760"/>
    </row>
    <row r="602" spans="1:18" ht="28.5" hidden="1" customHeight="1" x14ac:dyDescent="0.2">
      <c r="A602" s="197"/>
      <c r="B602" s="197"/>
      <c r="C602" s="635" t="s">
        <v>1133</v>
      </c>
      <c r="D602" s="645" t="s">
        <v>221</v>
      </c>
      <c r="E602" s="358"/>
      <c r="F602" s="230">
        <v>163616</v>
      </c>
      <c r="G602" s="392"/>
      <c r="H602" s="202"/>
      <c r="I602" s="202"/>
      <c r="J602" s="170"/>
      <c r="K602" s="170"/>
      <c r="L602" s="170"/>
      <c r="M602" s="170"/>
      <c r="N602" s="170"/>
      <c r="O602" s="170"/>
      <c r="P602" s="170"/>
      <c r="Q602" s="170">
        <f t="shared" si="37"/>
        <v>0</v>
      </c>
      <c r="R602" s="760"/>
    </row>
    <row r="603" spans="1:18" ht="52.5" hidden="1" customHeight="1" x14ac:dyDescent="0.2">
      <c r="A603" s="197"/>
      <c r="B603" s="197"/>
      <c r="C603" s="635" t="s">
        <v>1134</v>
      </c>
      <c r="D603" s="645" t="s">
        <v>222</v>
      </c>
      <c r="E603" s="358"/>
      <c r="F603" s="230">
        <v>163617</v>
      </c>
      <c r="G603" s="392"/>
      <c r="H603" s="202"/>
      <c r="I603" s="202"/>
      <c r="J603" s="170"/>
      <c r="K603" s="170"/>
      <c r="L603" s="170"/>
      <c r="M603" s="170"/>
      <c r="N603" s="170"/>
      <c r="O603" s="170"/>
      <c r="P603" s="170"/>
      <c r="Q603" s="170">
        <f t="shared" si="37"/>
        <v>0</v>
      </c>
      <c r="R603" s="760"/>
    </row>
    <row r="604" spans="1:18" ht="44.25" hidden="1" customHeight="1" x14ac:dyDescent="0.2">
      <c r="A604" s="197"/>
      <c r="B604" s="197"/>
      <c r="C604" s="635" t="s">
        <v>1135</v>
      </c>
      <c r="D604" s="645" t="s">
        <v>216</v>
      </c>
      <c r="E604" s="358"/>
      <c r="F604" s="230">
        <v>163622</v>
      </c>
      <c r="G604" s="392"/>
      <c r="H604" s="202"/>
      <c r="I604" s="202"/>
      <c r="J604" s="170"/>
      <c r="K604" s="170"/>
      <c r="L604" s="170"/>
      <c r="M604" s="170"/>
      <c r="N604" s="170"/>
      <c r="O604" s="170"/>
      <c r="P604" s="170"/>
      <c r="Q604" s="170">
        <f t="shared" si="37"/>
        <v>0</v>
      </c>
      <c r="R604" s="760"/>
    </row>
    <row r="605" spans="1:18" ht="24" hidden="1" customHeight="1" x14ac:dyDescent="0.2">
      <c r="A605" s="197"/>
      <c r="B605" s="197"/>
      <c r="C605" s="635" t="s">
        <v>1136</v>
      </c>
      <c r="D605" s="645" t="s">
        <v>215</v>
      </c>
      <c r="E605" s="358"/>
      <c r="F605" s="230">
        <v>163623</v>
      </c>
      <c r="G605" s="392"/>
      <c r="H605" s="202"/>
      <c r="I605" s="202"/>
      <c r="J605" s="170"/>
      <c r="K605" s="170"/>
      <c r="L605" s="170"/>
      <c r="M605" s="170"/>
      <c r="N605" s="170"/>
      <c r="O605" s="170"/>
      <c r="P605" s="170"/>
      <c r="Q605" s="170">
        <f t="shared" si="37"/>
        <v>0</v>
      </c>
      <c r="R605" s="760"/>
    </row>
    <row r="606" spans="1:18" ht="24.75" hidden="1" customHeight="1" x14ac:dyDescent="0.2">
      <c r="A606" s="197"/>
      <c r="B606" s="197"/>
      <c r="C606" s="635" t="s">
        <v>1137</v>
      </c>
      <c r="D606" s="172" t="s">
        <v>198</v>
      </c>
      <c r="E606" s="358"/>
      <c r="F606" s="230">
        <v>163625</v>
      </c>
      <c r="G606" s="342"/>
      <c r="H606" s="202"/>
      <c r="I606" s="202"/>
      <c r="J606" s="202"/>
      <c r="K606" s="170"/>
      <c r="L606" s="170"/>
      <c r="M606" s="170"/>
      <c r="N606" s="170"/>
      <c r="O606" s="170"/>
      <c r="P606" s="170"/>
      <c r="Q606" s="170">
        <f t="shared" si="37"/>
        <v>0</v>
      </c>
      <c r="R606" s="760"/>
    </row>
    <row r="607" spans="1:18" ht="24.75" hidden="1" customHeight="1" x14ac:dyDescent="0.2">
      <c r="A607" s="197"/>
      <c r="B607" s="197"/>
      <c r="C607" s="635" t="s">
        <v>1138</v>
      </c>
      <c r="D607" s="169" t="s">
        <v>200</v>
      </c>
      <c r="E607" s="358"/>
      <c r="F607" s="230">
        <v>163626</v>
      </c>
      <c r="G607" s="392"/>
      <c r="H607" s="202"/>
      <c r="I607" s="202"/>
      <c r="J607" s="170"/>
      <c r="K607" s="170"/>
      <c r="L607" s="170"/>
      <c r="M607" s="170"/>
      <c r="N607" s="170"/>
      <c r="O607" s="170"/>
      <c r="P607" s="170"/>
      <c r="Q607" s="170">
        <f t="shared" si="37"/>
        <v>0</v>
      </c>
      <c r="R607" s="760"/>
    </row>
    <row r="608" spans="1:18" ht="39.75" hidden="1" customHeight="1" x14ac:dyDescent="0.2">
      <c r="A608" s="197"/>
      <c r="B608" s="197"/>
      <c r="C608" s="635" t="s">
        <v>1139</v>
      </c>
      <c r="D608" s="646" t="s">
        <v>224</v>
      </c>
      <c r="E608" s="358"/>
      <c r="F608" s="230">
        <v>163627</v>
      </c>
      <c r="G608" s="392"/>
      <c r="H608" s="202"/>
      <c r="I608" s="202"/>
      <c r="J608" s="170"/>
      <c r="K608" s="170"/>
      <c r="L608" s="170"/>
      <c r="M608" s="170"/>
      <c r="N608" s="170"/>
      <c r="O608" s="170"/>
      <c r="P608" s="170"/>
      <c r="Q608" s="170">
        <f t="shared" si="37"/>
        <v>0</v>
      </c>
      <c r="R608" s="760"/>
    </row>
    <row r="609" spans="1:18" ht="27" customHeight="1" x14ac:dyDescent="0.2">
      <c r="A609" s="197"/>
      <c r="B609" s="197"/>
      <c r="C609" s="635" t="s">
        <v>1140</v>
      </c>
      <c r="D609" s="646" t="s">
        <v>1141</v>
      </c>
      <c r="E609" s="358"/>
      <c r="F609" s="230">
        <v>163629</v>
      </c>
      <c r="G609" s="392">
        <v>1317</v>
      </c>
      <c r="H609" s="202">
        <v>208</v>
      </c>
      <c r="I609" s="202">
        <v>-1525</v>
      </c>
      <c r="J609" s="170"/>
      <c r="K609" s="170"/>
      <c r="L609" s="170"/>
      <c r="M609" s="170"/>
      <c r="N609" s="170"/>
      <c r="O609" s="170"/>
      <c r="P609" s="170"/>
      <c r="Q609" s="170">
        <f t="shared" si="37"/>
        <v>0</v>
      </c>
      <c r="R609" s="760" t="s">
        <v>1490</v>
      </c>
    </row>
    <row r="610" spans="1:18" ht="28.5" hidden="1" customHeight="1" x14ac:dyDescent="0.2">
      <c r="A610" s="197"/>
      <c r="B610" s="197"/>
      <c r="C610" s="635" t="s">
        <v>1142</v>
      </c>
      <c r="D610" s="169" t="s">
        <v>1143</v>
      </c>
      <c r="E610" s="358"/>
      <c r="F610" s="230">
        <v>163628</v>
      </c>
      <c r="G610" s="392"/>
      <c r="H610" s="202"/>
      <c r="I610" s="202"/>
      <c r="J610" s="170"/>
      <c r="K610" s="170"/>
      <c r="L610" s="170"/>
      <c r="M610" s="170"/>
      <c r="N610" s="170"/>
      <c r="O610" s="170"/>
      <c r="P610" s="170"/>
      <c r="Q610" s="170">
        <f t="shared" si="37"/>
        <v>0</v>
      </c>
      <c r="R610" s="760"/>
    </row>
    <row r="611" spans="1:18" ht="39.75" hidden="1" customHeight="1" x14ac:dyDescent="0.2">
      <c r="A611" s="197"/>
      <c r="B611" s="197"/>
      <c r="C611" s="635" t="s">
        <v>1144</v>
      </c>
      <c r="D611" s="171" t="s">
        <v>153</v>
      </c>
      <c r="E611" s="358"/>
      <c r="F611" s="230">
        <v>163633</v>
      </c>
      <c r="G611" s="392"/>
      <c r="H611" s="202"/>
      <c r="I611" s="202"/>
      <c r="J611" s="170"/>
      <c r="K611" s="170"/>
      <c r="L611" s="170"/>
      <c r="M611" s="170"/>
      <c r="N611" s="170"/>
      <c r="O611" s="170"/>
      <c r="P611" s="170"/>
      <c r="Q611" s="170">
        <f t="shared" si="37"/>
        <v>0</v>
      </c>
      <c r="R611" s="760"/>
    </row>
    <row r="612" spans="1:18" ht="40.5" customHeight="1" x14ac:dyDescent="0.2">
      <c r="A612" s="197"/>
      <c r="B612" s="197"/>
      <c r="C612" s="635" t="s">
        <v>1145</v>
      </c>
      <c r="D612" s="169" t="s">
        <v>1481</v>
      </c>
      <c r="E612" s="358"/>
      <c r="F612" s="230">
        <v>163637</v>
      </c>
      <c r="G612" s="392"/>
      <c r="H612" s="202"/>
      <c r="I612" s="202">
        <v>39352</v>
      </c>
      <c r="J612" s="170"/>
      <c r="K612" s="170"/>
      <c r="L612" s="170">
        <v>145747</v>
      </c>
      <c r="M612" s="170"/>
      <c r="N612" s="170"/>
      <c r="O612" s="170"/>
      <c r="P612" s="170"/>
      <c r="Q612" s="170">
        <f t="shared" si="37"/>
        <v>185099</v>
      </c>
      <c r="R612" s="760" t="s">
        <v>1490</v>
      </c>
    </row>
    <row r="613" spans="1:18" ht="29.25" hidden="1" customHeight="1" x14ac:dyDescent="0.2">
      <c r="A613" s="197"/>
      <c r="B613" s="197"/>
      <c r="C613" s="635" t="s">
        <v>1146</v>
      </c>
      <c r="D613" s="171" t="s">
        <v>70</v>
      </c>
      <c r="E613" s="358"/>
      <c r="F613" s="230">
        <v>163638</v>
      </c>
      <c r="G613" s="392"/>
      <c r="H613" s="202"/>
      <c r="I613" s="202"/>
      <c r="J613" s="170"/>
      <c r="K613" s="170"/>
      <c r="L613" s="170"/>
      <c r="M613" s="170"/>
      <c r="N613" s="170"/>
      <c r="O613" s="170"/>
      <c r="P613" s="170"/>
      <c r="Q613" s="170">
        <f t="shared" si="37"/>
        <v>0</v>
      </c>
      <c r="R613" s="760"/>
    </row>
    <row r="614" spans="1:18" ht="32.25" customHeight="1" x14ac:dyDescent="0.2">
      <c r="A614" s="197"/>
      <c r="B614" s="197"/>
      <c r="C614" s="635" t="s">
        <v>1147</v>
      </c>
      <c r="D614" s="171" t="s">
        <v>71</v>
      </c>
      <c r="E614" s="358"/>
      <c r="F614" s="230">
        <v>163639</v>
      </c>
      <c r="G614" s="392"/>
      <c r="H614" s="202"/>
      <c r="I614" s="202"/>
      <c r="J614" s="170"/>
      <c r="K614" s="170"/>
      <c r="L614" s="170"/>
      <c r="M614" s="170">
        <v>25153</v>
      </c>
      <c r="N614" s="170"/>
      <c r="O614" s="170"/>
      <c r="P614" s="170"/>
      <c r="Q614" s="170">
        <f t="shared" si="37"/>
        <v>25153</v>
      </c>
      <c r="R614" s="760" t="s">
        <v>1489</v>
      </c>
    </row>
    <row r="615" spans="1:18" ht="25.5" hidden="1" customHeight="1" x14ac:dyDescent="0.2">
      <c r="A615" s="197"/>
      <c r="B615" s="197"/>
      <c r="C615" s="635" t="s">
        <v>1148</v>
      </c>
      <c r="D615" s="171" t="s">
        <v>72</v>
      </c>
      <c r="E615" s="358"/>
      <c r="F615" s="230">
        <v>163640</v>
      </c>
      <c r="G615" s="392"/>
      <c r="H615" s="202"/>
      <c r="I615" s="202"/>
      <c r="J615" s="170"/>
      <c r="K615" s="170"/>
      <c r="L615" s="170"/>
      <c r="M615" s="170"/>
      <c r="N615" s="170"/>
      <c r="O615" s="170"/>
      <c r="P615" s="170"/>
      <c r="Q615" s="170">
        <f t="shared" si="37"/>
        <v>0</v>
      </c>
      <c r="R615" s="760"/>
    </row>
    <row r="616" spans="1:18" ht="30.75" hidden="1" customHeight="1" x14ac:dyDescent="0.2">
      <c r="A616" s="197"/>
      <c r="B616" s="197"/>
      <c r="C616" s="635" t="s">
        <v>1149</v>
      </c>
      <c r="D616" s="236" t="s">
        <v>1150</v>
      </c>
      <c r="E616" s="358"/>
      <c r="F616" s="230">
        <v>163646</v>
      </c>
      <c r="G616" s="392"/>
      <c r="H616" s="202"/>
      <c r="I616" s="202"/>
      <c r="J616" s="170"/>
      <c r="K616" s="170"/>
      <c r="L616" s="170"/>
      <c r="M616" s="170"/>
      <c r="N616" s="170"/>
      <c r="O616" s="170"/>
      <c r="P616" s="170"/>
      <c r="Q616" s="170">
        <f t="shared" si="37"/>
        <v>0</v>
      </c>
      <c r="R616" s="760"/>
    </row>
    <row r="617" spans="1:18" ht="24" hidden="1" customHeight="1" x14ac:dyDescent="0.2">
      <c r="A617" s="197"/>
      <c r="B617" s="197"/>
      <c r="C617" s="635" t="s">
        <v>1151</v>
      </c>
      <c r="D617" s="169" t="s">
        <v>1152</v>
      </c>
      <c r="E617" s="610"/>
      <c r="F617" s="230">
        <v>163636</v>
      </c>
      <c r="G617" s="392"/>
      <c r="H617" s="202"/>
      <c r="I617" s="202"/>
      <c r="J617" s="170"/>
      <c r="K617" s="170"/>
      <c r="L617" s="170"/>
      <c r="M617" s="170"/>
      <c r="N617" s="170"/>
      <c r="O617" s="170"/>
      <c r="P617" s="170"/>
      <c r="Q617" s="170">
        <f t="shared" si="37"/>
        <v>0</v>
      </c>
      <c r="R617" s="760"/>
    </row>
    <row r="618" spans="1:18" ht="21" customHeight="1" x14ac:dyDescent="0.2">
      <c r="A618" s="197"/>
      <c r="B618" s="197"/>
      <c r="C618" s="636" t="s">
        <v>1153</v>
      </c>
      <c r="D618" s="393" t="s">
        <v>1154</v>
      </c>
      <c r="E618" s="230"/>
      <c r="F618" s="230">
        <v>162630</v>
      </c>
      <c r="G618" s="392"/>
      <c r="H618" s="202"/>
      <c r="I618" s="202"/>
      <c r="J618" s="170"/>
      <c r="K618" s="170"/>
      <c r="L618" s="170">
        <v>2895</v>
      </c>
      <c r="M618" s="170">
        <v>-418</v>
      </c>
      <c r="N618" s="170"/>
      <c r="O618" s="170"/>
      <c r="P618" s="170"/>
      <c r="Q618" s="170">
        <f t="shared" si="37"/>
        <v>2477</v>
      </c>
      <c r="R618" s="760" t="s">
        <v>1490</v>
      </c>
    </row>
    <row r="619" spans="1:18" ht="16.5" customHeight="1" x14ac:dyDescent="0.2">
      <c r="A619" s="197"/>
      <c r="B619" s="197"/>
      <c r="C619" s="635"/>
      <c r="D619" s="394" t="s">
        <v>1155</v>
      </c>
      <c r="E619" s="230"/>
      <c r="F619" s="230"/>
      <c r="G619" s="392"/>
      <c r="H619" s="202"/>
      <c r="I619" s="202"/>
      <c r="J619" s="170"/>
      <c r="K619" s="170"/>
      <c r="L619" s="170"/>
      <c r="M619" s="170"/>
      <c r="N619" s="170"/>
      <c r="O619" s="170"/>
      <c r="P619" s="170"/>
      <c r="Q619" s="170"/>
      <c r="R619" s="760"/>
    </row>
    <row r="620" spans="1:18" ht="23.25" customHeight="1" x14ac:dyDescent="0.2">
      <c r="A620" s="197"/>
      <c r="B620" s="197"/>
      <c r="C620" s="635"/>
      <c r="D620" s="395" t="s">
        <v>1156</v>
      </c>
      <c r="E620" s="230"/>
      <c r="F620" s="230"/>
      <c r="G620" s="392"/>
      <c r="H620" s="202"/>
      <c r="I620" s="202"/>
      <c r="J620" s="170"/>
      <c r="K620" s="170"/>
      <c r="L620" s="170"/>
      <c r="M620" s="170"/>
      <c r="N620" s="170"/>
      <c r="O620" s="170"/>
      <c r="P620" s="170"/>
      <c r="Q620" s="170"/>
      <c r="R620" s="760"/>
    </row>
    <row r="621" spans="1:18" ht="16.5" customHeight="1" x14ac:dyDescent="0.2">
      <c r="A621" s="197"/>
      <c r="B621" s="197"/>
      <c r="C621" s="635"/>
      <c r="D621" s="395" t="s">
        <v>1157</v>
      </c>
      <c r="E621" s="230"/>
      <c r="F621" s="230"/>
      <c r="G621" s="392"/>
      <c r="H621" s="202"/>
      <c r="I621" s="202"/>
      <c r="J621" s="170"/>
      <c r="K621" s="170"/>
      <c r="L621" s="170"/>
      <c r="M621" s="170"/>
      <c r="N621" s="170"/>
      <c r="O621" s="170"/>
      <c r="P621" s="170"/>
      <c r="Q621" s="170"/>
      <c r="R621" s="760"/>
    </row>
    <row r="622" spans="1:18" ht="27" customHeight="1" x14ac:dyDescent="0.2">
      <c r="A622" s="197"/>
      <c r="B622" s="197"/>
      <c r="C622" s="635"/>
      <c r="D622" s="173" t="s">
        <v>1158</v>
      </c>
      <c r="E622" s="230"/>
      <c r="F622" s="230"/>
      <c r="G622" s="392"/>
      <c r="H622" s="202"/>
      <c r="I622" s="202"/>
      <c r="J622" s="170"/>
      <c r="K622" s="170"/>
      <c r="L622" s="170"/>
      <c r="M622" s="170"/>
      <c r="N622" s="170"/>
      <c r="O622" s="170"/>
      <c r="P622" s="170"/>
      <c r="Q622" s="170"/>
      <c r="R622" s="760"/>
    </row>
    <row r="623" spans="1:18" ht="27" customHeight="1" x14ac:dyDescent="0.2">
      <c r="A623" s="197"/>
      <c r="B623" s="197"/>
      <c r="C623" s="635"/>
      <c r="D623" s="396" t="s">
        <v>1159</v>
      </c>
      <c r="E623" s="230"/>
      <c r="F623" s="230"/>
      <c r="G623" s="392"/>
      <c r="H623" s="202"/>
      <c r="I623" s="202"/>
      <c r="J623" s="170"/>
      <c r="K623" s="170"/>
      <c r="L623" s="170"/>
      <c r="M623" s="170"/>
      <c r="N623" s="170"/>
      <c r="O623" s="170"/>
      <c r="P623" s="170"/>
      <c r="Q623" s="170"/>
      <c r="R623" s="760"/>
    </row>
    <row r="624" spans="1:18" ht="25.5" customHeight="1" x14ac:dyDescent="0.2">
      <c r="A624" s="197"/>
      <c r="B624" s="197"/>
      <c r="C624" s="635"/>
      <c r="D624" s="173" t="s">
        <v>1160</v>
      </c>
      <c r="E624" s="230"/>
      <c r="F624" s="230"/>
      <c r="G624" s="392"/>
      <c r="H624" s="202"/>
      <c r="I624" s="202"/>
      <c r="J624" s="170"/>
      <c r="K624" s="170"/>
      <c r="L624" s="170"/>
      <c r="M624" s="170"/>
      <c r="N624" s="170"/>
      <c r="O624" s="170"/>
      <c r="P624" s="170"/>
      <c r="Q624" s="170"/>
      <c r="R624" s="760"/>
    </row>
    <row r="625" spans="1:18" ht="17.100000000000001" customHeight="1" x14ac:dyDescent="0.2">
      <c r="A625" s="197"/>
      <c r="B625" s="197"/>
      <c r="C625" s="635"/>
      <c r="D625" s="397" t="s">
        <v>1161</v>
      </c>
      <c r="E625" s="230"/>
      <c r="F625" s="230"/>
      <c r="G625" s="392"/>
      <c r="H625" s="202"/>
      <c r="I625" s="202"/>
      <c r="J625" s="170"/>
      <c r="K625" s="170"/>
      <c r="L625" s="170"/>
      <c r="M625" s="170"/>
      <c r="N625" s="170"/>
      <c r="O625" s="170"/>
      <c r="P625" s="170"/>
      <c r="Q625" s="170"/>
      <c r="R625" s="760"/>
    </row>
    <row r="626" spans="1:18" ht="17.100000000000001" customHeight="1" x14ac:dyDescent="0.2">
      <c r="A626" s="197"/>
      <c r="B626" s="197"/>
      <c r="C626" s="635"/>
      <c r="D626" s="397" t="s">
        <v>1162</v>
      </c>
      <c r="E626" s="230"/>
      <c r="F626" s="230"/>
      <c r="G626" s="392"/>
      <c r="H626" s="202"/>
      <c r="I626" s="202"/>
      <c r="J626" s="170"/>
      <c r="K626" s="170"/>
      <c r="L626" s="170"/>
      <c r="M626" s="170"/>
      <c r="N626" s="170"/>
      <c r="O626" s="170"/>
      <c r="P626" s="170"/>
      <c r="Q626" s="170"/>
      <c r="R626" s="760"/>
    </row>
    <row r="627" spans="1:18" ht="17.100000000000001" customHeight="1" x14ac:dyDescent="0.2">
      <c r="A627" s="197"/>
      <c r="B627" s="197"/>
      <c r="C627" s="635"/>
      <c r="D627" s="397" t="s">
        <v>1163</v>
      </c>
      <c r="E627" s="230"/>
      <c r="F627" s="230"/>
      <c r="G627" s="392"/>
      <c r="H627" s="202"/>
      <c r="I627" s="202"/>
      <c r="J627" s="170"/>
      <c r="K627" s="170"/>
      <c r="L627" s="170"/>
      <c r="M627" s="170"/>
      <c r="N627" s="170"/>
      <c r="O627" s="170"/>
      <c r="P627" s="170"/>
      <c r="Q627" s="170"/>
      <c r="R627" s="760"/>
    </row>
    <row r="628" spans="1:18" ht="17.100000000000001" customHeight="1" x14ac:dyDescent="0.2">
      <c r="A628" s="197"/>
      <c r="B628" s="197"/>
      <c r="C628" s="635"/>
      <c r="D628" s="397" t="s">
        <v>1164</v>
      </c>
      <c r="E628" s="230"/>
      <c r="F628" s="230"/>
      <c r="G628" s="392"/>
      <c r="H628" s="202"/>
      <c r="I628" s="202"/>
      <c r="J628" s="170"/>
      <c r="K628" s="170"/>
      <c r="L628" s="170"/>
      <c r="M628" s="170"/>
      <c r="N628" s="170"/>
      <c r="O628" s="170"/>
      <c r="P628" s="170"/>
      <c r="Q628" s="170"/>
      <c r="R628" s="760"/>
    </row>
    <row r="629" spans="1:18" ht="27" customHeight="1" x14ac:dyDescent="0.2">
      <c r="A629" s="197"/>
      <c r="B629" s="197"/>
      <c r="C629" s="635"/>
      <c r="D629" s="397" t="s">
        <v>1165</v>
      </c>
      <c r="E629" s="230"/>
      <c r="F629" s="230"/>
      <c r="G629" s="392"/>
      <c r="H629" s="202"/>
      <c r="I629" s="202"/>
      <c r="J629" s="170"/>
      <c r="K629" s="170"/>
      <c r="L629" s="170"/>
      <c r="M629" s="170"/>
      <c r="N629" s="170"/>
      <c r="O629" s="170"/>
      <c r="P629" s="170"/>
      <c r="Q629" s="170"/>
      <c r="R629" s="760"/>
    </row>
    <row r="630" spans="1:18" ht="15.75" customHeight="1" x14ac:dyDescent="0.2">
      <c r="A630" s="197"/>
      <c r="B630" s="197"/>
      <c r="C630" s="635"/>
      <c r="D630" s="397" t="s">
        <v>1166</v>
      </c>
      <c r="E630" s="230"/>
      <c r="F630" s="230"/>
      <c r="G630" s="392"/>
      <c r="H630" s="202"/>
      <c r="I630" s="202"/>
      <c r="J630" s="170"/>
      <c r="K630" s="170"/>
      <c r="L630" s="170"/>
      <c r="M630" s="170"/>
      <c r="N630" s="170"/>
      <c r="O630" s="170"/>
      <c r="P630" s="170"/>
      <c r="Q630" s="170"/>
      <c r="R630" s="760"/>
    </row>
    <row r="631" spans="1:18" ht="27" customHeight="1" x14ac:dyDescent="0.2">
      <c r="A631" s="197"/>
      <c r="B631" s="197"/>
      <c r="C631" s="635"/>
      <c r="D631" s="397" t="s">
        <v>1167</v>
      </c>
      <c r="E631" s="230"/>
      <c r="F631" s="230"/>
      <c r="G631" s="392"/>
      <c r="H631" s="202"/>
      <c r="I631" s="202"/>
      <c r="J631" s="170"/>
      <c r="K631" s="170"/>
      <c r="L631" s="170"/>
      <c r="M631" s="170"/>
      <c r="N631" s="170"/>
      <c r="O631" s="170"/>
      <c r="P631" s="170"/>
      <c r="Q631" s="170"/>
      <c r="R631" s="760"/>
    </row>
    <row r="632" spans="1:18" ht="17.100000000000001" customHeight="1" x14ac:dyDescent="0.2">
      <c r="A632" s="197"/>
      <c r="B632" s="197"/>
      <c r="C632" s="635"/>
      <c r="D632" s="397" t="s">
        <v>1168</v>
      </c>
      <c r="E632" s="230"/>
      <c r="F632" s="230"/>
      <c r="G632" s="392"/>
      <c r="H632" s="202"/>
      <c r="I632" s="202"/>
      <c r="J632" s="170"/>
      <c r="K632" s="170"/>
      <c r="L632" s="170"/>
      <c r="M632" s="170"/>
      <c r="N632" s="170"/>
      <c r="O632" s="170"/>
      <c r="P632" s="170"/>
      <c r="Q632" s="170"/>
      <c r="R632" s="760"/>
    </row>
    <row r="633" spans="1:18" ht="17.100000000000001" customHeight="1" x14ac:dyDescent="0.2">
      <c r="A633" s="197"/>
      <c r="B633" s="197"/>
      <c r="C633" s="635"/>
      <c r="D633" s="397" t="s">
        <v>1169</v>
      </c>
      <c r="E633" s="230"/>
      <c r="F633" s="230"/>
      <c r="G633" s="392"/>
      <c r="H633" s="202"/>
      <c r="I633" s="202"/>
      <c r="J633" s="170"/>
      <c r="K633" s="170"/>
      <c r="L633" s="170"/>
      <c r="M633" s="170"/>
      <c r="N633" s="170"/>
      <c r="O633" s="170"/>
      <c r="P633" s="170"/>
      <c r="Q633" s="170"/>
      <c r="R633" s="760"/>
    </row>
    <row r="634" spans="1:18" ht="17.100000000000001" customHeight="1" x14ac:dyDescent="0.2">
      <c r="A634" s="197"/>
      <c r="B634" s="197"/>
      <c r="C634" s="635"/>
      <c r="D634" s="397" t="s">
        <v>1170</v>
      </c>
      <c r="E634" s="230"/>
      <c r="F634" s="230"/>
      <c r="G634" s="392"/>
      <c r="H634" s="202"/>
      <c r="I634" s="202"/>
      <c r="J634" s="170"/>
      <c r="K634" s="170"/>
      <c r="L634" s="170"/>
      <c r="M634" s="170"/>
      <c r="N634" s="170"/>
      <c r="O634" s="170"/>
      <c r="P634" s="170"/>
      <c r="Q634" s="170"/>
      <c r="R634" s="760"/>
    </row>
    <row r="635" spans="1:18" ht="17.100000000000001" customHeight="1" x14ac:dyDescent="0.2">
      <c r="A635" s="197"/>
      <c r="B635" s="197"/>
      <c r="C635" s="635"/>
      <c r="D635" s="397" t="s">
        <v>1171</v>
      </c>
      <c r="E635" s="230"/>
      <c r="F635" s="230"/>
      <c r="G635" s="392"/>
      <c r="H635" s="202"/>
      <c r="I635" s="202"/>
      <c r="J635" s="170"/>
      <c r="K635" s="170"/>
      <c r="L635" s="170"/>
      <c r="M635" s="170"/>
      <c r="N635" s="170"/>
      <c r="O635" s="170"/>
      <c r="P635" s="170"/>
      <c r="Q635" s="170"/>
      <c r="R635" s="760"/>
    </row>
    <row r="636" spans="1:18" ht="17.100000000000001" customHeight="1" x14ac:dyDescent="0.2">
      <c r="A636" s="197"/>
      <c r="B636" s="197"/>
      <c r="C636" s="635"/>
      <c r="D636" s="397" t="s">
        <v>1172</v>
      </c>
      <c r="E636" s="230"/>
      <c r="F636" s="230"/>
      <c r="G636" s="392"/>
      <c r="H636" s="202"/>
      <c r="I636" s="202"/>
      <c r="J636" s="170"/>
      <c r="K636" s="170"/>
      <c r="L636" s="170"/>
      <c r="M636" s="170"/>
      <c r="N636" s="170"/>
      <c r="O636" s="170"/>
      <c r="P636" s="170"/>
      <c r="Q636" s="170"/>
      <c r="R636" s="760"/>
    </row>
    <row r="637" spans="1:18" ht="24" customHeight="1" x14ac:dyDescent="0.2">
      <c r="A637" s="197"/>
      <c r="B637" s="197"/>
      <c r="C637" s="635"/>
      <c r="D637" s="397" t="s">
        <v>1173</v>
      </c>
      <c r="E637" s="230"/>
      <c r="F637" s="230"/>
      <c r="G637" s="392"/>
      <c r="H637" s="202"/>
      <c r="I637" s="202"/>
      <c r="J637" s="170"/>
      <c r="K637" s="170"/>
      <c r="L637" s="170"/>
      <c r="M637" s="170"/>
      <c r="N637" s="170"/>
      <c r="O637" s="170"/>
      <c r="P637" s="170"/>
      <c r="Q637" s="170"/>
      <c r="R637" s="760"/>
    </row>
    <row r="638" spans="1:18" ht="17.100000000000001" customHeight="1" x14ac:dyDescent="0.2">
      <c r="A638" s="197"/>
      <c r="B638" s="197"/>
      <c r="C638" s="635"/>
      <c r="D638" s="397" t="s">
        <v>1174</v>
      </c>
      <c r="E638" s="230"/>
      <c r="F638" s="230"/>
      <c r="G638" s="392"/>
      <c r="H638" s="202"/>
      <c r="I638" s="202"/>
      <c r="J638" s="170"/>
      <c r="K638" s="170"/>
      <c r="L638" s="170"/>
      <c r="M638" s="170"/>
      <c r="N638" s="170"/>
      <c r="O638" s="170"/>
      <c r="P638" s="170"/>
      <c r="Q638" s="170"/>
      <c r="R638" s="760"/>
    </row>
    <row r="639" spans="1:18" ht="17.100000000000001" customHeight="1" x14ac:dyDescent="0.2">
      <c r="A639" s="197"/>
      <c r="B639" s="197"/>
      <c r="C639" s="635"/>
      <c r="D639" s="397" t="s">
        <v>1175</v>
      </c>
      <c r="E639" s="230"/>
      <c r="F639" s="230"/>
      <c r="G639" s="392"/>
      <c r="H639" s="202"/>
      <c r="I639" s="202"/>
      <c r="J639" s="170"/>
      <c r="K639" s="170"/>
      <c r="L639" s="170"/>
      <c r="M639" s="170"/>
      <c r="N639" s="170"/>
      <c r="O639" s="170"/>
      <c r="P639" s="170"/>
      <c r="Q639" s="170"/>
      <c r="R639" s="760"/>
    </row>
    <row r="640" spans="1:18" ht="17.100000000000001" customHeight="1" x14ac:dyDescent="0.2">
      <c r="A640" s="197"/>
      <c r="B640" s="197"/>
      <c r="C640" s="635"/>
      <c r="D640" s="397" t="s">
        <v>1176</v>
      </c>
      <c r="E640" s="230"/>
      <c r="F640" s="230"/>
      <c r="G640" s="392"/>
      <c r="H640" s="202"/>
      <c r="I640" s="202"/>
      <c r="J640" s="170"/>
      <c r="K640" s="170"/>
      <c r="L640" s="170"/>
      <c r="M640" s="170"/>
      <c r="N640" s="170"/>
      <c r="O640" s="170"/>
      <c r="P640" s="170"/>
      <c r="Q640" s="170"/>
      <c r="R640" s="760"/>
    </row>
    <row r="641" spans="1:18" ht="17.100000000000001" customHeight="1" x14ac:dyDescent="0.2">
      <c r="A641" s="197"/>
      <c r="B641" s="197"/>
      <c r="C641" s="635"/>
      <c r="D641" s="397" t="s">
        <v>1177</v>
      </c>
      <c r="E641" s="230"/>
      <c r="F641" s="230"/>
      <c r="G641" s="392"/>
      <c r="H641" s="202"/>
      <c r="I641" s="202"/>
      <c r="J641" s="170"/>
      <c r="K641" s="170"/>
      <c r="L641" s="170"/>
      <c r="M641" s="170"/>
      <c r="N641" s="170"/>
      <c r="O641" s="170"/>
      <c r="P641" s="170"/>
      <c r="Q641" s="170"/>
      <c r="R641" s="760"/>
    </row>
    <row r="642" spans="1:18" ht="17.100000000000001" customHeight="1" x14ac:dyDescent="0.2">
      <c r="A642" s="197"/>
      <c r="B642" s="197"/>
      <c r="C642" s="635"/>
      <c r="D642" s="397" t="s">
        <v>1178</v>
      </c>
      <c r="E642" s="230"/>
      <c r="F642" s="230"/>
      <c r="G642" s="392"/>
      <c r="H642" s="202"/>
      <c r="I642" s="202"/>
      <c r="J642" s="170"/>
      <c r="K642" s="170"/>
      <c r="L642" s="170"/>
      <c r="M642" s="170"/>
      <c r="N642" s="170"/>
      <c r="O642" s="170"/>
      <c r="P642" s="170"/>
      <c r="Q642" s="170"/>
      <c r="R642" s="760"/>
    </row>
    <row r="643" spans="1:18" ht="17.100000000000001" customHeight="1" x14ac:dyDescent="0.2">
      <c r="A643" s="197"/>
      <c r="B643" s="197"/>
      <c r="C643" s="635"/>
      <c r="D643" s="397" t="s">
        <v>1179</v>
      </c>
      <c r="E643" s="230"/>
      <c r="F643" s="230"/>
      <c r="G643" s="392"/>
      <c r="H643" s="202"/>
      <c r="I643" s="202"/>
      <c r="J643" s="170"/>
      <c r="K643" s="170"/>
      <c r="L643" s="170"/>
      <c r="M643" s="170"/>
      <c r="N643" s="170"/>
      <c r="O643" s="170"/>
      <c r="P643" s="170"/>
      <c r="Q643" s="170"/>
      <c r="R643" s="760"/>
    </row>
    <row r="644" spans="1:18" ht="17.100000000000001" customHeight="1" x14ac:dyDescent="0.2">
      <c r="A644" s="197"/>
      <c r="B644" s="197"/>
      <c r="C644" s="635"/>
      <c r="D644" s="397" t="s">
        <v>1180</v>
      </c>
      <c r="E644" s="230"/>
      <c r="F644" s="230"/>
      <c r="G644" s="392"/>
      <c r="H644" s="202"/>
      <c r="I644" s="202"/>
      <c r="J644" s="170"/>
      <c r="K644" s="170"/>
      <c r="L644" s="170"/>
      <c r="M644" s="170"/>
      <c r="N644" s="170"/>
      <c r="O644" s="170"/>
      <c r="P644" s="170"/>
      <c r="Q644" s="170"/>
      <c r="R644" s="760"/>
    </row>
    <row r="645" spans="1:18" ht="27" customHeight="1" x14ac:dyDescent="0.2">
      <c r="A645" s="197"/>
      <c r="B645" s="197"/>
      <c r="C645" s="635"/>
      <c r="D645" s="397" t="s">
        <v>1181</v>
      </c>
      <c r="E645" s="230"/>
      <c r="F645" s="230"/>
      <c r="G645" s="392"/>
      <c r="H645" s="202"/>
      <c r="I645" s="202"/>
      <c r="J645" s="170"/>
      <c r="K645" s="170"/>
      <c r="L645" s="170"/>
      <c r="M645" s="170"/>
      <c r="N645" s="170"/>
      <c r="O645" s="170"/>
      <c r="P645" s="170"/>
      <c r="Q645" s="170"/>
      <c r="R645" s="760"/>
    </row>
    <row r="646" spans="1:18" ht="27.75" customHeight="1" x14ac:dyDescent="0.2">
      <c r="A646" s="197"/>
      <c r="B646" s="197"/>
      <c r="C646" s="635"/>
      <c r="D646" s="397" t="s">
        <v>1182</v>
      </c>
      <c r="E646" s="230"/>
      <c r="F646" s="230"/>
      <c r="G646" s="392"/>
      <c r="H646" s="202"/>
      <c r="I646" s="202"/>
      <c r="J646" s="170"/>
      <c r="K646" s="170"/>
      <c r="L646" s="170"/>
      <c r="M646" s="170"/>
      <c r="N646" s="170"/>
      <c r="O646" s="170"/>
      <c r="P646" s="170"/>
      <c r="Q646" s="170"/>
      <c r="R646" s="760"/>
    </row>
    <row r="647" spans="1:18" ht="25.5" customHeight="1" x14ac:dyDescent="0.2">
      <c r="A647" s="197"/>
      <c r="B647" s="197"/>
      <c r="C647" s="635"/>
      <c r="D647" s="397" t="s">
        <v>1183</v>
      </c>
      <c r="E647" s="230"/>
      <c r="F647" s="230"/>
      <c r="G647" s="392"/>
      <c r="H647" s="202"/>
      <c r="I647" s="202"/>
      <c r="J647" s="170"/>
      <c r="K647" s="170"/>
      <c r="L647" s="170"/>
      <c r="M647" s="170"/>
      <c r="N647" s="170"/>
      <c r="O647" s="170"/>
      <c r="P647" s="170"/>
      <c r="Q647" s="170"/>
      <c r="R647" s="760"/>
    </row>
    <row r="648" spans="1:18" ht="15" customHeight="1" x14ac:dyDescent="0.2">
      <c r="A648" s="197"/>
      <c r="B648" s="197"/>
      <c r="C648" s="635"/>
      <c r="D648" s="397" t="s">
        <v>1184</v>
      </c>
      <c r="E648" s="230"/>
      <c r="F648" s="230"/>
      <c r="G648" s="392"/>
      <c r="H648" s="202"/>
      <c r="I648" s="202"/>
      <c r="J648" s="170"/>
      <c r="K648" s="170"/>
      <c r="L648" s="170"/>
      <c r="M648" s="170"/>
      <c r="N648" s="170"/>
      <c r="O648" s="170"/>
      <c r="P648" s="170"/>
      <c r="Q648" s="170"/>
      <c r="R648" s="760"/>
    </row>
    <row r="649" spans="1:18" ht="27.75" customHeight="1" x14ac:dyDescent="0.2">
      <c r="A649" s="197"/>
      <c r="B649" s="197"/>
      <c r="C649" s="635"/>
      <c r="D649" s="397" t="s">
        <v>1185</v>
      </c>
      <c r="E649" s="230"/>
      <c r="F649" s="230"/>
      <c r="G649" s="392"/>
      <c r="H649" s="202"/>
      <c r="I649" s="202"/>
      <c r="J649" s="170"/>
      <c r="K649" s="170"/>
      <c r="L649" s="170"/>
      <c r="M649" s="170"/>
      <c r="N649" s="170"/>
      <c r="O649" s="170"/>
      <c r="P649" s="170"/>
      <c r="Q649" s="170"/>
      <c r="R649" s="760"/>
    </row>
    <row r="650" spans="1:18" ht="16.5" customHeight="1" x14ac:dyDescent="0.2">
      <c r="A650" s="197"/>
      <c r="B650" s="197"/>
      <c r="C650" s="636" t="s">
        <v>1186</v>
      </c>
      <c r="D650" s="647" t="s">
        <v>1187</v>
      </c>
      <c r="E650" s="358"/>
      <c r="F650" s="230"/>
      <c r="G650" s="392"/>
      <c r="H650" s="202"/>
      <c r="I650" s="202"/>
      <c r="J650" s="170"/>
      <c r="K650" s="170"/>
      <c r="L650" s="170"/>
      <c r="M650" s="170"/>
      <c r="N650" s="170"/>
      <c r="O650" s="170"/>
      <c r="P650" s="170"/>
      <c r="Q650" s="170"/>
      <c r="R650" s="760"/>
    </row>
    <row r="651" spans="1:18" ht="34.5" hidden="1" customHeight="1" x14ac:dyDescent="0.2">
      <c r="A651" s="197"/>
      <c r="B651" s="197"/>
      <c r="C651" s="635" t="s">
        <v>1188</v>
      </c>
      <c r="D651" s="169" t="s">
        <v>1189</v>
      </c>
      <c r="E651" s="358"/>
      <c r="F651" s="230">
        <v>163621</v>
      </c>
      <c r="G651" s="392"/>
      <c r="H651" s="202"/>
      <c r="I651" s="202"/>
      <c r="J651" s="170"/>
      <c r="K651" s="170"/>
      <c r="L651" s="170"/>
      <c r="M651" s="170"/>
      <c r="N651" s="170"/>
      <c r="O651" s="170"/>
      <c r="P651" s="170"/>
      <c r="Q651" s="170">
        <f t="shared" ref="Q651:Q656" si="38">SUM(G651:P651)</f>
        <v>0</v>
      </c>
      <c r="R651" s="760"/>
    </row>
    <row r="652" spans="1:18" ht="16.5" hidden="1" customHeight="1" x14ac:dyDescent="0.2">
      <c r="A652" s="197"/>
      <c r="B652" s="197"/>
      <c r="C652" s="635" t="s">
        <v>1190</v>
      </c>
      <c r="D652" s="325" t="s">
        <v>1191</v>
      </c>
      <c r="E652" s="358"/>
      <c r="F652" s="230">
        <v>162687</v>
      </c>
      <c r="G652" s="392"/>
      <c r="H652" s="202"/>
      <c r="I652" s="202"/>
      <c r="J652" s="170"/>
      <c r="K652" s="170"/>
      <c r="L652" s="170"/>
      <c r="M652" s="170"/>
      <c r="N652" s="170"/>
      <c r="O652" s="170"/>
      <c r="P652" s="170"/>
      <c r="Q652" s="170">
        <f t="shared" si="38"/>
        <v>0</v>
      </c>
      <c r="R652" s="760"/>
    </row>
    <row r="653" spans="1:18" ht="27.75" customHeight="1" x14ac:dyDescent="0.2">
      <c r="A653" s="197"/>
      <c r="B653" s="197"/>
      <c r="C653" s="635" t="s">
        <v>1192</v>
      </c>
      <c r="D653" s="169" t="s">
        <v>1193</v>
      </c>
      <c r="E653" s="358"/>
      <c r="F653" s="230">
        <v>163702</v>
      </c>
      <c r="G653" s="392"/>
      <c r="H653" s="202"/>
      <c r="I653" s="202"/>
      <c r="J653" s="170"/>
      <c r="K653" s="170"/>
      <c r="L653" s="170">
        <v>10352</v>
      </c>
      <c r="M653" s="170"/>
      <c r="N653" s="170"/>
      <c r="O653" s="170"/>
      <c r="P653" s="170"/>
      <c r="Q653" s="170">
        <f t="shared" si="38"/>
        <v>10352</v>
      </c>
      <c r="R653" s="760" t="s">
        <v>1489</v>
      </c>
    </row>
    <row r="654" spans="1:18" ht="27.75" hidden="1" customHeight="1" x14ac:dyDescent="0.2">
      <c r="A654" s="197"/>
      <c r="B654" s="197"/>
      <c r="C654" s="635" t="s">
        <v>1194</v>
      </c>
      <c r="D654" s="169" t="s">
        <v>1195</v>
      </c>
      <c r="E654" s="358"/>
      <c r="F654" s="230">
        <v>162677</v>
      </c>
      <c r="G654" s="392"/>
      <c r="H654" s="202"/>
      <c r="I654" s="202"/>
      <c r="J654" s="170"/>
      <c r="K654" s="170"/>
      <c r="L654" s="170"/>
      <c r="M654" s="170"/>
      <c r="N654" s="170"/>
      <c r="O654" s="170"/>
      <c r="P654" s="170"/>
      <c r="Q654" s="170">
        <f t="shared" si="38"/>
        <v>0</v>
      </c>
      <c r="R654" s="760"/>
    </row>
    <row r="655" spans="1:18" ht="27.75" hidden="1" customHeight="1" x14ac:dyDescent="0.2">
      <c r="A655" s="197"/>
      <c r="B655" s="197"/>
      <c r="C655" s="635" t="s">
        <v>1196</v>
      </c>
      <c r="D655" s="169" t="s">
        <v>1197</v>
      </c>
      <c r="E655" s="610"/>
      <c r="F655" s="230">
        <v>163641</v>
      </c>
      <c r="G655" s="392"/>
      <c r="H655" s="202"/>
      <c r="I655" s="202"/>
      <c r="J655" s="170"/>
      <c r="K655" s="170"/>
      <c r="L655" s="170"/>
      <c r="M655" s="170"/>
      <c r="N655" s="170"/>
      <c r="O655" s="170"/>
      <c r="P655" s="170"/>
      <c r="Q655" s="170">
        <f t="shared" si="38"/>
        <v>0</v>
      </c>
      <c r="R655" s="760"/>
    </row>
    <row r="656" spans="1:18" ht="27.75" hidden="1" customHeight="1" x14ac:dyDescent="0.2">
      <c r="A656" s="197"/>
      <c r="B656" s="197"/>
      <c r="C656" s="635" t="s">
        <v>1198</v>
      </c>
      <c r="D656" s="645" t="s">
        <v>1199</v>
      </c>
      <c r="E656" s="610"/>
      <c r="F656" s="230">
        <v>163644</v>
      </c>
      <c r="G656" s="392"/>
      <c r="H656" s="202"/>
      <c r="I656" s="202"/>
      <c r="J656" s="170"/>
      <c r="K656" s="170"/>
      <c r="L656" s="170"/>
      <c r="M656" s="170"/>
      <c r="N656" s="170"/>
      <c r="O656" s="170"/>
      <c r="P656" s="170"/>
      <c r="Q656" s="170">
        <f t="shared" si="38"/>
        <v>0</v>
      </c>
      <c r="R656" s="760"/>
    </row>
    <row r="657" spans="1:18" ht="20.25" hidden="1" customHeight="1" x14ac:dyDescent="0.2">
      <c r="A657" s="197"/>
      <c r="B657" s="197"/>
      <c r="C657" s="636" t="s">
        <v>1200</v>
      </c>
      <c r="D657" s="648" t="s">
        <v>1201</v>
      </c>
      <c r="E657" s="358"/>
      <c r="F657" s="230"/>
      <c r="G657" s="392"/>
      <c r="H657" s="202"/>
      <c r="I657" s="202"/>
      <c r="J657" s="170"/>
      <c r="K657" s="170"/>
      <c r="L657" s="170"/>
      <c r="M657" s="170"/>
      <c r="N657" s="170"/>
      <c r="O657" s="170"/>
      <c r="P657" s="170"/>
      <c r="Q657" s="170"/>
      <c r="R657" s="760"/>
    </row>
    <row r="658" spans="1:18" ht="18.75" hidden="1" customHeight="1" x14ac:dyDescent="0.2">
      <c r="A658" s="197"/>
      <c r="B658" s="197"/>
      <c r="C658" s="636"/>
      <c r="D658" s="314" t="s">
        <v>502</v>
      </c>
      <c r="E658" s="358"/>
      <c r="F658" s="230"/>
      <c r="G658" s="392"/>
      <c r="H658" s="202"/>
      <c r="I658" s="202"/>
      <c r="J658" s="170"/>
      <c r="K658" s="170"/>
      <c r="L658" s="170"/>
      <c r="M658" s="170"/>
      <c r="N658" s="170"/>
      <c r="O658" s="170"/>
      <c r="P658" s="170"/>
      <c r="Q658" s="170"/>
      <c r="R658" s="760"/>
    </row>
    <row r="659" spans="1:18" ht="27.75" hidden="1" customHeight="1" x14ac:dyDescent="0.2">
      <c r="A659" s="197"/>
      <c r="B659" s="197"/>
      <c r="C659" s="637" t="s">
        <v>1202</v>
      </c>
      <c r="D659" s="169" t="s">
        <v>0</v>
      </c>
      <c r="E659" s="610"/>
      <c r="F659" s="230">
        <v>163643</v>
      </c>
      <c r="G659" s="392"/>
      <c r="H659" s="202"/>
      <c r="I659" s="202"/>
      <c r="J659" s="170"/>
      <c r="K659" s="170"/>
      <c r="L659" s="170"/>
      <c r="M659" s="170"/>
      <c r="N659" s="170"/>
      <c r="O659" s="170"/>
      <c r="P659" s="170"/>
      <c r="Q659" s="170">
        <f>SUM(G659:P659)</f>
        <v>0</v>
      </c>
      <c r="R659" s="760"/>
    </row>
    <row r="660" spans="1:18" ht="39.75" hidden="1" customHeight="1" x14ac:dyDescent="0.2">
      <c r="A660" s="197"/>
      <c r="B660" s="197"/>
      <c r="C660" s="637" t="s">
        <v>1203</v>
      </c>
      <c r="D660" s="169" t="s">
        <v>1204</v>
      </c>
      <c r="E660" s="610"/>
      <c r="F660" s="230">
        <v>163645</v>
      </c>
      <c r="G660" s="392"/>
      <c r="H660" s="202"/>
      <c r="I660" s="202"/>
      <c r="J660" s="170"/>
      <c r="K660" s="170"/>
      <c r="L660" s="170"/>
      <c r="M660" s="170"/>
      <c r="N660" s="170"/>
      <c r="O660" s="170"/>
      <c r="P660" s="170"/>
      <c r="Q660" s="170">
        <f>SUM(G660:P660)</f>
        <v>0</v>
      </c>
      <c r="R660" s="760"/>
    </row>
    <row r="661" spans="1:18" ht="27.75" hidden="1" customHeight="1" x14ac:dyDescent="0.2">
      <c r="A661" s="197"/>
      <c r="B661" s="197"/>
      <c r="C661" s="637" t="s">
        <v>1205</v>
      </c>
      <c r="D661" s="172" t="s">
        <v>199</v>
      </c>
      <c r="E661" s="358"/>
      <c r="F661" s="230">
        <v>163700</v>
      </c>
      <c r="G661" s="392"/>
      <c r="H661" s="202"/>
      <c r="I661" s="202"/>
      <c r="J661" s="170"/>
      <c r="K661" s="170"/>
      <c r="L661" s="170"/>
      <c r="M661" s="170"/>
      <c r="N661" s="170"/>
      <c r="O661" s="170"/>
      <c r="P661" s="170"/>
      <c r="Q661" s="170">
        <f>SUM(G661:P661)</f>
        <v>0</v>
      </c>
      <c r="R661" s="760"/>
    </row>
    <row r="662" spans="1:18" ht="17.25" hidden="1" customHeight="1" x14ac:dyDescent="0.2">
      <c r="A662" s="197"/>
      <c r="B662" s="197"/>
      <c r="C662" s="637" t="s">
        <v>1206</v>
      </c>
      <c r="D662" s="169" t="s">
        <v>261</v>
      </c>
      <c r="E662" s="610"/>
      <c r="F662" s="230">
        <v>162607</v>
      </c>
      <c r="G662" s="392"/>
      <c r="H662" s="202"/>
      <c r="I662" s="202"/>
      <c r="J662" s="170"/>
      <c r="K662" s="170"/>
      <c r="L662" s="170"/>
      <c r="M662" s="170"/>
      <c r="N662" s="170"/>
      <c r="O662" s="170"/>
      <c r="P662" s="170"/>
      <c r="Q662" s="170">
        <f>SUM(G662:P662)</f>
        <v>0</v>
      </c>
      <c r="R662" s="760"/>
    </row>
    <row r="663" spans="1:18" ht="18.75" customHeight="1" x14ac:dyDescent="0.2">
      <c r="A663" s="197"/>
      <c r="B663" s="197"/>
      <c r="C663" s="638" t="s">
        <v>1207</v>
      </c>
      <c r="D663" s="648" t="s">
        <v>1208</v>
      </c>
      <c r="E663" s="358"/>
      <c r="F663" s="230"/>
      <c r="G663" s="392"/>
      <c r="H663" s="202"/>
      <c r="I663" s="202"/>
      <c r="J663" s="170"/>
      <c r="K663" s="170"/>
      <c r="L663" s="170"/>
      <c r="M663" s="170"/>
      <c r="N663" s="170"/>
      <c r="O663" s="170"/>
      <c r="P663" s="170"/>
      <c r="Q663" s="170"/>
      <c r="R663" s="760"/>
    </row>
    <row r="664" spans="1:18" ht="18.75" hidden="1" customHeight="1" x14ac:dyDescent="0.2">
      <c r="A664" s="197"/>
      <c r="B664" s="197"/>
      <c r="C664" s="217" t="s">
        <v>1209</v>
      </c>
      <c r="D664" s="169" t="s">
        <v>1210</v>
      </c>
      <c r="E664" s="358"/>
      <c r="F664" s="230">
        <v>162944</v>
      </c>
      <c r="G664" s="392"/>
      <c r="H664" s="202"/>
      <c r="I664" s="202"/>
      <c r="J664" s="170"/>
      <c r="K664" s="170"/>
      <c r="L664" s="170"/>
      <c r="M664" s="170"/>
      <c r="N664" s="170"/>
      <c r="O664" s="170"/>
      <c r="P664" s="170"/>
      <c r="Q664" s="170">
        <f>SUM(G664:P664)</f>
        <v>0</v>
      </c>
      <c r="R664" s="760"/>
    </row>
    <row r="665" spans="1:18" ht="26.25" customHeight="1" x14ac:dyDescent="0.2">
      <c r="A665" s="197"/>
      <c r="B665" s="197"/>
      <c r="C665" s="217" t="s">
        <v>1211</v>
      </c>
      <c r="D665" s="172" t="s">
        <v>1212</v>
      </c>
      <c r="E665" s="358"/>
      <c r="F665" s="230">
        <v>162638</v>
      </c>
      <c r="G665" s="392"/>
      <c r="H665" s="202"/>
      <c r="I665" s="202">
        <v>2540</v>
      </c>
      <c r="J665" s="170"/>
      <c r="K665" s="170"/>
      <c r="L665" s="170">
        <v>-2540</v>
      </c>
      <c r="M665" s="170"/>
      <c r="N665" s="170"/>
      <c r="O665" s="170"/>
      <c r="P665" s="170"/>
      <c r="Q665" s="170">
        <f>SUM(G665:P665)</f>
        <v>0</v>
      </c>
      <c r="R665" s="760" t="s">
        <v>1490</v>
      </c>
    </row>
    <row r="666" spans="1:18" ht="36" customHeight="1" x14ac:dyDescent="0.2">
      <c r="A666" s="708"/>
      <c r="B666" s="708"/>
      <c r="C666" s="217" t="s">
        <v>1436</v>
      </c>
      <c r="D666" s="702" t="s">
        <v>1500</v>
      </c>
      <c r="E666" s="782"/>
      <c r="F666" s="817">
        <v>163647</v>
      </c>
      <c r="G666" s="783"/>
      <c r="H666" s="713"/>
      <c r="I666" s="713"/>
      <c r="J666" s="712"/>
      <c r="K666" s="712"/>
      <c r="L666" s="712">
        <v>69448</v>
      </c>
      <c r="M666" s="712"/>
      <c r="N666" s="712"/>
      <c r="O666" s="712"/>
      <c r="P666" s="712"/>
      <c r="Q666" s="170">
        <f>SUM(G666:P666)</f>
        <v>69448</v>
      </c>
      <c r="R666" s="760" t="s">
        <v>1489</v>
      </c>
    </row>
    <row r="667" spans="1:18" ht="26.25" customHeight="1" x14ac:dyDescent="0.2">
      <c r="A667" s="862"/>
      <c r="B667" s="862"/>
      <c r="C667" s="968" t="s">
        <v>1483</v>
      </c>
      <c r="D667" s="840" t="s">
        <v>1471</v>
      </c>
      <c r="E667" s="867"/>
      <c r="F667" s="861">
        <v>163648</v>
      </c>
      <c r="G667" s="870">
        <v>120</v>
      </c>
      <c r="H667" s="863">
        <v>21</v>
      </c>
      <c r="I667" s="863">
        <v>9</v>
      </c>
      <c r="J667" s="823"/>
      <c r="K667" s="823"/>
      <c r="L667" s="823">
        <v>9850</v>
      </c>
      <c r="M667" s="823"/>
      <c r="N667" s="823"/>
      <c r="O667" s="823"/>
      <c r="P667" s="823"/>
      <c r="Q667" s="170">
        <f>SUM(G667:P667)</f>
        <v>10000</v>
      </c>
      <c r="R667" s="852" t="s">
        <v>1490</v>
      </c>
    </row>
    <row r="668" spans="1:18" ht="38.25" customHeight="1" x14ac:dyDescent="0.2">
      <c r="A668" s="862"/>
      <c r="B668" s="862"/>
      <c r="C668" s="862" t="s">
        <v>1501</v>
      </c>
      <c r="D668" s="909" t="s">
        <v>1502</v>
      </c>
      <c r="E668" s="914"/>
      <c r="F668" s="861">
        <v>163649</v>
      </c>
      <c r="G668" s="870"/>
      <c r="H668" s="863"/>
      <c r="I668" s="863"/>
      <c r="J668" s="823"/>
      <c r="K668" s="823"/>
      <c r="L668" s="823">
        <v>31549</v>
      </c>
      <c r="M668" s="823"/>
      <c r="N668" s="823">
        <v>131864</v>
      </c>
      <c r="O668" s="823"/>
      <c r="P668" s="823"/>
      <c r="Q668" s="170">
        <f>SUM(G668:P668)</f>
        <v>163413</v>
      </c>
      <c r="R668" s="852" t="s">
        <v>1489</v>
      </c>
    </row>
    <row r="669" spans="1:18" ht="20.25" customHeight="1" x14ac:dyDescent="0.2">
      <c r="A669" s="197"/>
      <c r="B669" s="197"/>
      <c r="C669" s="969"/>
      <c r="D669" s="314" t="s">
        <v>502</v>
      </c>
      <c r="E669" s="358"/>
      <c r="F669" s="230"/>
      <c r="G669" s="392"/>
      <c r="H669" s="202"/>
      <c r="I669" s="202"/>
      <c r="J669" s="170"/>
      <c r="K669" s="170"/>
      <c r="L669" s="170"/>
      <c r="M669" s="170"/>
      <c r="N669" s="170"/>
      <c r="O669" s="170"/>
      <c r="P669" s="170"/>
      <c r="Q669" s="170"/>
      <c r="R669" s="760"/>
    </row>
    <row r="670" spans="1:18" ht="24.75" hidden="1" customHeight="1" x14ac:dyDescent="0.2">
      <c r="A670" s="197"/>
      <c r="B670" s="197"/>
      <c r="C670" s="967" t="s">
        <v>1213</v>
      </c>
      <c r="D670" s="169" t="s">
        <v>1214</v>
      </c>
      <c r="E670" s="358"/>
      <c r="F670" s="230">
        <v>162640</v>
      </c>
      <c r="G670" s="392"/>
      <c r="H670" s="202"/>
      <c r="I670" s="202"/>
      <c r="J670" s="170"/>
      <c r="K670" s="170"/>
      <c r="L670" s="170"/>
      <c r="M670" s="170"/>
      <c r="N670" s="170"/>
      <c r="O670" s="170"/>
      <c r="P670" s="170"/>
      <c r="Q670" s="170">
        <f t="shared" ref="Q670:Q676" si="39">SUM(G670:P670)</f>
        <v>0</v>
      </c>
      <c r="R670" s="760"/>
    </row>
    <row r="671" spans="1:18" ht="36" customHeight="1" x14ac:dyDescent="0.2">
      <c r="A671" s="197"/>
      <c r="B671" s="197"/>
      <c r="C671" s="635" t="s">
        <v>1215</v>
      </c>
      <c r="D671" s="236" t="s">
        <v>1216</v>
      </c>
      <c r="E671" s="358" t="s">
        <v>697</v>
      </c>
      <c r="F671" s="230">
        <v>162702</v>
      </c>
      <c r="G671" s="392"/>
      <c r="H671" s="202"/>
      <c r="I671" s="202"/>
      <c r="J671" s="170"/>
      <c r="K671" s="170"/>
      <c r="L671" s="170">
        <v>54888</v>
      </c>
      <c r="M671" s="170"/>
      <c r="N671" s="170"/>
      <c r="O671" s="170"/>
      <c r="P671" s="170"/>
      <c r="Q671" s="170">
        <f t="shared" si="39"/>
        <v>54888</v>
      </c>
      <c r="R671" s="760" t="s">
        <v>1489</v>
      </c>
    </row>
    <row r="672" spans="1:18" ht="24.75" hidden="1" customHeight="1" x14ac:dyDescent="0.2">
      <c r="A672" s="197"/>
      <c r="B672" s="197"/>
      <c r="C672" s="635" t="s">
        <v>1217</v>
      </c>
      <c r="D672" s="172" t="s">
        <v>1218</v>
      </c>
      <c r="E672" s="358"/>
      <c r="F672" s="230">
        <v>162633</v>
      </c>
      <c r="G672" s="392"/>
      <c r="H672" s="202"/>
      <c r="I672" s="202"/>
      <c r="J672" s="170"/>
      <c r="K672" s="170"/>
      <c r="L672" s="170"/>
      <c r="M672" s="170"/>
      <c r="N672" s="170"/>
      <c r="O672" s="170"/>
      <c r="P672" s="170"/>
      <c r="Q672" s="170">
        <f t="shared" si="39"/>
        <v>0</v>
      </c>
      <c r="R672" s="760"/>
    </row>
    <row r="673" spans="1:18" ht="16.5" hidden="1" customHeight="1" x14ac:dyDescent="0.2">
      <c r="A673" s="197"/>
      <c r="B673" s="197"/>
      <c r="C673" s="635" t="s">
        <v>1219</v>
      </c>
      <c r="D673" s="172" t="s">
        <v>1220</v>
      </c>
      <c r="E673" s="358"/>
      <c r="F673" s="230">
        <v>162634</v>
      </c>
      <c r="G673" s="392"/>
      <c r="H673" s="202"/>
      <c r="I673" s="202"/>
      <c r="J673" s="170"/>
      <c r="K673" s="170"/>
      <c r="L673" s="170"/>
      <c r="M673" s="170"/>
      <c r="N673" s="170"/>
      <c r="O673" s="170"/>
      <c r="P673" s="170"/>
      <c r="Q673" s="170">
        <f t="shared" si="39"/>
        <v>0</v>
      </c>
      <c r="R673" s="760"/>
    </row>
    <row r="674" spans="1:18" ht="30.75" customHeight="1" x14ac:dyDescent="0.2">
      <c r="A674" s="197"/>
      <c r="B674" s="197"/>
      <c r="C674" s="635" t="s">
        <v>1221</v>
      </c>
      <c r="D674" s="172" t="s">
        <v>1222</v>
      </c>
      <c r="E674" s="358"/>
      <c r="F674" s="230">
        <v>163631</v>
      </c>
      <c r="G674" s="392"/>
      <c r="H674" s="202"/>
      <c r="I674" s="202"/>
      <c r="J674" s="170"/>
      <c r="K674" s="170"/>
      <c r="L674" s="170">
        <v>-700</v>
      </c>
      <c r="M674" s="170"/>
      <c r="N674" s="170"/>
      <c r="O674" s="170"/>
      <c r="P674" s="170"/>
      <c r="Q674" s="170">
        <f t="shared" si="39"/>
        <v>-700</v>
      </c>
      <c r="R674" s="760" t="s">
        <v>1490</v>
      </c>
    </row>
    <row r="675" spans="1:18" ht="39" hidden="1" customHeight="1" x14ac:dyDescent="0.2">
      <c r="A675" s="197"/>
      <c r="B675" s="197"/>
      <c r="C675" s="635" t="s">
        <v>1223</v>
      </c>
      <c r="D675" s="172" t="s">
        <v>1224</v>
      </c>
      <c r="E675" s="358"/>
      <c r="F675" s="230">
        <v>163605</v>
      </c>
      <c r="G675" s="392"/>
      <c r="H675" s="202"/>
      <c r="I675" s="202"/>
      <c r="J675" s="170"/>
      <c r="K675" s="170"/>
      <c r="L675" s="170"/>
      <c r="M675" s="170"/>
      <c r="N675" s="170"/>
      <c r="O675" s="170"/>
      <c r="P675" s="170"/>
      <c r="Q675" s="170">
        <f t="shared" si="39"/>
        <v>0</v>
      </c>
      <c r="R675" s="760"/>
    </row>
    <row r="676" spans="1:18" ht="15.75" hidden="1" customHeight="1" x14ac:dyDescent="0.2">
      <c r="A676" s="805"/>
      <c r="B676" s="805"/>
      <c r="C676" s="812" t="s">
        <v>1454</v>
      </c>
      <c r="D676" s="809" t="s">
        <v>1455</v>
      </c>
      <c r="E676" s="810"/>
      <c r="F676" s="230">
        <v>162695</v>
      </c>
      <c r="G676" s="811"/>
      <c r="H676" s="730"/>
      <c r="I676" s="730"/>
      <c r="J676" s="600"/>
      <c r="K676" s="600"/>
      <c r="L676" s="600"/>
      <c r="M676" s="600"/>
      <c r="N676" s="600"/>
      <c r="O676" s="600"/>
      <c r="P676" s="600"/>
      <c r="Q676" s="170">
        <f t="shared" si="39"/>
        <v>0</v>
      </c>
      <c r="R676" s="807"/>
    </row>
    <row r="677" spans="1:18" ht="14.1" customHeight="1" x14ac:dyDescent="0.2">
      <c r="A677" s="373"/>
      <c r="B677" s="373"/>
      <c r="C677" s="374"/>
      <c r="D677" s="399" t="s">
        <v>1225</v>
      </c>
      <c r="E677" s="400"/>
      <c r="F677" s="316"/>
      <c r="G677" s="317">
        <f t="shared" ref="G677:Q677" si="40">SUM(G492:G676)</f>
        <v>-553</v>
      </c>
      <c r="H677" s="317">
        <f t="shared" si="40"/>
        <v>-213</v>
      </c>
      <c r="I677" s="317">
        <f t="shared" si="40"/>
        <v>66086</v>
      </c>
      <c r="J677" s="317">
        <f t="shared" si="40"/>
        <v>0</v>
      </c>
      <c r="K677" s="317">
        <f t="shared" si="40"/>
        <v>0</v>
      </c>
      <c r="L677" s="317">
        <f t="shared" si="40"/>
        <v>407569</v>
      </c>
      <c r="M677" s="317">
        <f t="shared" si="40"/>
        <v>58963</v>
      </c>
      <c r="N677" s="317">
        <f t="shared" si="40"/>
        <v>131864</v>
      </c>
      <c r="O677" s="317">
        <f t="shared" si="40"/>
        <v>0</v>
      </c>
      <c r="P677" s="317">
        <f t="shared" si="40"/>
        <v>0</v>
      </c>
      <c r="Q677" s="317">
        <f t="shared" si="40"/>
        <v>663716</v>
      </c>
      <c r="R677" s="761"/>
    </row>
    <row r="678" spans="1:18" ht="15" customHeight="1" x14ac:dyDescent="0.2">
      <c r="A678" s="197">
        <v>1</v>
      </c>
      <c r="B678" s="197">
        <v>17</v>
      </c>
      <c r="C678" s="217"/>
      <c r="D678" s="307" t="s">
        <v>1226</v>
      </c>
      <c r="E678" s="230"/>
      <c r="F678" s="170"/>
      <c r="G678" s="170"/>
      <c r="H678" s="202"/>
      <c r="I678" s="202"/>
      <c r="J678" s="202"/>
      <c r="K678" s="202"/>
      <c r="L678" s="202"/>
      <c r="M678" s="170"/>
      <c r="N678" s="170"/>
      <c r="O678" s="170"/>
      <c r="P678" s="170"/>
      <c r="Q678" s="170"/>
      <c r="R678" s="760"/>
    </row>
    <row r="679" spans="1:18" ht="15" hidden="1" customHeight="1" x14ac:dyDescent="0.2">
      <c r="A679" s="197"/>
      <c r="B679" s="197"/>
      <c r="C679" s="217"/>
      <c r="D679" s="177" t="s">
        <v>342</v>
      </c>
      <c r="E679" s="235"/>
      <c r="F679" s="208"/>
      <c r="G679" s="170"/>
      <c r="H679" s="202"/>
      <c r="I679" s="202"/>
      <c r="J679" s="202"/>
      <c r="K679" s="202"/>
      <c r="L679" s="202"/>
      <c r="M679" s="170"/>
      <c r="N679" s="170"/>
      <c r="O679" s="170"/>
      <c r="P679" s="170"/>
      <c r="Q679" s="170"/>
      <c r="R679" s="760"/>
    </row>
    <row r="680" spans="1:18" ht="15" hidden="1" customHeight="1" x14ac:dyDescent="0.2">
      <c r="A680" s="197"/>
      <c r="B680" s="197"/>
      <c r="C680" s="217"/>
      <c r="D680" s="314" t="s">
        <v>1227</v>
      </c>
      <c r="E680" s="170">
        <v>1</v>
      </c>
      <c r="F680" s="170">
        <v>171905</v>
      </c>
      <c r="G680" s="170"/>
      <c r="H680" s="202"/>
      <c r="I680" s="170"/>
      <c r="J680" s="202"/>
      <c r="K680" s="202"/>
      <c r="L680" s="202"/>
      <c r="M680" s="170"/>
      <c r="N680" s="170"/>
      <c r="O680" s="170"/>
      <c r="P680" s="170"/>
      <c r="Q680" s="170">
        <f t="shared" ref="Q680:Q687" si="41">SUM(G680:P680)</f>
        <v>0</v>
      </c>
      <c r="R680" s="760"/>
    </row>
    <row r="681" spans="1:18" ht="15" hidden="1" customHeight="1" x14ac:dyDescent="0.2">
      <c r="A681" s="197"/>
      <c r="B681" s="197"/>
      <c r="C681" s="217"/>
      <c r="D681" s="314" t="s">
        <v>1228</v>
      </c>
      <c r="E681" s="170">
        <v>1</v>
      </c>
      <c r="F681" s="170">
        <v>171903</v>
      </c>
      <c r="G681" s="170"/>
      <c r="H681" s="202"/>
      <c r="I681" s="170"/>
      <c r="J681" s="202"/>
      <c r="K681" s="202"/>
      <c r="L681" s="202"/>
      <c r="M681" s="170"/>
      <c r="N681" s="170"/>
      <c r="O681" s="170"/>
      <c r="P681" s="170"/>
      <c r="Q681" s="170">
        <f t="shared" si="41"/>
        <v>0</v>
      </c>
      <c r="R681" s="760"/>
    </row>
    <row r="682" spans="1:18" ht="15" hidden="1" customHeight="1" x14ac:dyDescent="0.2">
      <c r="A682" s="197"/>
      <c r="B682" s="197"/>
      <c r="C682" s="217"/>
      <c r="D682" s="314" t="s">
        <v>1229</v>
      </c>
      <c r="E682" s="208">
        <v>1</v>
      </c>
      <c r="F682" s="170">
        <v>171920</v>
      </c>
      <c r="G682" s="170"/>
      <c r="H682" s="202"/>
      <c r="I682" s="170"/>
      <c r="J682" s="202"/>
      <c r="K682" s="202"/>
      <c r="L682" s="202"/>
      <c r="M682" s="170"/>
      <c r="N682" s="170"/>
      <c r="O682" s="170"/>
      <c r="P682" s="170"/>
      <c r="Q682" s="170">
        <f t="shared" si="41"/>
        <v>0</v>
      </c>
      <c r="R682" s="760"/>
    </row>
    <row r="683" spans="1:18" ht="15" hidden="1" customHeight="1" x14ac:dyDescent="0.2">
      <c r="A683" s="197"/>
      <c r="B683" s="197"/>
      <c r="C683" s="217"/>
      <c r="D683" s="172" t="s">
        <v>1230</v>
      </c>
      <c r="E683" s="176">
        <v>1</v>
      </c>
      <c r="F683" s="170">
        <v>171956</v>
      </c>
      <c r="G683" s="170"/>
      <c r="H683" s="202"/>
      <c r="I683" s="170"/>
      <c r="J683" s="202"/>
      <c r="K683" s="202"/>
      <c r="L683" s="202"/>
      <c r="M683" s="170"/>
      <c r="N683" s="170"/>
      <c r="O683" s="170"/>
      <c r="P683" s="170"/>
      <c r="Q683" s="170">
        <f t="shared" si="41"/>
        <v>0</v>
      </c>
      <c r="R683" s="760"/>
    </row>
    <row r="684" spans="1:18" ht="15" hidden="1" customHeight="1" x14ac:dyDescent="0.2">
      <c r="A684" s="197"/>
      <c r="B684" s="197"/>
      <c r="C684" s="217"/>
      <c r="D684" s="172" t="s">
        <v>1231</v>
      </c>
      <c r="E684" s="176">
        <v>1</v>
      </c>
      <c r="F684" s="170">
        <v>171958</v>
      </c>
      <c r="G684" s="170"/>
      <c r="H684" s="202"/>
      <c r="I684" s="170"/>
      <c r="J684" s="202"/>
      <c r="K684" s="202"/>
      <c r="L684" s="202"/>
      <c r="M684" s="170"/>
      <c r="N684" s="170"/>
      <c r="O684" s="170"/>
      <c r="P684" s="170"/>
      <c r="Q684" s="170">
        <f t="shared" si="41"/>
        <v>0</v>
      </c>
      <c r="R684" s="760"/>
    </row>
    <row r="685" spans="1:18" ht="15" hidden="1" customHeight="1" x14ac:dyDescent="0.2">
      <c r="A685" s="197"/>
      <c r="B685" s="197"/>
      <c r="C685" s="217"/>
      <c r="D685" s="172" t="s">
        <v>1232</v>
      </c>
      <c r="E685" s="176">
        <v>1</v>
      </c>
      <c r="F685" s="170">
        <v>171904</v>
      </c>
      <c r="G685" s="170"/>
      <c r="H685" s="202"/>
      <c r="I685" s="170"/>
      <c r="J685" s="202"/>
      <c r="K685" s="202"/>
      <c r="L685" s="202"/>
      <c r="M685" s="170"/>
      <c r="N685" s="170"/>
      <c r="O685" s="170"/>
      <c r="P685" s="170"/>
      <c r="Q685" s="170">
        <f t="shared" si="41"/>
        <v>0</v>
      </c>
      <c r="R685" s="760"/>
    </row>
    <row r="686" spans="1:18" ht="15" hidden="1" customHeight="1" x14ac:dyDescent="0.2">
      <c r="A686" s="197"/>
      <c r="B686" s="197"/>
      <c r="C686" s="217"/>
      <c r="D686" s="314" t="s">
        <v>1233</v>
      </c>
      <c r="E686" s="170">
        <v>1</v>
      </c>
      <c r="F686" s="170">
        <v>171902</v>
      </c>
      <c r="G686" s="170"/>
      <c r="H686" s="202"/>
      <c r="I686" s="170"/>
      <c r="J686" s="202"/>
      <c r="K686" s="202"/>
      <c r="L686" s="202"/>
      <c r="M686" s="170"/>
      <c r="N686" s="170"/>
      <c r="O686" s="170"/>
      <c r="P686" s="170"/>
      <c r="Q686" s="170">
        <f t="shared" si="41"/>
        <v>0</v>
      </c>
      <c r="R686" s="760"/>
    </row>
    <row r="687" spans="1:18" ht="15" hidden="1" customHeight="1" x14ac:dyDescent="0.2">
      <c r="A687" s="197"/>
      <c r="B687" s="197"/>
      <c r="C687" s="217"/>
      <c r="D687" s="314" t="s">
        <v>1234</v>
      </c>
      <c r="E687" s="170">
        <v>1</v>
      </c>
      <c r="F687" s="170">
        <v>171925</v>
      </c>
      <c r="G687" s="170"/>
      <c r="H687" s="202"/>
      <c r="I687" s="170"/>
      <c r="J687" s="202"/>
      <c r="K687" s="202"/>
      <c r="L687" s="202"/>
      <c r="M687" s="170"/>
      <c r="N687" s="170"/>
      <c r="O687" s="170"/>
      <c r="P687" s="170"/>
      <c r="Q687" s="170">
        <f t="shared" si="41"/>
        <v>0</v>
      </c>
      <c r="R687" s="760"/>
    </row>
    <row r="688" spans="1:18" ht="15" hidden="1" customHeight="1" x14ac:dyDescent="0.2">
      <c r="A688" s="197"/>
      <c r="B688" s="197"/>
      <c r="C688" s="197"/>
      <c r="D688" s="180" t="s">
        <v>1235</v>
      </c>
      <c r="E688" s="230"/>
      <c r="F688" s="170"/>
      <c r="G688" s="170"/>
      <c r="H688" s="202"/>
      <c r="I688" s="170"/>
      <c r="J688" s="202"/>
      <c r="K688" s="202"/>
      <c r="L688" s="202"/>
      <c r="M688" s="170"/>
      <c r="N688" s="170"/>
      <c r="O688" s="170"/>
      <c r="P688" s="170"/>
      <c r="Q688" s="170"/>
      <c r="R688" s="760"/>
    </row>
    <row r="689" spans="1:18" ht="15" hidden="1" customHeight="1" x14ac:dyDescent="0.2">
      <c r="A689" s="197"/>
      <c r="B689" s="197"/>
      <c r="C689" s="197"/>
      <c r="D689" s="572" t="s">
        <v>1236</v>
      </c>
      <c r="E689" s="230">
        <v>1</v>
      </c>
      <c r="F689" s="170">
        <v>171954</v>
      </c>
      <c r="G689" s="170"/>
      <c r="H689" s="202"/>
      <c r="I689" s="170"/>
      <c r="J689" s="202"/>
      <c r="K689" s="202"/>
      <c r="L689" s="202"/>
      <c r="M689" s="170"/>
      <c r="N689" s="170"/>
      <c r="O689" s="170"/>
      <c r="P689" s="170"/>
      <c r="Q689" s="170">
        <f>SUM(G689:P689)</f>
        <v>0</v>
      </c>
      <c r="R689" s="760"/>
    </row>
    <row r="690" spans="1:18" ht="15" customHeight="1" x14ac:dyDescent="0.2">
      <c r="A690" s="223"/>
      <c r="B690" s="223"/>
      <c r="C690" s="224"/>
      <c r="D690" s="182" t="s">
        <v>1237</v>
      </c>
      <c r="E690" s="226"/>
      <c r="F690" s="227"/>
      <c r="G690" s="227">
        <f t="shared" ref="G690:Q690" si="42">SUM(G679:G689)</f>
        <v>0</v>
      </c>
      <c r="H690" s="227">
        <f t="shared" si="42"/>
        <v>0</v>
      </c>
      <c r="I690" s="227">
        <f t="shared" si="42"/>
        <v>0</v>
      </c>
      <c r="J690" s="227">
        <f t="shared" si="42"/>
        <v>0</v>
      </c>
      <c r="K690" s="227">
        <f t="shared" si="42"/>
        <v>0</v>
      </c>
      <c r="L690" s="227">
        <f t="shared" si="42"/>
        <v>0</v>
      </c>
      <c r="M690" s="227">
        <f t="shared" si="42"/>
        <v>0</v>
      </c>
      <c r="N690" s="227">
        <f t="shared" si="42"/>
        <v>0</v>
      </c>
      <c r="O690" s="227">
        <f t="shared" si="42"/>
        <v>0</v>
      </c>
      <c r="P690" s="227">
        <f t="shared" si="42"/>
        <v>0</v>
      </c>
      <c r="Q690" s="227">
        <f t="shared" si="42"/>
        <v>0</v>
      </c>
      <c r="R690" s="761"/>
    </row>
    <row r="691" spans="1:18" ht="14.1" customHeight="1" x14ac:dyDescent="0.2">
      <c r="A691" s="229"/>
      <c r="B691" s="229"/>
      <c r="C691" s="284"/>
      <c r="D691" s="318" t="s">
        <v>1238</v>
      </c>
      <c r="E691" s="232"/>
      <c r="F691" s="233"/>
      <c r="G691" s="233"/>
      <c r="H691" s="233"/>
      <c r="I691" s="233"/>
      <c r="J691" s="233"/>
      <c r="K691" s="233"/>
      <c r="L691" s="233"/>
      <c r="M691" s="233"/>
      <c r="N691" s="233"/>
      <c r="O691" s="233"/>
      <c r="P691" s="233"/>
      <c r="Q691" s="233"/>
      <c r="R691" s="760"/>
    </row>
    <row r="692" spans="1:18" ht="27.75" customHeight="1" x14ac:dyDescent="0.2">
      <c r="A692" s="229"/>
      <c r="B692" s="229"/>
      <c r="C692" s="217" t="s">
        <v>125</v>
      </c>
      <c r="D692" s="401" t="s">
        <v>1239</v>
      </c>
      <c r="E692" s="402"/>
      <c r="F692" s="403">
        <v>171980</v>
      </c>
      <c r="G692" s="233"/>
      <c r="H692" s="233"/>
      <c r="I692" s="233"/>
      <c r="J692" s="233"/>
      <c r="K692" s="233"/>
      <c r="L692" s="170"/>
      <c r="M692" s="170"/>
      <c r="N692" s="170">
        <v>5000</v>
      </c>
      <c r="O692" s="170"/>
      <c r="P692" s="170"/>
      <c r="Q692" s="170">
        <f>SUM(G692:P692)</f>
        <v>5000</v>
      </c>
      <c r="R692" s="760" t="s">
        <v>1489</v>
      </c>
    </row>
    <row r="693" spans="1:18" ht="18" customHeight="1" x14ac:dyDescent="0.2">
      <c r="A693" s="229"/>
      <c r="B693" s="229"/>
      <c r="C693" s="217" t="s">
        <v>124</v>
      </c>
      <c r="D693" s="171" t="s">
        <v>1376</v>
      </c>
      <c r="E693" s="404"/>
      <c r="F693" s="170">
        <v>172958</v>
      </c>
      <c r="G693" s="221"/>
      <c r="H693" s="221"/>
      <c r="I693" s="460">
        <v>10887</v>
      </c>
      <c r="J693" s="460"/>
      <c r="K693" s="460"/>
      <c r="L693" s="460">
        <v>-10000</v>
      </c>
      <c r="M693" s="221"/>
      <c r="N693" s="221"/>
      <c r="O693" s="221"/>
      <c r="P693" s="221"/>
      <c r="Q693" s="221">
        <f>SUM(G693:P693)</f>
        <v>887</v>
      </c>
      <c r="R693" s="760" t="s">
        <v>1490</v>
      </c>
    </row>
    <row r="694" spans="1:18" ht="30.75" hidden="1" customHeight="1" x14ac:dyDescent="0.2">
      <c r="A694" s="229"/>
      <c r="B694" s="229"/>
      <c r="C694" s="217" t="s">
        <v>126</v>
      </c>
      <c r="D694" s="222" t="s">
        <v>1240</v>
      </c>
      <c r="E694" s="404"/>
      <c r="F694" s="170">
        <v>174904</v>
      </c>
      <c r="G694" s="221"/>
      <c r="H694" s="221"/>
      <c r="I694" s="221"/>
      <c r="J694" s="221"/>
      <c r="K694" s="221"/>
      <c r="L694" s="221"/>
      <c r="M694" s="221"/>
      <c r="N694" s="221"/>
      <c r="O694" s="221"/>
      <c r="P694" s="221"/>
      <c r="Q694" s="221">
        <f>SUM(G694:P694)</f>
        <v>0</v>
      </c>
      <c r="R694" s="760"/>
    </row>
    <row r="695" spans="1:18" ht="18.75" customHeight="1" x14ac:dyDescent="0.2">
      <c r="A695" s="229"/>
      <c r="B695" s="229"/>
      <c r="C695" s="217" t="s">
        <v>127</v>
      </c>
      <c r="D695" s="222" t="s">
        <v>1456</v>
      </c>
      <c r="E695" s="404"/>
      <c r="F695" s="170">
        <v>172901</v>
      </c>
      <c r="G695" s="221"/>
      <c r="H695" s="221"/>
      <c r="I695" s="221"/>
      <c r="J695" s="221"/>
      <c r="K695" s="221"/>
      <c r="L695" s="221">
        <v>5408</v>
      </c>
      <c r="M695" s="221"/>
      <c r="N695" s="221"/>
      <c r="O695" s="221"/>
      <c r="P695" s="221"/>
      <c r="Q695" s="221">
        <f>SUM(G695:P695)</f>
        <v>5408</v>
      </c>
      <c r="R695" s="342" t="s">
        <v>1489</v>
      </c>
    </row>
    <row r="696" spans="1:18" ht="15.95" hidden="1" customHeight="1" x14ac:dyDescent="0.2">
      <c r="A696" s="229"/>
      <c r="B696" s="229"/>
      <c r="C696" s="217"/>
      <c r="D696" s="314" t="s">
        <v>502</v>
      </c>
      <c r="E696" s="402"/>
      <c r="F696" s="403">
        <v>172952</v>
      </c>
      <c r="G696" s="233"/>
      <c r="H696" s="233"/>
      <c r="I696" s="233"/>
      <c r="J696" s="233"/>
      <c r="K696" s="233"/>
      <c r="L696" s="170"/>
      <c r="M696" s="170"/>
      <c r="N696" s="170"/>
      <c r="O696" s="170"/>
      <c r="P696" s="170"/>
      <c r="Q696" s="170"/>
      <c r="R696" s="760"/>
    </row>
    <row r="697" spans="1:18" ht="24.75" hidden="1" customHeight="1" x14ac:dyDescent="0.2">
      <c r="A697" s="229"/>
      <c r="B697" s="229"/>
      <c r="C697" s="217" t="s">
        <v>503</v>
      </c>
      <c r="D697" s="573" t="s">
        <v>1241</v>
      </c>
      <c r="E697" s="405"/>
      <c r="F697" s="403">
        <v>171970</v>
      </c>
      <c r="G697" s="170"/>
      <c r="H697" s="170"/>
      <c r="I697" s="170"/>
      <c r="J697" s="170"/>
      <c r="K697" s="170"/>
      <c r="L697" s="170"/>
      <c r="M697" s="170"/>
      <c r="N697" s="170"/>
      <c r="O697" s="170"/>
      <c r="P697" s="170"/>
      <c r="Q697" s="170">
        <f>SUM(G697:P697)</f>
        <v>0</v>
      </c>
      <c r="R697" s="760"/>
    </row>
    <row r="698" spans="1:18" ht="15.95" hidden="1" customHeight="1" x14ac:dyDescent="0.2">
      <c r="A698" s="229"/>
      <c r="B698" s="229"/>
      <c r="C698" s="217" t="s">
        <v>820</v>
      </c>
      <c r="D698" s="574" t="s">
        <v>1242</v>
      </c>
      <c r="E698" s="406"/>
      <c r="F698" s="170">
        <v>172910</v>
      </c>
      <c r="G698" s="170"/>
      <c r="H698" s="170"/>
      <c r="I698" s="170"/>
      <c r="J698" s="170"/>
      <c r="K698" s="170"/>
      <c r="L698" s="170"/>
      <c r="M698" s="170"/>
      <c r="N698" s="170"/>
      <c r="O698" s="170"/>
      <c r="P698" s="170"/>
      <c r="Q698" s="170">
        <f>SUM(G698:P698)</f>
        <v>0</v>
      </c>
      <c r="R698" s="760"/>
    </row>
    <row r="699" spans="1:18" ht="15.95" hidden="1" customHeight="1" x14ac:dyDescent="0.2">
      <c r="A699" s="229"/>
      <c r="B699" s="229"/>
      <c r="C699" s="217" t="s">
        <v>822</v>
      </c>
      <c r="D699" s="407" t="s">
        <v>1243</v>
      </c>
      <c r="E699" s="408"/>
      <c r="F699" s="170">
        <v>162603</v>
      </c>
      <c r="G699" s="170"/>
      <c r="H699" s="170"/>
      <c r="I699" s="170"/>
      <c r="J699" s="170"/>
      <c r="K699" s="170"/>
      <c r="L699" s="170"/>
      <c r="M699" s="170"/>
      <c r="N699" s="170"/>
      <c r="O699" s="170"/>
      <c r="P699" s="170"/>
      <c r="Q699" s="170">
        <f>SUM(G699:P699)</f>
        <v>0</v>
      </c>
      <c r="R699" s="760"/>
    </row>
    <row r="700" spans="1:18" ht="15.95" customHeight="1" x14ac:dyDescent="0.2">
      <c r="A700" s="229"/>
      <c r="B700" s="229"/>
      <c r="C700" s="217" t="s">
        <v>824</v>
      </c>
      <c r="D700" s="726" t="s">
        <v>1244</v>
      </c>
      <c r="E700" s="410"/>
      <c r="F700" s="170">
        <v>172920</v>
      </c>
      <c r="G700" s="170"/>
      <c r="H700" s="170"/>
      <c r="I700" s="170">
        <v>3767</v>
      </c>
      <c r="J700" s="170"/>
      <c r="K700" s="170"/>
      <c r="L700" s="170"/>
      <c r="M700" s="170"/>
      <c r="N700" s="170"/>
      <c r="O700" s="170"/>
      <c r="P700" s="170"/>
      <c r="Q700" s="170">
        <f>SUM(G700:P700)</f>
        <v>3767</v>
      </c>
      <c r="R700" s="760" t="s">
        <v>1489</v>
      </c>
    </row>
    <row r="701" spans="1:18" ht="15.95" hidden="1" customHeight="1" x14ac:dyDescent="0.2">
      <c r="A701" s="229"/>
      <c r="B701" s="229"/>
      <c r="C701" s="217" t="s">
        <v>1245</v>
      </c>
      <c r="D701" s="171" t="s">
        <v>1246</v>
      </c>
      <c r="E701" s="404"/>
      <c r="F701" s="230">
        <v>172923</v>
      </c>
      <c r="G701" s="170"/>
      <c r="H701" s="170"/>
      <c r="I701" s="170"/>
      <c r="J701" s="170"/>
      <c r="K701" s="170"/>
      <c r="L701" s="170"/>
      <c r="M701" s="170"/>
      <c r="N701" s="170"/>
      <c r="O701" s="170"/>
      <c r="P701" s="170"/>
      <c r="Q701" s="170">
        <f>SUM(G701:P701)</f>
        <v>0</v>
      </c>
      <c r="R701" s="760"/>
    </row>
    <row r="702" spans="1:18" ht="15.95" customHeight="1" x14ac:dyDescent="0.2">
      <c r="A702" s="223"/>
      <c r="B702" s="223"/>
      <c r="C702" s="224"/>
      <c r="D702" s="182" t="s">
        <v>431</v>
      </c>
      <c r="E702" s="226"/>
      <c r="F702" s="227"/>
      <c r="G702" s="227">
        <f t="shared" ref="G702:Q702" si="43">SUM(G690:G701)</f>
        <v>0</v>
      </c>
      <c r="H702" s="227">
        <f t="shared" si="43"/>
        <v>0</v>
      </c>
      <c r="I702" s="227">
        <f t="shared" si="43"/>
        <v>14654</v>
      </c>
      <c r="J702" s="227">
        <f t="shared" si="43"/>
        <v>0</v>
      </c>
      <c r="K702" s="227">
        <f t="shared" si="43"/>
        <v>0</v>
      </c>
      <c r="L702" s="227">
        <f t="shared" si="43"/>
        <v>-4592</v>
      </c>
      <c r="M702" s="227">
        <f t="shared" si="43"/>
        <v>0</v>
      </c>
      <c r="N702" s="227">
        <f t="shared" si="43"/>
        <v>5000</v>
      </c>
      <c r="O702" s="227">
        <f t="shared" si="43"/>
        <v>0</v>
      </c>
      <c r="P702" s="227">
        <f t="shared" si="43"/>
        <v>0</v>
      </c>
      <c r="Q702" s="227">
        <f t="shared" si="43"/>
        <v>15062</v>
      </c>
      <c r="R702" s="761"/>
    </row>
    <row r="703" spans="1:18" ht="14.1" customHeight="1" x14ac:dyDescent="0.2">
      <c r="A703" s="197">
        <v>1</v>
      </c>
      <c r="B703" s="197">
        <v>18</v>
      </c>
      <c r="C703" s="217"/>
      <c r="D703" s="307" t="s">
        <v>1247</v>
      </c>
      <c r="E703" s="232"/>
      <c r="F703" s="232"/>
      <c r="G703" s="170"/>
      <c r="H703" s="202"/>
      <c r="I703" s="202"/>
      <c r="J703" s="202"/>
      <c r="K703" s="202"/>
      <c r="L703" s="202"/>
      <c r="M703" s="170"/>
      <c r="N703" s="170"/>
      <c r="O703" s="170"/>
      <c r="P703" s="170"/>
      <c r="Q703" s="170"/>
      <c r="R703" s="760"/>
    </row>
    <row r="704" spans="1:18" ht="14.1" customHeight="1" x14ac:dyDescent="0.2">
      <c r="A704" s="197"/>
      <c r="B704" s="197"/>
      <c r="C704" s="217"/>
      <c r="D704" s="314" t="s">
        <v>342</v>
      </c>
      <c r="E704" s="235"/>
      <c r="F704" s="235"/>
      <c r="G704" s="170"/>
      <c r="H704" s="202"/>
      <c r="I704" s="202"/>
      <c r="J704" s="202"/>
      <c r="K704" s="202"/>
      <c r="L704" s="202"/>
      <c r="M704" s="170"/>
      <c r="N704" s="170"/>
      <c r="O704" s="170"/>
      <c r="P704" s="170"/>
      <c r="Q704" s="170"/>
      <c r="R704" s="760"/>
    </row>
    <row r="705" spans="1:18" ht="14.1" hidden="1" customHeight="1" x14ac:dyDescent="0.2">
      <c r="A705" s="197"/>
      <c r="B705" s="197"/>
      <c r="C705" s="217"/>
      <c r="D705" s="314" t="s">
        <v>1248</v>
      </c>
      <c r="E705" s="170">
        <v>2</v>
      </c>
      <c r="F705" s="170">
        <v>181905</v>
      </c>
      <c r="G705" s="170"/>
      <c r="H705" s="202"/>
      <c r="I705" s="170"/>
      <c r="J705" s="202"/>
      <c r="K705" s="202"/>
      <c r="L705" s="202"/>
      <c r="M705" s="170"/>
      <c r="N705" s="170"/>
      <c r="O705" s="170"/>
      <c r="P705" s="170"/>
      <c r="Q705" s="170">
        <f>SUM(G705:P705)</f>
        <v>0</v>
      </c>
      <c r="R705" s="760"/>
    </row>
    <row r="706" spans="1:18" ht="27.75" customHeight="1" x14ac:dyDescent="0.2">
      <c r="A706" s="197"/>
      <c r="B706" s="197"/>
      <c r="C706" s="217"/>
      <c r="D706" s="172" t="s">
        <v>1249</v>
      </c>
      <c r="E706" s="170">
        <v>1</v>
      </c>
      <c r="F706" s="170" t="s">
        <v>434</v>
      </c>
      <c r="G706" s="170"/>
      <c r="H706" s="202"/>
      <c r="I706" s="170">
        <v>-198</v>
      </c>
      <c r="J706" s="202"/>
      <c r="K706" s="202"/>
      <c r="L706" s="202">
        <v>198</v>
      </c>
      <c r="M706" s="170"/>
      <c r="N706" s="170"/>
      <c r="O706" s="170"/>
      <c r="P706" s="170"/>
      <c r="Q706" s="170">
        <f>SUM(G706:P706)</f>
        <v>0</v>
      </c>
      <c r="R706" s="760" t="s">
        <v>1489</v>
      </c>
    </row>
    <row r="707" spans="1:18" ht="14.1" hidden="1" customHeight="1" x14ac:dyDescent="0.2">
      <c r="A707" s="197"/>
      <c r="B707" s="197"/>
      <c r="C707" s="217"/>
      <c r="D707" s="314" t="s">
        <v>1250</v>
      </c>
      <c r="E707" s="170">
        <v>1</v>
      </c>
      <c r="F707" s="170">
        <v>181906</v>
      </c>
      <c r="G707" s="170"/>
      <c r="H707" s="202"/>
      <c r="I707" s="170"/>
      <c r="J707" s="202"/>
      <c r="K707" s="202"/>
      <c r="L707" s="202"/>
      <c r="M707" s="170"/>
      <c r="N707" s="170"/>
      <c r="O707" s="170"/>
      <c r="P707" s="170"/>
      <c r="Q707" s="170">
        <f>SUM(G707:P707)</f>
        <v>0</v>
      </c>
      <c r="R707" s="760"/>
    </row>
    <row r="708" spans="1:18" ht="14.1" hidden="1" customHeight="1" x14ac:dyDescent="0.2">
      <c r="A708" s="197"/>
      <c r="B708" s="197"/>
      <c r="C708" s="217"/>
      <c r="D708" s="333" t="s">
        <v>1251</v>
      </c>
      <c r="E708" s="170">
        <v>1</v>
      </c>
      <c r="F708" s="170">
        <v>182909</v>
      </c>
      <c r="G708" s="170"/>
      <c r="H708" s="202"/>
      <c r="I708" s="170"/>
      <c r="J708" s="202"/>
      <c r="K708" s="202"/>
      <c r="L708" s="202"/>
      <c r="M708" s="170"/>
      <c r="N708" s="170"/>
      <c r="O708" s="170"/>
      <c r="P708" s="170"/>
      <c r="Q708" s="170">
        <f>SUM(G708:P708)</f>
        <v>0</v>
      </c>
      <c r="R708" s="760"/>
    </row>
    <row r="709" spans="1:18" ht="15" customHeight="1" x14ac:dyDescent="0.2">
      <c r="A709" s="197"/>
      <c r="B709" s="197"/>
      <c r="C709" s="217"/>
      <c r="D709" s="177" t="s">
        <v>333</v>
      </c>
      <c r="E709" s="241"/>
      <c r="F709" s="241"/>
      <c r="G709" s="170"/>
      <c r="H709" s="202"/>
      <c r="I709" s="170"/>
      <c r="J709" s="202"/>
      <c r="K709" s="202"/>
      <c r="L709" s="202"/>
      <c r="M709" s="170"/>
      <c r="N709" s="170"/>
      <c r="O709" s="170"/>
      <c r="P709" s="170"/>
      <c r="Q709" s="170"/>
      <c r="R709" s="760"/>
    </row>
    <row r="710" spans="1:18" ht="15" hidden="1" customHeight="1" x14ac:dyDescent="0.2">
      <c r="A710" s="197"/>
      <c r="B710" s="197"/>
      <c r="C710" s="217"/>
      <c r="D710" s="314" t="s">
        <v>1252</v>
      </c>
      <c r="E710" s="221">
        <v>1</v>
      </c>
      <c r="F710" s="170">
        <v>221950</v>
      </c>
      <c r="G710" s="221"/>
      <c r="H710" s="202"/>
      <c r="I710" s="202"/>
      <c r="J710" s="202"/>
      <c r="K710" s="202"/>
      <c r="L710" s="202"/>
      <c r="M710" s="221"/>
      <c r="N710" s="221"/>
      <c r="O710" s="411"/>
      <c r="P710" s="411"/>
      <c r="Q710" s="411">
        <f>SUM(G710:P710)</f>
        <v>0</v>
      </c>
      <c r="R710" s="760"/>
    </row>
    <row r="711" spans="1:18" ht="24.95" customHeight="1" x14ac:dyDescent="0.2">
      <c r="A711" s="197"/>
      <c r="B711" s="197"/>
      <c r="C711" s="217"/>
      <c r="D711" s="172" t="s">
        <v>1253</v>
      </c>
      <c r="E711" s="208">
        <v>1</v>
      </c>
      <c r="F711" s="170">
        <v>181907</v>
      </c>
      <c r="G711" s="170"/>
      <c r="H711" s="202"/>
      <c r="I711" s="170">
        <v>219</v>
      </c>
      <c r="J711" s="202"/>
      <c r="K711" s="202"/>
      <c r="L711" s="202"/>
      <c r="M711" s="170"/>
      <c r="N711" s="170"/>
      <c r="O711" s="170"/>
      <c r="P711" s="170"/>
      <c r="Q711" s="170">
        <f>SUM(G711:P711)</f>
        <v>219</v>
      </c>
      <c r="R711" s="760" t="s">
        <v>1489</v>
      </c>
    </row>
    <row r="712" spans="1:18" ht="15.75" hidden="1" customHeight="1" x14ac:dyDescent="0.2">
      <c r="A712" s="197"/>
      <c r="B712" s="197"/>
      <c r="C712" s="217"/>
      <c r="D712" s="314" t="s">
        <v>1254</v>
      </c>
      <c r="E712" s="208"/>
      <c r="F712" s="208"/>
      <c r="G712" s="170"/>
      <c r="H712" s="202"/>
      <c r="I712" s="202"/>
      <c r="J712" s="202"/>
      <c r="K712" s="202"/>
      <c r="L712" s="202"/>
      <c r="M712" s="170"/>
      <c r="N712" s="170"/>
      <c r="O712" s="170"/>
      <c r="P712" s="170"/>
      <c r="Q712" s="170"/>
      <c r="R712" s="760"/>
    </row>
    <row r="713" spans="1:18" ht="12.75" hidden="1" customHeight="1" x14ac:dyDescent="0.2">
      <c r="A713" s="197"/>
      <c r="B713" s="197"/>
      <c r="C713" s="217"/>
      <c r="D713" s="172" t="s">
        <v>1255</v>
      </c>
      <c r="E713" s="208">
        <v>1</v>
      </c>
      <c r="F713" s="170">
        <v>181909</v>
      </c>
      <c r="G713" s="170"/>
      <c r="H713" s="202"/>
      <c r="I713" s="202"/>
      <c r="J713" s="202"/>
      <c r="K713" s="202"/>
      <c r="L713" s="202"/>
      <c r="M713" s="170"/>
      <c r="N713" s="170"/>
      <c r="O713" s="170"/>
      <c r="P713" s="170"/>
      <c r="Q713" s="170">
        <f>SUM(G713:P713)</f>
        <v>0</v>
      </c>
      <c r="R713" s="760"/>
    </row>
    <row r="714" spans="1:18" ht="26.25" hidden="1" customHeight="1" x14ac:dyDescent="0.2">
      <c r="A714" s="197"/>
      <c r="B714" s="197"/>
      <c r="C714" s="217"/>
      <c r="D714" s="172" t="s">
        <v>1256</v>
      </c>
      <c r="E714" s="241">
        <v>2</v>
      </c>
      <c r="F714" s="250">
        <v>191142</v>
      </c>
      <c r="G714" s="170"/>
      <c r="H714" s="202"/>
      <c r="I714" s="202"/>
      <c r="J714" s="202"/>
      <c r="K714" s="170"/>
      <c r="L714" s="202"/>
      <c r="M714" s="170"/>
      <c r="N714" s="170"/>
      <c r="O714" s="170"/>
      <c r="P714" s="170"/>
      <c r="Q714" s="170">
        <f>SUM(G714:P714)</f>
        <v>0</v>
      </c>
      <c r="R714" s="760"/>
    </row>
    <row r="715" spans="1:18" ht="29.25" hidden="1" customHeight="1" x14ac:dyDescent="0.2">
      <c r="A715" s="197"/>
      <c r="B715" s="197"/>
      <c r="C715" s="217"/>
      <c r="D715" s="172" t="s">
        <v>1257</v>
      </c>
      <c r="E715" s="241">
        <v>2</v>
      </c>
      <c r="F715" s="250">
        <v>191154</v>
      </c>
      <c r="G715" s="170"/>
      <c r="H715" s="202"/>
      <c r="I715" s="202"/>
      <c r="J715" s="202"/>
      <c r="K715" s="170"/>
      <c r="L715" s="202"/>
      <c r="M715" s="170"/>
      <c r="N715" s="170"/>
      <c r="O715" s="170"/>
      <c r="P715" s="170"/>
      <c r="Q715" s="170">
        <f>SUM(G715:P715)</f>
        <v>0</v>
      </c>
      <c r="R715" s="760"/>
    </row>
    <row r="716" spans="1:18" ht="25.5" hidden="1" customHeight="1" x14ac:dyDescent="0.2">
      <c r="A716" s="197"/>
      <c r="B716" s="197"/>
      <c r="C716" s="217"/>
      <c r="D716" s="172" t="s">
        <v>1258</v>
      </c>
      <c r="E716" s="241">
        <v>2</v>
      </c>
      <c r="F716" s="250">
        <v>191145</v>
      </c>
      <c r="G716" s="170"/>
      <c r="H716" s="202"/>
      <c r="I716" s="202"/>
      <c r="J716" s="202"/>
      <c r="K716" s="170"/>
      <c r="L716" s="202"/>
      <c r="M716" s="170"/>
      <c r="N716" s="170"/>
      <c r="O716" s="170"/>
      <c r="P716" s="170"/>
      <c r="Q716" s="170">
        <f>SUM(G716:P716)</f>
        <v>0</v>
      </c>
      <c r="R716" s="760"/>
    </row>
    <row r="717" spans="1:18" ht="15" hidden="1" customHeight="1" x14ac:dyDescent="0.2">
      <c r="A717" s="197"/>
      <c r="B717" s="197"/>
      <c r="C717" s="217"/>
      <c r="D717" s="172" t="s">
        <v>1259</v>
      </c>
      <c r="E717" s="208"/>
      <c r="F717" s="208"/>
      <c r="G717" s="170"/>
      <c r="H717" s="202"/>
      <c r="I717" s="202"/>
      <c r="J717" s="202"/>
      <c r="K717" s="202"/>
      <c r="L717" s="202"/>
      <c r="M717" s="170"/>
      <c r="N717" s="170"/>
      <c r="O717" s="170"/>
      <c r="P717" s="170"/>
      <c r="Q717" s="170"/>
      <c r="R717" s="760"/>
    </row>
    <row r="718" spans="1:18" ht="15" hidden="1" customHeight="1" x14ac:dyDescent="0.2">
      <c r="A718" s="197"/>
      <c r="B718" s="197"/>
      <c r="C718" s="217"/>
      <c r="D718" s="172" t="s">
        <v>1260</v>
      </c>
      <c r="E718" s="208">
        <v>1</v>
      </c>
      <c r="F718" s="170">
        <v>181902</v>
      </c>
      <c r="G718" s="170"/>
      <c r="H718" s="202"/>
      <c r="I718" s="202"/>
      <c r="J718" s="202"/>
      <c r="K718" s="202"/>
      <c r="L718" s="202"/>
      <c r="M718" s="170"/>
      <c r="N718" s="170"/>
      <c r="O718" s="170"/>
      <c r="P718" s="170"/>
      <c r="Q718" s="170">
        <f>SUM(G718:P718)</f>
        <v>0</v>
      </c>
      <c r="R718" s="760"/>
    </row>
    <row r="719" spans="1:18" ht="15" hidden="1" customHeight="1" x14ac:dyDescent="0.2">
      <c r="A719" s="197"/>
      <c r="B719" s="197"/>
      <c r="C719" s="217"/>
      <c r="D719" s="172" t="s">
        <v>1261</v>
      </c>
      <c r="E719" s="208">
        <v>1</v>
      </c>
      <c r="F719" s="170">
        <v>181903</v>
      </c>
      <c r="G719" s="170"/>
      <c r="H719" s="202"/>
      <c r="I719" s="202"/>
      <c r="J719" s="202"/>
      <c r="K719" s="202"/>
      <c r="L719" s="202"/>
      <c r="M719" s="170"/>
      <c r="N719" s="170"/>
      <c r="O719" s="170"/>
      <c r="P719" s="170"/>
      <c r="Q719" s="170">
        <f>SUM(G719:P719)</f>
        <v>0</v>
      </c>
      <c r="R719" s="760"/>
    </row>
    <row r="720" spans="1:18" ht="14.1" hidden="1" customHeight="1" x14ac:dyDescent="0.2">
      <c r="A720" s="412"/>
      <c r="B720" s="412"/>
      <c r="C720" s="412"/>
      <c r="D720" s="314" t="s">
        <v>1262</v>
      </c>
      <c r="E720" s="170">
        <v>1</v>
      </c>
      <c r="F720" s="170">
        <v>181904</v>
      </c>
      <c r="G720" s="413"/>
      <c r="H720" s="202"/>
      <c r="I720" s="202"/>
      <c r="J720" s="202"/>
      <c r="K720" s="202"/>
      <c r="L720" s="202"/>
      <c r="M720" s="413"/>
      <c r="N720" s="413"/>
      <c r="O720" s="413"/>
      <c r="P720" s="413"/>
      <c r="Q720" s="170">
        <f>SUM(G720:P720)</f>
        <v>0</v>
      </c>
      <c r="R720" s="760"/>
    </row>
    <row r="721" spans="1:18" ht="15" customHeight="1" x14ac:dyDescent="0.2">
      <c r="A721" s="227"/>
      <c r="B721" s="227"/>
      <c r="C721" s="225"/>
      <c r="D721" s="182" t="s">
        <v>1263</v>
      </c>
      <c r="E721" s="226"/>
      <c r="F721" s="226"/>
      <c r="G721" s="317">
        <f t="shared" ref="G721:Q721" si="44">SUM(G705:G720)</f>
        <v>0</v>
      </c>
      <c r="H721" s="317">
        <f t="shared" si="44"/>
        <v>0</v>
      </c>
      <c r="I721" s="317">
        <f t="shared" si="44"/>
        <v>21</v>
      </c>
      <c r="J721" s="317">
        <f t="shared" si="44"/>
        <v>0</v>
      </c>
      <c r="K721" s="317">
        <f t="shared" si="44"/>
        <v>0</v>
      </c>
      <c r="L721" s="317">
        <f t="shared" si="44"/>
        <v>198</v>
      </c>
      <c r="M721" s="317">
        <f t="shared" si="44"/>
        <v>0</v>
      </c>
      <c r="N721" s="317">
        <f t="shared" si="44"/>
        <v>0</v>
      </c>
      <c r="O721" s="317">
        <f t="shared" si="44"/>
        <v>0</v>
      </c>
      <c r="P721" s="317">
        <f t="shared" si="44"/>
        <v>0</v>
      </c>
      <c r="Q721" s="317">
        <f t="shared" si="44"/>
        <v>219</v>
      </c>
      <c r="R721" s="761"/>
    </row>
    <row r="722" spans="1:18" ht="15" customHeight="1" x14ac:dyDescent="0.2">
      <c r="A722" s="233"/>
      <c r="B722" s="233"/>
      <c r="C722" s="289"/>
      <c r="D722" s="318" t="s">
        <v>1264</v>
      </c>
      <c r="E722" s="232"/>
      <c r="F722" s="232"/>
      <c r="G722" s="202"/>
      <c r="H722" s="202"/>
      <c r="I722" s="202"/>
      <c r="J722" s="202"/>
      <c r="K722" s="202"/>
      <c r="L722" s="202"/>
      <c r="M722" s="202"/>
      <c r="N722" s="202"/>
      <c r="O722" s="202"/>
      <c r="P722" s="202"/>
      <c r="Q722" s="202"/>
      <c r="R722" s="760"/>
    </row>
    <row r="723" spans="1:18" ht="15" customHeight="1" x14ac:dyDescent="0.2">
      <c r="A723" s="233"/>
      <c r="B723" s="233"/>
      <c r="C723" s="363" t="s">
        <v>125</v>
      </c>
      <c r="D723" s="609" t="s">
        <v>1265</v>
      </c>
      <c r="E723" s="414"/>
      <c r="F723" s="417">
        <v>182911</v>
      </c>
      <c r="G723" s="415"/>
      <c r="H723" s="415"/>
      <c r="I723" s="415"/>
      <c r="J723" s="415"/>
      <c r="K723" s="415"/>
      <c r="L723" s="415">
        <v>-300</v>
      </c>
      <c r="M723" s="415"/>
      <c r="N723" s="415"/>
      <c r="O723" s="202"/>
      <c r="P723" s="202"/>
      <c r="Q723" s="202">
        <f>SUM(L723:P723)</f>
        <v>-300</v>
      </c>
      <c r="R723" s="760" t="s">
        <v>1490</v>
      </c>
    </row>
    <row r="724" spans="1:18" ht="15" hidden="1" customHeight="1" x14ac:dyDescent="0.2">
      <c r="A724" s="233"/>
      <c r="B724" s="233"/>
      <c r="C724" s="416"/>
      <c r="D724" s="314" t="s">
        <v>502</v>
      </c>
      <c r="E724" s="414"/>
      <c r="F724" s="417"/>
      <c r="G724" s="415"/>
      <c r="H724" s="415"/>
      <c r="I724" s="415"/>
      <c r="J724" s="415"/>
      <c r="K724" s="415"/>
      <c r="L724" s="415"/>
      <c r="M724" s="415"/>
      <c r="N724" s="415"/>
      <c r="O724" s="202"/>
      <c r="P724" s="202"/>
      <c r="Q724" s="202"/>
      <c r="R724" s="760"/>
    </row>
    <row r="725" spans="1:18" ht="15" hidden="1" customHeight="1" x14ac:dyDescent="0.2">
      <c r="A725" s="233"/>
      <c r="B725" s="233"/>
      <c r="C725" s="217" t="s">
        <v>503</v>
      </c>
      <c r="D725" s="322" t="s">
        <v>1266</v>
      </c>
      <c r="E725" s="406"/>
      <c r="F725" s="418">
        <v>182905</v>
      </c>
      <c r="G725" s="202"/>
      <c r="H725" s="202"/>
      <c r="I725" s="202"/>
      <c r="J725" s="202"/>
      <c r="K725" s="202"/>
      <c r="L725" s="202"/>
      <c r="M725" s="202"/>
      <c r="N725" s="202"/>
      <c r="O725" s="202"/>
      <c r="P725" s="202"/>
      <c r="Q725" s="202">
        <f>SUM(G725:P725)</f>
        <v>0</v>
      </c>
      <c r="R725" s="760"/>
    </row>
    <row r="726" spans="1:18" ht="15" customHeight="1" x14ac:dyDescent="0.2">
      <c r="A726" s="227"/>
      <c r="B726" s="227"/>
      <c r="C726" s="225"/>
      <c r="D726" s="182" t="s">
        <v>1267</v>
      </c>
      <c r="E726" s="226"/>
      <c r="F726" s="226"/>
      <c r="G726" s="317">
        <f t="shared" ref="G726:Q726" si="45">SUM(G721:G725)</f>
        <v>0</v>
      </c>
      <c r="H726" s="317">
        <f t="shared" si="45"/>
        <v>0</v>
      </c>
      <c r="I726" s="317">
        <f t="shared" si="45"/>
        <v>21</v>
      </c>
      <c r="J726" s="317">
        <f t="shared" si="45"/>
        <v>0</v>
      </c>
      <c r="K726" s="317">
        <f t="shared" si="45"/>
        <v>0</v>
      </c>
      <c r="L726" s="317">
        <f t="shared" si="45"/>
        <v>-102</v>
      </c>
      <c r="M726" s="317">
        <f t="shared" si="45"/>
        <v>0</v>
      </c>
      <c r="N726" s="317">
        <f t="shared" si="45"/>
        <v>0</v>
      </c>
      <c r="O726" s="317">
        <f t="shared" si="45"/>
        <v>0</v>
      </c>
      <c r="P726" s="317">
        <f t="shared" si="45"/>
        <v>0</v>
      </c>
      <c r="Q726" s="317">
        <f t="shared" si="45"/>
        <v>-81</v>
      </c>
      <c r="R726" s="761"/>
    </row>
    <row r="727" spans="1:18" ht="15" customHeight="1" x14ac:dyDescent="0.2">
      <c r="A727" s="197">
        <v>1</v>
      </c>
      <c r="B727" s="197">
        <v>19</v>
      </c>
      <c r="C727" s="217"/>
      <c r="D727" s="307" t="s">
        <v>1268</v>
      </c>
      <c r="E727" s="230"/>
      <c r="F727" s="230"/>
      <c r="G727" s="170"/>
      <c r="H727" s="202"/>
      <c r="I727" s="202"/>
      <c r="J727" s="202"/>
      <c r="K727" s="202"/>
      <c r="L727" s="202"/>
      <c r="M727" s="170"/>
      <c r="N727" s="170"/>
      <c r="O727" s="170"/>
      <c r="P727" s="170"/>
      <c r="Q727" s="170"/>
      <c r="R727" s="760"/>
    </row>
    <row r="728" spans="1:18" ht="15" hidden="1" customHeight="1" x14ac:dyDescent="0.2">
      <c r="A728" s="197"/>
      <c r="B728" s="197"/>
      <c r="C728" s="217"/>
      <c r="D728" s="325" t="s">
        <v>1269</v>
      </c>
      <c r="E728" s="235"/>
      <c r="F728" s="235"/>
      <c r="G728" s="170"/>
      <c r="H728" s="202"/>
      <c r="I728" s="202"/>
      <c r="J728" s="202"/>
      <c r="K728" s="202"/>
      <c r="L728" s="202"/>
      <c r="M728" s="170"/>
      <c r="N728" s="170"/>
      <c r="O728" s="170"/>
      <c r="P728" s="170"/>
      <c r="Q728" s="170"/>
      <c r="R728" s="760"/>
    </row>
    <row r="729" spans="1:18" ht="15" hidden="1" customHeight="1" x14ac:dyDescent="0.2">
      <c r="A729" s="197"/>
      <c r="B729" s="197"/>
      <c r="C729" s="217"/>
      <c r="D729" s="314" t="s">
        <v>1270</v>
      </c>
      <c r="E729" s="208">
        <v>1</v>
      </c>
      <c r="F729" s="170">
        <v>191101</v>
      </c>
      <c r="G729" s="170"/>
      <c r="H729" s="202"/>
      <c r="I729" s="170"/>
      <c r="J729" s="202"/>
      <c r="K729" s="202"/>
      <c r="L729" s="202"/>
      <c r="M729" s="170"/>
      <c r="N729" s="170"/>
      <c r="O729" s="170"/>
      <c r="P729" s="170"/>
      <c r="Q729" s="170">
        <f>SUM(G729:P729)</f>
        <v>0</v>
      </c>
      <c r="R729" s="760"/>
    </row>
    <row r="730" spans="1:18" ht="15" hidden="1" customHeight="1" x14ac:dyDescent="0.2">
      <c r="A730" s="197"/>
      <c r="B730" s="197"/>
      <c r="C730" s="217"/>
      <c r="D730" s="314" t="s">
        <v>1271</v>
      </c>
      <c r="E730" s="208">
        <v>1</v>
      </c>
      <c r="F730" s="170">
        <v>191901</v>
      </c>
      <c r="G730" s="170"/>
      <c r="H730" s="202"/>
      <c r="I730" s="170"/>
      <c r="J730" s="202"/>
      <c r="K730" s="202"/>
      <c r="L730" s="202"/>
      <c r="M730" s="170"/>
      <c r="N730" s="170"/>
      <c r="O730" s="170"/>
      <c r="P730" s="170"/>
      <c r="Q730" s="170">
        <f>SUM(G730:P730)</f>
        <v>0</v>
      </c>
      <c r="R730" s="760"/>
    </row>
    <row r="731" spans="1:18" ht="15" hidden="1" customHeight="1" x14ac:dyDescent="0.2">
      <c r="A731" s="197"/>
      <c r="B731" s="197"/>
      <c r="C731" s="217"/>
      <c r="D731" s="314" t="s">
        <v>1272</v>
      </c>
      <c r="E731" s="208">
        <v>1</v>
      </c>
      <c r="F731" s="170">
        <v>191901</v>
      </c>
      <c r="G731" s="170"/>
      <c r="H731" s="202"/>
      <c r="I731" s="170"/>
      <c r="J731" s="202"/>
      <c r="K731" s="202"/>
      <c r="L731" s="202"/>
      <c r="M731" s="170"/>
      <c r="N731" s="170"/>
      <c r="O731" s="170"/>
      <c r="P731" s="170"/>
      <c r="Q731" s="170">
        <f>SUM(G731:P731)</f>
        <v>0</v>
      </c>
      <c r="R731" s="760"/>
    </row>
    <row r="732" spans="1:18" ht="15" hidden="1" customHeight="1" x14ac:dyDescent="0.2">
      <c r="A732" s="708"/>
      <c r="B732" s="708"/>
      <c r="C732" s="709"/>
      <c r="D732" s="758" t="s">
        <v>1426</v>
      </c>
      <c r="E732" s="757">
        <v>1</v>
      </c>
      <c r="F732" s="712">
        <v>191901</v>
      </c>
      <c r="G732" s="712"/>
      <c r="H732" s="713"/>
      <c r="I732" s="712"/>
      <c r="J732" s="713"/>
      <c r="K732" s="713"/>
      <c r="L732" s="713"/>
      <c r="M732" s="712"/>
      <c r="N732" s="712"/>
      <c r="O732" s="712"/>
      <c r="P732" s="712"/>
      <c r="Q732" s="170">
        <f>SUM(G732:P732)</f>
        <v>0</v>
      </c>
      <c r="R732" s="760"/>
    </row>
    <row r="733" spans="1:18" ht="15" customHeight="1" x14ac:dyDescent="0.2">
      <c r="A733" s="197"/>
      <c r="B733" s="197"/>
      <c r="C733" s="217"/>
      <c r="D733" s="177" t="s">
        <v>333</v>
      </c>
      <c r="E733" s="241"/>
      <c r="F733" s="241"/>
      <c r="G733" s="170"/>
      <c r="H733" s="202"/>
      <c r="I733" s="170"/>
      <c r="J733" s="202"/>
      <c r="K733" s="202"/>
      <c r="L733" s="202"/>
      <c r="M733" s="170"/>
      <c r="N733" s="170"/>
      <c r="O733" s="170"/>
      <c r="P733" s="170"/>
      <c r="Q733" s="170"/>
      <c r="R733" s="760"/>
    </row>
    <row r="734" spans="1:18" ht="15" hidden="1" customHeight="1" x14ac:dyDescent="0.2">
      <c r="A734" s="197"/>
      <c r="B734" s="197"/>
      <c r="C734" s="217"/>
      <c r="D734" s="314" t="s">
        <v>1273</v>
      </c>
      <c r="E734" s="208">
        <v>1</v>
      </c>
      <c r="F734" s="170">
        <v>191102</v>
      </c>
      <c r="G734" s="170"/>
      <c r="H734" s="202"/>
      <c r="I734" s="170"/>
      <c r="J734" s="202"/>
      <c r="K734" s="202"/>
      <c r="L734" s="202"/>
      <c r="M734" s="170"/>
      <c r="N734" s="170"/>
      <c r="O734" s="170"/>
      <c r="P734" s="170"/>
      <c r="Q734" s="170">
        <f>SUM(G734:P734)</f>
        <v>0</v>
      </c>
      <c r="R734" s="760"/>
    </row>
    <row r="735" spans="1:18" ht="15" customHeight="1" x14ac:dyDescent="0.2">
      <c r="A735" s="197"/>
      <c r="B735" s="197"/>
      <c r="C735" s="217"/>
      <c r="D735" s="314" t="s">
        <v>1274</v>
      </c>
      <c r="E735" s="170">
        <v>1</v>
      </c>
      <c r="F735" s="170">
        <v>191103</v>
      </c>
      <c r="G735" s="221"/>
      <c r="H735" s="202"/>
      <c r="I735" s="460">
        <v>18561</v>
      </c>
      <c r="J735" s="202"/>
      <c r="K735" s="202"/>
      <c r="L735" s="202"/>
      <c r="M735" s="221"/>
      <c r="N735" s="221"/>
      <c r="O735" s="221"/>
      <c r="P735" s="221"/>
      <c r="Q735" s="170">
        <f>SUM(G735:P735)</f>
        <v>18561</v>
      </c>
      <c r="R735" s="760" t="s">
        <v>1489</v>
      </c>
    </row>
    <row r="736" spans="1:18" ht="15" hidden="1" customHeight="1" x14ac:dyDescent="0.2">
      <c r="A736" s="197"/>
      <c r="B736" s="197"/>
      <c r="C736" s="217"/>
      <c r="D736" s="314" t="s">
        <v>1275</v>
      </c>
      <c r="E736" s="170">
        <v>1</v>
      </c>
      <c r="F736" s="170">
        <v>191105</v>
      </c>
      <c r="G736" s="221"/>
      <c r="H736" s="202"/>
      <c r="I736" s="221"/>
      <c r="J736" s="202"/>
      <c r="K736" s="202"/>
      <c r="L736" s="202"/>
      <c r="M736" s="221"/>
      <c r="N736" s="221"/>
      <c r="O736" s="221"/>
      <c r="P736" s="221"/>
      <c r="Q736" s="170">
        <f>SUM(G736:P736)</f>
        <v>0</v>
      </c>
      <c r="R736" s="760"/>
    </row>
    <row r="737" spans="1:18" ht="15" hidden="1" customHeight="1" x14ac:dyDescent="0.2">
      <c r="A737" s="197"/>
      <c r="B737" s="197"/>
      <c r="C737" s="217"/>
      <c r="D737" s="314" t="s">
        <v>1276</v>
      </c>
      <c r="E737" s="170">
        <v>1</v>
      </c>
      <c r="F737" s="170">
        <v>196901</v>
      </c>
      <c r="G737" s="221"/>
      <c r="H737" s="202"/>
      <c r="I737" s="170"/>
      <c r="J737" s="202"/>
      <c r="K737" s="202"/>
      <c r="L737" s="202"/>
      <c r="M737" s="221"/>
      <c r="N737" s="221"/>
      <c r="O737" s="170"/>
      <c r="P737" s="170"/>
      <c r="Q737" s="170">
        <f>SUM(G737:P737)</f>
        <v>0</v>
      </c>
      <c r="R737" s="760"/>
    </row>
    <row r="738" spans="1:18" ht="24.75" customHeight="1" x14ac:dyDescent="0.2">
      <c r="A738" s="862"/>
      <c r="B738" s="862"/>
      <c r="C738" s="856"/>
      <c r="D738" s="871" t="s">
        <v>1484</v>
      </c>
      <c r="E738" s="858">
        <v>2</v>
      </c>
      <c r="F738" s="858">
        <v>191158</v>
      </c>
      <c r="G738" s="850"/>
      <c r="H738" s="863"/>
      <c r="I738" s="823"/>
      <c r="J738" s="863"/>
      <c r="K738" s="863">
        <v>27000</v>
      </c>
      <c r="L738" s="863"/>
      <c r="M738" s="850"/>
      <c r="N738" s="850"/>
      <c r="O738" s="823"/>
      <c r="P738" s="823"/>
      <c r="Q738" s="170">
        <f>SUM(G738:P738)</f>
        <v>27000</v>
      </c>
      <c r="R738" s="852" t="s">
        <v>1489</v>
      </c>
    </row>
    <row r="739" spans="1:18" ht="15" hidden="1" customHeight="1" x14ac:dyDescent="0.2">
      <c r="A739" s="197"/>
      <c r="B739" s="197"/>
      <c r="C739" s="217"/>
      <c r="D739" s="314" t="s">
        <v>342</v>
      </c>
      <c r="E739" s="170"/>
      <c r="F739" s="170"/>
      <c r="G739" s="221"/>
      <c r="H739" s="202"/>
      <c r="I739" s="170"/>
      <c r="J739" s="202"/>
      <c r="K739" s="202"/>
      <c r="L739" s="202"/>
      <c r="M739" s="221"/>
      <c r="N739" s="221"/>
      <c r="O739" s="170"/>
      <c r="P739" s="170"/>
      <c r="Q739" s="170"/>
      <c r="R739" s="760"/>
    </row>
    <row r="740" spans="1:18" ht="15" hidden="1" customHeight="1" x14ac:dyDescent="0.2">
      <c r="A740" s="197"/>
      <c r="B740" s="197"/>
      <c r="C740" s="217"/>
      <c r="D740" s="314" t="s">
        <v>1277</v>
      </c>
      <c r="E740" s="170">
        <v>1</v>
      </c>
      <c r="F740" s="170">
        <v>191104</v>
      </c>
      <c r="G740" s="221"/>
      <c r="H740" s="202"/>
      <c r="I740" s="170"/>
      <c r="J740" s="202"/>
      <c r="K740" s="202"/>
      <c r="L740" s="202"/>
      <c r="M740" s="221"/>
      <c r="N740" s="221"/>
      <c r="O740" s="170"/>
      <c r="P740" s="170"/>
      <c r="Q740" s="170">
        <f>SUM(G740:P740)</f>
        <v>0</v>
      </c>
      <c r="R740" s="760"/>
    </row>
    <row r="741" spans="1:18" ht="14.1" hidden="1" customHeight="1" x14ac:dyDescent="0.2">
      <c r="A741" s="197"/>
      <c r="B741" s="197"/>
      <c r="C741" s="217"/>
      <c r="D741" s="419" t="s">
        <v>1278</v>
      </c>
      <c r="E741" s="170"/>
      <c r="F741" s="170"/>
      <c r="G741" s="221"/>
      <c r="H741" s="202"/>
      <c r="I741" s="202"/>
      <c r="J741" s="202"/>
      <c r="K741" s="202"/>
      <c r="L741" s="202"/>
      <c r="M741" s="221"/>
      <c r="N741" s="221"/>
      <c r="O741" s="170"/>
      <c r="P741" s="170"/>
      <c r="Q741" s="170"/>
      <c r="R741" s="760"/>
    </row>
    <row r="742" spans="1:18" ht="14.1" hidden="1" customHeight="1" x14ac:dyDescent="0.2">
      <c r="A742" s="197"/>
      <c r="B742" s="197"/>
      <c r="C742" s="217"/>
      <c r="D742" s="314" t="s">
        <v>1279</v>
      </c>
      <c r="E742" s="170">
        <v>2</v>
      </c>
      <c r="F742" s="170">
        <v>191109</v>
      </c>
      <c r="G742" s="221"/>
      <c r="H742" s="202"/>
      <c r="I742" s="202"/>
      <c r="J742" s="202"/>
      <c r="K742" s="202"/>
      <c r="L742" s="202"/>
      <c r="M742" s="221"/>
      <c r="N742" s="221"/>
      <c r="O742" s="170"/>
      <c r="P742" s="170"/>
      <c r="Q742" s="170">
        <f>SUM(G742:P742)</f>
        <v>0</v>
      </c>
      <c r="R742" s="760"/>
    </row>
    <row r="743" spans="1:18" ht="14.1" hidden="1" customHeight="1" x14ac:dyDescent="0.2">
      <c r="A743" s="197"/>
      <c r="B743" s="197"/>
      <c r="C743" s="217"/>
      <c r="D743" s="314" t="s">
        <v>1280</v>
      </c>
      <c r="E743" s="170">
        <v>2</v>
      </c>
      <c r="F743" s="170">
        <v>191159</v>
      </c>
      <c r="G743" s="221"/>
      <c r="H743" s="202"/>
      <c r="I743" s="202"/>
      <c r="J743" s="202"/>
      <c r="K743" s="202"/>
      <c r="L743" s="202"/>
      <c r="M743" s="221"/>
      <c r="N743" s="221"/>
      <c r="O743" s="170"/>
      <c r="P743" s="170"/>
      <c r="Q743" s="170">
        <f>SUM(G743:P743)</f>
        <v>0</v>
      </c>
      <c r="R743" s="760"/>
    </row>
    <row r="744" spans="1:18" ht="14.1" hidden="1" customHeight="1" x14ac:dyDescent="0.2">
      <c r="A744" s="197"/>
      <c r="B744" s="197"/>
      <c r="C744" s="217"/>
      <c r="D744" s="314" t="s">
        <v>1281</v>
      </c>
      <c r="E744" s="170"/>
      <c r="F744" s="170"/>
      <c r="G744" s="221"/>
      <c r="H744" s="202"/>
      <c r="I744" s="202"/>
      <c r="J744" s="202"/>
      <c r="K744" s="202"/>
      <c r="L744" s="202"/>
      <c r="M744" s="221"/>
      <c r="N744" s="221"/>
      <c r="O744" s="170"/>
      <c r="P744" s="170"/>
      <c r="Q744" s="170"/>
      <c r="R744" s="760"/>
    </row>
    <row r="745" spans="1:18" ht="14.1" hidden="1" customHeight="1" x14ac:dyDescent="0.2">
      <c r="A745" s="197"/>
      <c r="B745" s="197"/>
      <c r="C745" s="217"/>
      <c r="D745" s="314" t="s">
        <v>1282</v>
      </c>
      <c r="E745" s="170">
        <v>2</v>
      </c>
      <c r="F745" s="170">
        <v>191401</v>
      </c>
      <c r="G745" s="221"/>
      <c r="H745" s="202"/>
      <c r="I745" s="202"/>
      <c r="J745" s="202"/>
      <c r="K745" s="202"/>
      <c r="L745" s="202"/>
      <c r="M745" s="221"/>
      <c r="N745" s="221"/>
      <c r="O745" s="170"/>
      <c r="P745" s="170"/>
      <c r="Q745" s="170">
        <f>SUM(G745:P745)</f>
        <v>0</v>
      </c>
      <c r="R745" s="760"/>
    </row>
    <row r="746" spans="1:18" ht="15" customHeight="1" x14ac:dyDescent="0.2">
      <c r="A746" s="197"/>
      <c r="B746" s="197"/>
      <c r="C746" s="217"/>
      <c r="D746" s="177" t="s">
        <v>333</v>
      </c>
      <c r="E746" s="241"/>
      <c r="F746" s="241"/>
      <c r="G746" s="280"/>
      <c r="H746" s="202"/>
      <c r="I746" s="202"/>
      <c r="J746" s="202"/>
      <c r="K746" s="202"/>
      <c r="L746" s="202"/>
      <c r="M746" s="280"/>
      <c r="N746" s="280"/>
      <c r="O746" s="170"/>
      <c r="P746" s="170"/>
      <c r="Q746" s="170"/>
      <c r="R746" s="760"/>
    </row>
    <row r="747" spans="1:18" ht="24" customHeight="1" x14ac:dyDescent="0.2">
      <c r="A747" s="197"/>
      <c r="B747" s="197"/>
      <c r="C747" s="217"/>
      <c r="D747" s="171" t="s">
        <v>1283</v>
      </c>
      <c r="E747" s="208">
        <v>1</v>
      </c>
      <c r="F747" s="170">
        <v>191905</v>
      </c>
      <c r="G747" s="221"/>
      <c r="H747" s="202"/>
      <c r="I747" s="202"/>
      <c r="J747" s="202"/>
      <c r="K747" s="202">
        <v>25135</v>
      </c>
      <c r="L747" s="202"/>
      <c r="M747" s="221"/>
      <c r="N747" s="221"/>
      <c r="O747" s="170"/>
      <c r="P747" s="170"/>
      <c r="Q747" s="170">
        <f>SUM(G747:P747)</f>
        <v>25135</v>
      </c>
      <c r="R747" s="760" t="s">
        <v>1489</v>
      </c>
    </row>
    <row r="748" spans="1:18" ht="15" hidden="1" customHeight="1" x14ac:dyDescent="0.2">
      <c r="A748" s="197"/>
      <c r="B748" s="197"/>
      <c r="C748" s="217"/>
      <c r="D748" s="177" t="s">
        <v>333</v>
      </c>
      <c r="E748" s="241"/>
      <c r="F748" s="241"/>
      <c r="G748" s="280"/>
      <c r="H748" s="202"/>
      <c r="I748" s="202"/>
      <c r="J748" s="202"/>
      <c r="K748" s="202"/>
      <c r="L748" s="202"/>
      <c r="M748" s="280"/>
      <c r="N748" s="280"/>
      <c r="O748" s="170"/>
      <c r="P748" s="170"/>
      <c r="Q748" s="170"/>
      <c r="R748" s="760"/>
    </row>
    <row r="749" spans="1:18" ht="14.1" hidden="1" customHeight="1" x14ac:dyDescent="0.2">
      <c r="A749" s="197"/>
      <c r="B749" s="197"/>
      <c r="C749" s="217"/>
      <c r="D749" s="314" t="s">
        <v>1284</v>
      </c>
      <c r="E749" s="170">
        <v>1</v>
      </c>
      <c r="F749" s="170">
        <v>191121</v>
      </c>
      <c r="G749" s="221"/>
      <c r="H749" s="202"/>
      <c r="I749" s="202"/>
      <c r="J749" s="202"/>
      <c r="K749" s="202"/>
      <c r="L749" s="202"/>
      <c r="M749" s="221"/>
      <c r="N749" s="221"/>
      <c r="O749" s="170"/>
      <c r="P749" s="170"/>
      <c r="Q749" s="170">
        <f>SUM(G749:P749)</f>
        <v>0</v>
      </c>
      <c r="R749" s="760"/>
    </row>
    <row r="750" spans="1:18" ht="24.75" hidden="1" customHeight="1" x14ac:dyDescent="0.2">
      <c r="A750" s="197"/>
      <c r="B750" s="197"/>
      <c r="C750" s="217"/>
      <c r="D750" s="172" t="s">
        <v>440</v>
      </c>
      <c r="E750" s="241"/>
      <c r="F750" s="241"/>
      <c r="G750" s="170"/>
      <c r="H750" s="202"/>
      <c r="I750" s="202"/>
      <c r="J750" s="202"/>
      <c r="K750" s="202"/>
      <c r="L750" s="202"/>
      <c r="M750" s="170"/>
      <c r="N750" s="170"/>
      <c r="O750" s="170"/>
      <c r="P750" s="170"/>
      <c r="Q750" s="170"/>
      <c r="R750" s="760"/>
    </row>
    <row r="751" spans="1:18" ht="30.75" hidden="1" customHeight="1" x14ac:dyDescent="0.2">
      <c r="A751" s="197"/>
      <c r="B751" s="197"/>
      <c r="C751" s="217"/>
      <c r="D751" s="172" t="s">
        <v>1285</v>
      </c>
      <c r="E751" s="241">
        <v>1</v>
      </c>
      <c r="F751" s="250">
        <v>191152</v>
      </c>
      <c r="G751" s="170"/>
      <c r="H751" s="202"/>
      <c r="I751" s="202"/>
      <c r="J751" s="202"/>
      <c r="K751" s="202"/>
      <c r="L751" s="202"/>
      <c r="M751" s="170"/>
      <c r="N751" s="170"/>
      <c r="O751" s="170"/>
      <c r="P751" s="170"/>
      <c r="Q751" s="170">
        <f>SUM(G751:P751)</f>
        <v>0</v>
      </c>
      <c r="R751" s="760"/>
    </row>
    <row r="752" spans="1:18" ht="27.75" hidden="1" customHeight="1" x14ac:dyDescent="0.2">
      <c r="A752" s="197"/>
      <c r="B752" s="197"/>
      <c r="C752" s="217"/>
      <c r="D752" s="333" t="s">
        <v>1286</v>
      </c>
      <c r="E752" s="241">
        <v>2</v>
      </c>
      <c r="F752" s="250">
        <v>196919</v>
      </c>
      <c r="G752" s="170"/>
      <c r="H752" s="202"/>
      <c r="I752" s="202"/>
      <c r="J752" s="202"/>
      <c r="K752" s="202"/>
      <c r="L752" s="202"/>
      <c r="M752" s="170"/>
      <c r="N752" s="170"/>
      <c r="O752" s="170"/>
      <c r="P752" s="170"/>
      <c r="Q752" s="170">
        <f>SUM(G752:P752)</f>
        <v>0</v>
      </c>
      <c r="R752" s="760"/>
    </row>
    <row r="753" spans="1:18" ht="15" hidden="1" customHeight="1" x14ac:dyDescent="0.2">
      <c r="A753" s="197"/>
      <c r="B753" s="197"/>
      <c r="C753" s="217"/>
      <c r="D753" s="314" t="s">
        <v>1287</v>
      </c>
      <c r="E753" s="170"/>
      <c r="F753" s="420"/>
      <c r="G753" s="170"/>
      <c r="H753" s="202"/>
      <c r="I753" s="202"/>
      <c r="J753" s="202"/>
      <c r="K753" s="202"/>
      <c r="L753" s="202"/>
      <c r="M753" s="170"/>
      <c r="N753" s="170"/>
      <c r="O753" s="170"/>
      <c r="P753" s="170"/>
      <c r="Q753" s="170"/>
      <c r="R753" s="760"/>
    </row>
    <row r="754" spans="1:18" ht="14.25" hidden="1" customHeight="1" x14ac:dyDescent="0.2">
      <c r="A754" s="197"/>
      <c r="B754" s="197"/>
      <c r="C754" s="217"/>
      <c r="D754" s="314" t="s">
        <v>1288</v>
      </c>
      <c r="E754" s="170">
        <v>2</v>
      </c>
      <c r="F754" s="421" t="s">
        <v>1289</v>
      </c>
      <c r="G754" s="170"/>
      <c r="H754" s="202"/>
      <c r="I754" s="202"/>
      <c r="J754" s="202"/>
      <c r="K754" s="202"/>
      <c r="L754" s="202"/>
      <c r="M754" s="170"/>
      <c r="N754" s="170"/>
      <c r="O754" s="170"/>
      <c r="P754" s="170"/>
      <c r="Q754" s="170">
        <f>SUM(G754:P754)</f>
        <v>0</v>
      </c>
      <c r="R754" s="760"/>
    </row>
    <row r="755" spans="1:18" ht="14.1" hidden="1" customHeight="1" x14ac:dyDescent="0.2">
      <c r="A755" s="197"/>
      <c r="B755" s="197"/>
      <c r="C755" s="217"/>
      <c r="D755" s="325" t="s">
        <v>345</v>
      </c>
      <c r="E755" s="208"/>
      <c r="F755" s="208"/>
      <c r="G755" s="170"/>
      <c r="H755" s="202"/>
      <c r="I755" s="202"/>
      <c r="J755" s="202"/>
      <c r="K755" s="202"/>
      <c r="L755" s="202"/>
      <c r="M755" s="170"/>
      <c r="N755" s="170"/>
      <c r="O755" s="170"/>
      <c r="P755" s="170"/>
      <c r="Q755" s="170"/>
      <c r="R755" s="760"/>
    </row>
    <row r="756" spans="1:18" ht="14.1" hidden="1" customHeight="1" x14ac:dyDescent="0.2">
      <c r="A756" s="197"/>
      <c r="B756" s="197"/>
      <c r="C756" s="217"/>
      <c r="D756" s="314" t="s">
        <v>1290</v>
      </c>
      <c r="E756" s="170">
        <v>2</v>
      </c>
      <c r="F756" s="170">
        <v>191801</v>
      </c>
      <c r="G756" s="170"/>
      <c r="H756" s="202"/>
      <c r="I756" s="202"/>
      <c r="J756" s="202"/>
      <c r="K756" s="202"/>
      <c r="L756" s="202"/>
      <c r="M756" s="170"/>
      <c r="N756" s="170"/>
      <c r="O756" s="170"/>
      <c r="P756" s="170"/>
      <c r="Q756" s="170">
        <f>SUM(G756:P756)</f>
        <v>0</v>
      </c>
      <c r="R756" s="760"/>
    </row>
    <row r="757" spans="1:18" ht="14.1" hidden="1" customHeight="1" x14ac:dyDescent="0.2">
      <c r="A757" s="197"/>
      <c r="B757" s="197"/>
      <c r="C757" s="217"/>
      <c r="D757" s="314" t="s">
        <v>1457</v>
      </c>
      <c r="E757" s="230"/>
      <c r="F757" s="230"/>
      <c r="G757" s="170"/>
      <c r="H757" s="202"/>
      <c r="I757" s="202"/>
      <c r="J757" s="202"/>
      <c r="K757" s="202"/>
      <c r="L757" s="202"/>
      <c r="M757" s="170"/>
      <c r="N757" s="170"/>
      <c r="O757" s="170"/>
      <c r="P757" s="170"/>
      <c r="Q757" s="170"/>
      <c r="R757" s="342"/>
    </row>
    <row r="758" spans="1:18" ht="24" hidden="1" customHeight="1" x14ac:dyDescent="0.2">
      <c r="A758" s="197"/>
      <c r="B758" s="197"/>
      <c r="C758" s="217"/>
      <c r="D758" s="172" t="s">
        <v>1458</v>
      </c>
      <c r="E758" s="230">
        <v>1</v>
      </c>
      <c r="F758" s="607">
        <v>191909</v>
      </c>
      <c r="G758" s="170"/>
      <c r="H758" s="202"/>
      <c r="I758" s="202"/>
      <c r="J758" s="202"/>
      <c r="K758" s="202"/>
      <c r="L758" s="202"/>
      <c r="M758" s="170"/>
      <c r="N758" s="170"/>
      <c r="O758" s="170"/>
      <c r="P758" s="170"/>
      <c r="Q758" s="170">
        <f>SUM(G758:P758)</f>
        <v>0</v>
      </c>
      <c r="R758" s="342"/>
    </row>
    <row r="759" spans="1:18" ht="16.5" customHeight="1" x14ac:dyDescent="0.2">
      <c r="A759" s="223"/>
      <c r="B759" s="223"/>
      <c r="C759" s="224"/>
      <c r="D759" s="182" t="s">
        <v>1291</v>
      </c>
      <c r="E759" s="226"/>
      <c r="F759" s="226"/>
      <c r="G759" s="227">
        <f t="shared" ref="G759:Q759" si="46">SUM(G727:G758)</f>
        <v>0</v>
      </c>
      <c r="H759" s="227">
        <f t="shared" si="46"/>
        <v>0</v>
      </c>
      <c r="I759" s="227">
        <f t="shared" si="46"/>
        <v>18561</v>
      </c>
      <c r="J759" s="227">
        <f t="shared" si="46"/>
        <v>0</v>
      </c>
      <c r="K759" s="227">
        <f t="shared" si="46"/>
        <v>52135</v>
      </c>
      <c r="L759" s="227">
        <f t="shared" si="46"/>
        <v>0</v>
      </c>
      <c r="M759" s="227">
        <f t="shared" si="46"/>
        <v>0</v>
      </c>
      <c r="N759" s="227">
        <f t="shared" si="46"/>
        <v>0</v>
      </c>
      <c r="O759" s="227">
        <f t="shared" si="46"/>
        <v>0</v>
      </c>
      <c r="P759" s="227">
        <f t="shared" si="46"/>
        <v>0</v>
      </c>
      <c r="Q759" s="227">
        <f t="shared" si="46"/>
        <v>70696</v>
      </c>
      <c r="R759" s="761"/>
    </row>
    <row r="760" spans="1:18" ht="16.5" customHeight="1" x14ac:dyDescent="0.2">
      <c r="A760" s="229"/>
      <c r="B760" s="229"/>
      <c r="C760" s="284"/>
      <c r="D760" s="318" t="s">
        <v>1264</v>
      </c>
      <c r="E760" s="232"/>
      <c r="F760" s="232"/>
      <c r="G760" s="233"/>
      <c r="H760" s="233"/>
      <c r="I760" s="233"/>
      <c r="J760" s="233"/>
      <c r="K760" s="233"/>
      <c r="L760" s="233"/>
      <c r="M760" s="233"/>
      <c r="N760" s="233"/>
      <c r="O760" s="233"/>
      <c r="P760" s="233"/>
      <c r="Q760" s="233"/>
      <c r="R760" s="760"/>
    </row>
    <row r="761" spans="1:18" ht="25.5" customHeight="1" x14ac:dyDescent="0.2">
      <c r="A761" s="229"/>
      <c r="B761" s="229"/>
      <c r="C761" s="284" t="s">
        <v>125</v>
      </c>
      <c r="D761" s="422" t="s">
        <v>1292</v>
      </c>
      <c r="E761" s="386"/>
      <c r="F761" s="423">
        <v>192909</v>
      </c>
      <c r="G761" s="233"/>
      <c r="H761" s="233"/>
      <c r="I761" s="233"/>
      <c r="J761" s="233"/>
      <c r="K761" s="233"/>
      <c r="L761" s="233"/>
      <c r="M761" s="233"/>
      <c r="N761" s="170">
        <v>500</v>
      </c>
      <c r="O761" s="233"/>
      <c r="P761" s="233"/>
      <c r="Q761" s="170">
        <f>SUM(N761:P761)</f>
        <v>500</v>
      </c>
      <c r="R761" s="760" t="s">
        <v>1489</v>
      </c>
    </row>
    <row r="762" spans="1:18" ht="14.1" customHeight="1" x14ac:dyDescent="0.2">
      <c r="A762" s="223">
        <v>1</v>
      </c>
      <c r="B762" s="223">
        <v>20</v>
      </c>
      <c r="C762" s="224"/>
      <c r="D762" s="182" t="s">
        <v>462</v>
      </c>
      <c r="E762" s="226"/>
      <c r="F762" s="226"/>
      <c r="G762" s="227">
        <f t="shared" ref="G762:Q762" si="47">SUM(G759:G761)</f>
        <v>0</v>
      </c>
      <c r="H762" s="227">
        <f t="shared" si="47"/>
        <v>0</v>
      </c>
      <c r="I762" s="227">
        <f t="shared" si="47"/>
        <v>18561</v>
      </c>
      <c r="J762" s="227">
        <f t="shared" si="47"/>
        <v>0</v>
      </c>
      <c r="K762" s="227">
        <f t="shared" si="47"/>
        <v>52135</v>
      </c>
      <c r="L762" s="227">
        <f t="shared" si="47"/>
        <v>0</v>
      </c>
      <c r="M762" s="227">
        <f t="shared" si="47"/>
        <v>0</v>
      </c>
      <c r="N762" s="227">
        <f t="shared" si="47"/>
        <v>500</v>
      </c>
      <c r="O762" s="227">
        <f t="shared" si="47"/>
        <v>0</v>
      </c>
      <c r="P762" s="227">
        <f t="shared" si="47"/>
        <v>0</v>
      </c>
      <c r="Q762" s="227">
        <f t="shared" si="47"/>
        <v>71196</v>
      </c>
      <c r="R762" s="761"/>
    </row>
    <row r="763" spans="1:18" ht="18" customHeight="1" x14ac:dyDescent="0.2">
      <c r="A763" s="229"/>
      <c r="B763" s="229"/>
      <c r="C763" s="284"/>
      <c r="D763" s="307" t="s">
        <v>13</v>
      </c>
      <c r="E763" s="232"/>
      <c r="F763" s="232"/>
      <c r="G763" s="233"/>
      <c r="H763" s="233"/>
      <c r="I763" s="233"/>
      <c r="J763" s="233"/>
      <c r="K763" s="233"/>
      <c r="L763" s="233"/>
      <c r="M763" s="233"/>
      <c r="N763" s="233"/>
      <c r="O763" s="233"/>
      <c r="P763" s="233"/>
      <c r="Q763" s="233"/>
      <c r="R763" s="760"/>
    </row>
    <row r="764" spans="1:18" ht="25.5" customHeight="1" x14ac:dyDescent="0.2">
      <c r="A764" s="229"/>
      <c r="B764" s="229"/>
      <c r="C764" s="284"/>
      <c r="D764" s="424" t="s">
        <v>333</v>
      </c>
      <c r="E764" s="232"/>
      <c r="F764" s="232"/>
      <c r="G764" s="233"/>
      <c r="H764" s="233"/>
      <c r="I764" s="233"/>
      <c r="J764" s="233"/>
      <c r="K764" s="233"/>
      <c r="L764" s="233"/>
      <c r="M764" s="233"/>
      <c r="N764" s="233"/>
      <c r="O764" s="233"/>
      <c r="P764" s="233"/>
      <c r="Q764" s="233"/>
      <c r="R764" s="760"/>
    </row>
    <row r="765" spans="1:18" ht="19.5" customHeight="1" x14ac:dyDescent="0.2">
      <c r="A765" s="223"/>
      <c r="B765" s="223"/>
      <c r="C765" s="224"/>
      <c r="D765" s="182" t="s">
        <v>1293</v>
      </c>
      <c r="E765" s="226"/>
      <c r="F765" s="226"/>
      <c r="G765" s="227"/>
      <c r="H765" s="227"/>
      <c r="I765" s="227"/>
      <c r="J765" s="227"/>
      <c r="K765" s="227"/>
      <c r="L765" s="227"/>
      <c r="M765" s="227"/>
      <c r="N765" s="227"/>
      <c r="O765" s="227"/>
      <c r="P765" s="227"/>
      <c r="Q765" s="227"/>
      <c r="R765" s="761"/>
    </row>
    <row r="766" spans="1:18" ht="15.95" customHeight="1" x14ac:dyDescent="0.2">
      <c r="A766" s="425">
        <v>1</v>
      </c>
      <c r="B766" s="425" t="s">
        <v>1294</v>
      </c>
      <c r="C766" s="426"/>
      <c r="D766" s="427" t="s">
        <v>1295</v>
      </c>
      <c r="E766" s="428"/>
      <c r="F766" s="428"/>
      <c r="G766" s="429"/>
      <c r="H766" s="202"/>
      <c r="I766" s="202"/>
      <c r="J766" s="202"/>
      <c r="K766" s="202"/>
      <c r="L766" s="202"/>
      <c r="M766" s="170"/>
      <c r="N766" s="170"/>
      <c r="O766" s="429"/>
      <c r="P766" s="429"/>
      <c r="Q766" s="429"/>
      <c r="R766" s="760"/>
    </row>
    <row r="767" spans="1:18" ht="15.95" customHeight="1" x14ac:dyDescent="0.2">
      <c r="A767" s="425"/>
      <c r="B767" s="425"/>
      <c r="C767" s="426"/>
      <c r="D767" s="177" t="s">
        <v>333</v>
      </c>
      <c r="E767" s="235"/>
      <c r="F767" s="235"/>
      <c r="G767" s="429"/>
      <c r="H767" s="202"/>
      <c r="I767" s="202"/>
      <c r="J767" s="202"/>
      <c r="K767" s="202"/>
      <c r="L767" s="202"/>
      <c r="M767" s="170"/>
      <c r="N767" s="170"/>
      <c r="O767" s="429"/>
      <c r="P767" s="429"/>
      <c r="Q767" s="429"/>
      <c r="R767" s="760"/>
    </row>
    <row r="768" spans="1:18" ht="15.95" customHeight="1" x14ac:dyDescent="0.2">
      <c r="A768" s="425"/>
      <c r="B768" s="425"/>
      <c r="C768" s="426"/>
      <c r="D768" s="419" t="s">
        <v>1296</v>
      </c>
      <c r="E768" s="411">
        <v>2</v>
      </c>
      <c r="F768" s="411">
        <v>221901</v>
      </c>
      <c r="G768" s="430"/>
      <c r="H768" s="202"/>
      <c r="I768" s="202">
        <v>-4728</v>
      </c>
      <c r="J768" s="202"/>
      <c r="K768" s="202"/>
      <c r="L768" s="202">
        <v>4728</v>
      </c>
      <c r="M768" s="170"/>
      <c r="N768" s="170"/>
      <c r="O768" s="411"/>
      <c r="P768" s="411"/>
      <c r="Q768" s="411">
        <f t="shared" ref="Q768:Q778" si="48">SUM(G768:P768)</f>
        <v>0</v>
      </c>
      <c r="R768" s="760" t="s">
        <v>1490</v>
      </c>
    </row>
    <row r="769" spans="1:18" ht="15.95" customHeight="1" x14ac:dyDescent="0.2">
      <c r="A769" s="425"/>
      <c r="B769" s="425"/>
      <c r="C769" s="426"/>
      <c r="D769" s="325" t="s">
        <v>1297</v>
      </c>
      <c r="E769" s="221">
        <v>1</v>
      </c>
      <c r="F769" s="170">
        <v>221912</v>
      </c>
      <c r="G769" s="430"/>
      <c r="H769" s="202"/>
      <c r="I769" s="202"/>
      <c r="J769" s="202"/>
      <c r="K769" s="202"/>
      <c r="L769" s="202"/>
      <c r="M769" s="411"/>
      <c r="N769" s="411"/>
      <c r="O769" s="411"/>
      <c r="P769" s="411"/>
      <c r="Q769" s="411">
        <f t="shared" si="48"/>
        <v>0</v>
      </c>
      <c r="R769" s="760"/>
    </row>
    <row r="770" spans="1:18" ht="25.5" customHeight="1" x14ac:dyDescent="0.2">
      <c r="A770" s="727"/>
      <c r="B770" s="727"/>
      <c r="C770" s="728"/>
      <c r="D770" s="732" t="s">
        <v>1411</v>
      </c>
      <c r="E770" s="733">
        <v>2</v>
      </c>
      <c r="F770" s="606">
        <v>221956</v>
      </c>
      <c r="G770" s="729"/>
      <c r="H770" s="730"/>
      <c r="I770" s="730"/>
      <c r="J770" s="730"/>
      <c r="K770" s="730"/>
      <c r="L770" s="730"/>
      <c r="M770" s="731"/>
      <c r="N770" s="731"/>
      <c r="O770" s="731"/>
      <c r="P770" s="731"/>
      <c r="Q770" s="411">
        <f t="shared" si="48"/>
        <v>0</v>
      </c>
      <c r="R770" s="760"/>
    </row>
    <row r="771" spans="1:18" ht="15.95" customHeight="1" x14ac:dyDescent="0.2">
      <c r="A771" s="425"/>
      <c r="B771" s="425"/>
      <c r="C771" s="426"/>
      <c r="D771" s="325" t="s">
        <v>1298</v>
      </c>
      <c r="E771" s="221">
        <v>2</v>
      </c>
      <c r="F771" s="170">
        <v>221916</v>
      </c>
      <c r="G771" s="430"/>
      <c r="H771" s="202"/>
      <c r="I771" s="202"/>
      <c r="J771" s="202"/>
      <c r="K771" s="202"/>
      <c r="L771" s="202"/>
      <c r="M771" s="411"/>
      <c r="N771" s="411"/>
      <c r="O771" s="411"/>
      <c r="P771" s="411"/>
      <c r="Q771" s="411">
        <f t="shared" si="48"/>
        <v>0</v>
      </c>
      <c r="R771" s="760"/>
    </row>
    <row r="772" spans="1:18" ht="15.95" customHeight="1" x14ac:dyDescent="0.2">
      <c r="A772" s="425"/>
      <c r="B772" s="425"/>
      <c r="C772" s="426"/>
      <c r="D772" s="314" t="s">
        <v>1299</v>
      </c>
      <c r="E772" s="221">
        <v>2</v>
      </c>
      <c r="F772" s="170">
        <v>221904</v>
      </c>
      <c r="G772" s="430"/>
      <c r="H772" s="202"/>
      <c r="I772" s="202"/>
      <c r="J772" s="202"/>
      <c r="K772" s="202"/>
      <c r="L772" s="202"/>
      <c r="M772" s="170"/>
      <c r="N772" s="170"/>
      <c r="O772" s="411"/>
      <c r="P772" s="411"/>
      <c r="Q772" s="411">
        <f t="shared" si="48"/>
        <v>0</v>
      </c>
      <c r="R772" s="760"/>
    </row>
    <row r="773" spans="1:18" ht="15.95" customHeight="1" x14ac:dyDescent="0.2">
      <c r="A773" s="425"/>
      <c r="B773" s="425"/>
      <c r="C773" s="426"/>
      <c r="D773" s="314" t="s">
        <v>1300</v>
      </c>
      <c r="E773" s="170">
        <v>2</v>
      </c>
      <c r="F773" s="170">
        <v>221922</v>
      </c>
      <c r="G773" s="430"/>
      <c r="H773" s="202"/>
      <c r="I773" s="202"/>
      <c r="J773" s="202"/>
      <c r="K773" s="202"/>
      <c r="L773" s="202"/>
      <c r="M773" s="170"/>
      <c r="N773" s="170"/>
      <c r="O773" s="411"/>
      <c r="P773" s="411"/>
      <c r="Q773" s="411">
        <f t="shared" si="48"/>
        <v>0</v>
      </c>
      <c r="R773" s="760"/>
    </row>
    <row r="774" spans="1:18" ht="15.95" customHeight="1" x14ac:dyDescent="0.2">
      <c r="A774" s="425"/>
      <c r="B774" s="425"/>
      <c r="C774" s="426"/>
      <c r="D774" s="314" t="s">
        <v>1301</v>
      </c>
      <c r="E774" s="208">
        <v>2</v>
      </c>
      <c r="F774" s="170">
        <v>191139</v>
      </c>
      <c r="G774" s="430"/>
      <c r="H774" s="202"/>
      <c r="I774" s="202"/>
      <c r="J774" s="202"/>
      <c r="K774" s="202"/>
      <c r="L774" s="202"/>
      <c r="M774" s="170"/>
      <c r="N774" s="170"/>
      <c r="O774" s="411"/>
      <c r="P774" s="411"/>
      <c r="Q774" s="411">
        <f t="shared" si="48"/>
        <v>0</v>
      </c>
      <c r="R774" s="760"/>
    </row>
    <row r="775" spans="1:18" ht="15.95" customHeight="1" x14ac:dyDescent="0.2">
      <c r="A775" s="425"/>
      <c r="B775" s="425"/>
      <c r="C775" s="426"/>
      <c r="D775" s="314" t="s">
        <v>1302</v>
      </c>
      <c r="E775" s="208">
        <v>2</v>
      </c>
      <c r="F775" s="170">
        <v>221939</v>
      </c>
      <c r="G775" s="430"/>
      <c r="H775" s="202"/>
      <c r="I775" s="202"/>
      <c r="J775" s="202"/>
      <c r="K775" s="202"/>
      <c r="L775" s="202"/>
      <c r="M775" s="170"/>
      <c r="N775" s="170"/>
      <c r="O775" s="411"/>
      <c r="P775" s="411"/>
      <c r="Q775" s="411">
        <f t="shared" si="48"/>
        <v>0</v>
      </c>
      <c r="R775" s="760"/>
    </row>
    <row r="776" spans="1:18" ht="15.95" customHeight="1" x14ac:dyDescent="0.2">
      <c r="A776" s="425"/>
      <c r="B776" s="425"/>
      <c r="C776" s="426"/>
      <c r="D776" s="314" t="s">
        <v>1303</v>
      </c>
      <c r="E776" s="208">
        <v>2</v>
      </c>
      <c r="F776" s="170">
        <v>221927</v>
      </c>
      <c r="G776" s="430"/>
      <c r="H776" s="202"/>
      <c r="I776" s="202"/>
      <c r="J776" s="202"/>
      <c r="K776" s="202"/>
      <c r="L776" s="202"/>
      <c r="M776" s="170"/>
      <c r="N776" s="170"/>
      <c r="O776" s="411"/>
      <c r="P776" s="411"/>
      <c r="Q776" s="411">
        <f t="shared" si="48"/>
        <v>0</v>
      </c>
      <c r="R776" s="760"/>
    </row>
    <row r="777" spans="1:18" ht="22.5" customHeight="1" x14ac:dyDescent="0.2">
      <c r="A777" s="425"/>
      <c r="B777" s="425"/>
      <c r="C777" s="426"/>
      <c r="D777" s="398" t="s">
        <v>1304</v>
      </c>
      <c r="E777" s="208">
        <v>2</v>
      </c>
      <c r="F777" s="170">
        <v>221935</v>
      </c>
      <c r="G777" s="430"/>
      <c r="H777" s="202"/>
      <c r="I777" s="202"/>
      <c r="J777" s="202"/>
      <c r="K777" s="202"/>
      <c r="L777" s="202"/>
      <c r="M777" s="170"/>
      <c r="N777" s="170"/>
      <c r="O777" s="411"/>
      <c r="P777" s="411"/>
      <c r="Q777" s="411">
        <f t="shared" si="48"/>
        <v>0</v>
      </c>
      <c r="R777" s="760"/>
    </row>
    <row r="778" spans="1:18" ht="15.95" customHeight="1" x14ac:dyDescent="0.2">
      <c r="A778" s="425"/>
      <c r="B778" s="425"/>
      <c r="C778" s="426"/>
      <c r="D778" s="314" t="s">
        <v>1305</v>
      </c>
      <c r="E778" s="170">
        <v>2</v>
      </c>
      <c r="F778" s="170">
        <v>191110</v>
      </c>
      <c r="G778" s="170"/>
      <c r="H778" s="202"/>
      <c r="I778" s="202">
        <v>-4000</v>
      </c>
      <c r="J778" s="202"/>
      <c r="K778" s="202"/>
      <c r="L778" s="202"/>
      <c r="M778" s="170"/>
      <c r="N778" s="170"/>
      <c r="O778" s="170"/>
      <c r="P778" s="170"/>
      <c r="Q778" s="411">
        <f t="shared" si="48"/>
        <v>-4000</v>
      </c>
      <c r="R778" s="760" t="s">
        <v>1490</v>
      </c>
    </row>
    <row r="779" spans="1:18" ht="15.95" customHeight="1" x14ac:dyDescent="0.2">
      <c r="A779" s="425"/>
      <c r="B779" s="425"/>
      <c r="C779" s="426"/>
      <c r="D779" s="314" t="s">
        <v>1306</v>
      </c>
      <c r="E779" s="208"/>
      <c r="F779" s="208"/>
      <c r="G779" s="170"/>
      <c r="H779" s="202"/>
      <c r="I779" s="202"/>
      <c r="J779" s="202"/>
      <c r="K779" s="202"/>
      <c r="L779" s="202"/>
      <c r="M779" s="170"/>
      <c r="N779" s="170"/>
      <c r="O779" s="170"/>
      <c r="P779" s="170"/>
      <c r="Q779" s="411"/>
      <c r="R779" s="760"/>
    </row>
    <row r="780" spans="1:18" ht="15.95" customHeight="1" x14ac:dyDescent="0.2">
      <c r="A780" s="425"/>
      <c r="B780" s="425"/>
      <c r="C780" s="426"/>
      <c r="D780" s="314" t="s">
        <v>1307</v>
      </c>
      <c r="E780" s="170">
        <v>2</v>
      </c>
      <c r="F780" s="170">
        <v>191301</v>
      </c>
      <c r="G780" s="170"/>
      <c r="H780" s="202"/>
      <c r="I780" s="202"/>
      <c r="J780" s="202"/>
      <c r="K780" s="202"/>
      <c r="L780" s="202"/>
      <c r="M780" s="170"/>
      <c r="N780" s="170"/>
      <c r="O780" s="170"/>
      <c r="P780" s="170"/>
      <c r="Q780" s="411">
        <f>SUM(G780:P780)</f>
        <v>0</v>
      </c>
      <c r="R780" s="760"/>
    </row>
    <row r="781" spans="1:18" ht="15.95" customHeight="1" x14ac:dyDescent="0.2">
      <c r="A781" s="425"/>
      <c r="B781" s="425"/>
      <c r="C781" s="426"/>
      <c r="D781" s="314" t="s">
        <v>1308</v>
      </c>
      <c r="E781" s="170">
        <v>2</v>
      </c>
      <c r="F781" s="170">
        <v>191302</v>
      </c>
      <c r="G781" s="170"/>
      <c r="H781" s="202"/>
      <c r="I781" s="202"/>
      <c r="J781" s="202"/>
      <c r="K781" s="202"/>
      <c r="L781" s="202"/>
      <c r="M781" s="170"/>
      <c r="N781" s="170"/>
      <c r="O781" s="170"/>
      <c r="P781" s="170"/>
      <c r="Q781" s="411">
        <f>SUM(G781:P781)</f>
        <v>0</v>
      </c>
      <c r="R781" s="760"/>
    </row>
    <row r="782" spans="1:18" ht="15.95" customHeight="1" x14ac:dyDescent="0.2">
      <c r="A782" s="425"/>
      <c r="B782" s="425"/>
      <c r="C782" s="426"/>
      <c r="D782" s="328" t="s">
        <v>1309</v>
      </c>
      <c r="E782" s="170">
        <v>2</v>
      </c>
      <c r="F782" s="170">
        <v>191303</v>
      </c>
      <c r="G782" s="170"/>
      <c r="H782" s="202"/>
      <c r="I782" s="202"/>
      <c r="J782" s="202"/>
      <c r="K782" s="202"/>
      <c r="L782" s="202"/>
      <c r="M782" s="170"/>
      <c r="N782" s="170"/>
      <c r="O782" s="170"/>
      <c r="P782" s="170"/>
      <c r="Q782" s="411">
        <f>SUM(G782:P782)</f>
        <v>0</v>
      </c>
      <c r="R782" s="760"/>
    </row>
    <row r="783" spans="1:18" ht="15.95" customHeight="1" x14ac:dyDescent="0.2">
      <c r="A783" s="425"/>
      <c r="B783" s="425"/>
      <c r="C783" s="426"/>
      <c r="D783" s="431" t="s">
        <v>356</v>
      </c>
      <c r="E783" s="221"/>
      <c r="F783" s="170"/>
      <c r="G783" s="432"/>
      <c r="H783" s="202"/>
      <c r="I783" s="202"/>
      <c r="J783" s="202"/>
      <c r="K783" s="202"/>
      <c r="L783" s="202"/>
      <c r="M783" s="170"/>
      <c r="N783" s="170"/>
      <c r="O783" s="411"/>
      <c r="P783" s="411"/>
      <c r="Q783" s="411"/>
      <c r="R783" s="760"/>
    </row>
    <row r="784" spans="1:18" ht="15.95" customHeight="1" x14ac:dyDescent="0.2">
      <c r="A784" s="425"/>
      <c r="B784" s="425"/>
      <c r="C784" s="426"/>
      <c r="D784" s="172" t="s">
        <v>1310</v>
      </c>
      <c r="E784" s="280">
        <v>2</v>
      </c>
      <c r="F784" s="250">
        <v>221951</v>
      </c>
      <c r="G784" s="170"/>
      <c r="H784" s="202"/>
      <c r="I784" s="202">
        <v>-171</v>
      </c>
      <c r="J784" s="202"/>
      <c r="K784" s="202">
        <v>-165</v>
      </c>
      <c r="L784" s="202"/>
      <c r="M784" s="170"/>
      <c r="N784" s="170">
        <v>900</v>
      </c>
      <c r="O784" s="170"/>
      <c r="P784" s="170"/>
      <c r="Q784" s="411">
        <f>SUM(G784:P784)</f>
        <v>564</v>
      </c>
      <c r="R784" s="760" t="s">
        <v>1489</v>
      </c>
    </row>
    <row r="785" spans="1:18" ht="15.95" customHeight="1" x14ac:dyDescent="0.2">
      <c r="A785" s="425"/>
      <c r="B785" s="425"/>
      <c r="C785" s="433"/>
      <c r="D785" s="434" t="s">
        <v>1311</v>
      </c>
      <c r="E785" s="221">
        <v>2</v>
      </c>
      <c r="F785" s="170" t="s">
        <v>1312</v>
      </c>
      <c r="G785" s="430"/>
      <c r="H785" s="202"/>
      <c r="I785" s="202">
        <v>-2577</v>
      </c>
      <c r="J785" s="202"/>
      <c r="K785" s="202">
        <v>1553</v>
      </c>
      <c r="L785" s="202"/>
      <c r="M785" s="411"/>
      <c r="N785" s="411">
        <v>720</v>
      </c>
      <c r="O785" s="411"/>
      <c r="P785" s="411"/>
      <c r="Q785" s="411">
        <f>SUM(G785:P785)</f>
        <v>-304</v>
      </c>
      <c r="R785" s="760" t="s">
        <v>1489</v>
      </c>
    </row>
    <row r="786" spans="1:18" ht="15.95" customHeight="1" x14ac:dyDescent="0.2">
      <c r="A786" s="425"/>
      <c r="B786" s="425"/>
      <c r="C786" s="426"/>
      <c r="D786" s="325" t="s">
        <v>1313</v>
      </c>
      <c r="E786" s="221"/>
      <c r="F786" s="170"/>
      <c r="G786" s="430"/>
      <c r="H786" s="202"/>
      <c r="I786" s="202"/>
      <c r="J786" s="202"/>
      <c r="K786" s="202"/>
      <c r="L786" s="202"/>
      <c r="M786" s="411"/>
      <c r="N786" s="411"/>
      <c r="O786" s="411"/>
      <c r="P786" s="411"/>
      <c r="Q786" s="411"/>
      <c r="R786" s="760"/>
    </row>
    <row r="787" spans="1:18" ht="15.95" customHeight="1" x14ac:dyDescent="0.2">
      <c r="A787" s="425"/>
      <c r="B787" s="425"/>
      <c r="C787" s="426"/>
      <c r="D787" s="325" t="s">
        <v>1314</v>
      </c>
      <c r="E787" s="221">
        <v>2</v>
      </c>
      <c r="F787" s="170">
        <v>221929</v>
      </c>
      <c r="G787" s="430"/>
      <c r="H787" s="202"/>
      <c r="I787" s="202"/>
      <c r="J787" s="202"/>
      <c r="K787" s="202"/>
      <c r="L787" s="202"/>
      <c r="M787" s="411"/>
      <c r="N787" s="411"/>
      <c r="O787" s="411"/>
      <c r="P787" s="411"/>
      <c r="Q787" s="411">
        <f>SUM(G787:P787)</f>
        <v>0</v>
      </c>
      <c r="R787" s="760"/>
    </row>
    <row r="788" spans="1:18" ht="15.95" customHeight="1" x14ac:dyDescent="0.2">
      <c r="A788" s="425"/>
      <c r="B788" s="425"/>
      <c r="C788" s="435"/>
      <c r="D788" s="325" t="s">
        <v>1315</v>
      </c>
      <c r="E788" s="221">
        <v>2</v>
      </c>
      <c r="F788" s="170">
        <v>191402</v>
      </c>
      <c r="G788" s="430"/>
      <c r="H788" s="202"/>
      <c r="I788" s="202"/>
      <c r="J788" s="202"/>
      <c r="K788" s="202"/>
      <c r="L788" s="202"/>
      <c r="M788" s="411"/>
      <c r="N788" s="411"/>
      <c r="O788" s="411"/>
      <c r="P788" s="411"/>
      <c r="Q788" s="411">
        <f>SUM(G788:P788)</f>
        <v>0</v>
      </c>
      <c r="R788" s="760"/>
    </row>
    <row r="789" spans="1:18" ht="15.95" customHeight="1" x14ac:dyDescent="0.2">
      <c r="A789" s="425"/>
      <c r="B789" s="425"/>
      <c r="C789" s="435"/>
      <c r="D789" s="325" t="s">
        <v>1316</v>
      </c>
      <c r="E789" s="221"/>
      <c r="F789" s="170"/>
      <c r="G789" s="430"/>
      <c r="H789" s="202"/>
      <c r="I789" s="202"/>
      <c r="J789" s="202"/>
      <c r="K789" s="202"/>
      <c r="L789" s="202"/>
      <c r="M789" s="411"/>
      <c r="N789" s="411"/>
      <c r="O789" s="411"/>
      <c r="P789" s="411"/>
      <c r="Q789" s="411"/>
      <c r="R789" s="760"/>
    </row>
    <row r="790" spans="1:18" ht="15.95" customHeight="1" x14ac:dyDescent="0.2">
      <c r="A790" s="425"/>
      <c r="B790" s="425"/>
      <c r="C790" s="435"/>
      <c r="D790" s="325" t="s">
        <v>1317</v>
      </c>
      <c r="E790" s="221">
        <v>1</v>
      </c>
      <c r="F790" s="170">
        <v>221909</v>
      </c>
      <c r="G790" s="430"/>
      <c r="H790" s="202"/>
      <c r="I790" s="202"/>
      <c r="J790" s="202"/>
      <c r="K790" s="202"/>
      <c r="L790" s="202"/>
      <c r="M790" s="411"/>
      <c r="N790" s="411"/>
      <c r="O790" s="411"/>
      <c r="P790" s="411"/>
      <c r="Q790" s="411">
        <f>SUM(G790:P790)</f>
        <v>0</v>
      </c>
      <c r="R790" s="760"/>
    </row>
    <row r="791" spans="1:18" ht="15.95" customHeight="1" x14ac:dyDescent="0.2">
      <c r="A791" s="425"/>
      <c r="B791" s="425"/>
      <c r="C791" s="426"/>
      <c r="D791" s="325" t="s">
        <v>1318</v>
      </c>
      <c r="E791" s="221">
        <v>1</v>
      </c>
      <c r="F791" s="170">
        <v>221913</v>
      </c>
      <c r="G791" s="430">
        <v>17</v>
      </c>
      <c r="H791" s="202">
        <v>7</v>
      </c>
      <c r="I791" s="463">
        <v>-24</v>
      </c>
      <c r="J791" s="202"/>
      <c r="K791" s="202"/>
      <c r="L791" s="202"/>
      <c r="M791" s="411"/>
      <c r="N791" s="411"/>
      <c r="O791" s="411"/>
      <c r="P791" s="411"/>
      <c r="Q791" s="411">
        <f>SUM(G791:P791)</f>
        <v>0</v>
      </c>
      <c r="R791" s="760" t="s">
        <v>1490</v>
      </c>
    </row>
    <row r="792" spans="1:18" ht="15.95" customHeight="1" x14ac:dyDescent="0.2">
      <c r="A792" s="775"/>
      <c r="B792" s="775"/>
      <c r="C792" s="776"/>
      <c r="D792" s="777" t="s">
        <v>1434</v>
      </c>
      <c r="E792" s="712">
        <v>1</v>
      </c>
      <c r="F792" s="724">
        <v>221962</v>
      </c>
      <c r="G792" s="719"/>
      <c r="H792" s="713"/>
      <c r="I792" s="713"/>
      <c r="J792" s="713"/>
      <c r="K792" s="713"/>
      <c r="L792" s="713"/>
      <c r="M792" s="719"/>
      <c r="N792" s="719"/>
      <c r="O792" s="712"/>
      <c r="P792" s="712"/>
      <c r="Q792" s="712"/>
      <c r="R792" s="760"/>
    </row>
    <row r="793" spans="1:18" ht="24" customHeight="1" x14ac:dyDescent="0.2">
      <c r="A793" s="425"/>
      <c r="B793" s="425"/>
      <c r="C793" s="426"/>
      <c r="D793" s="169" t="s">
        <v>1319</v>
      </c>
      <c r="E793" s="221">
        <v>2</v>
      </c>
      <c r="F793" s="170">
        <v>221914</v>
      </c>
      <c r="G793" s="430"/>
      <c r="H793" s="202"/>
      <c r="I793" s="202"/>
      <c r="J793" s="202"/>
      <c r="K793" s="202"/>
      <c r="L793" s="202"/>
      <c r="M793" s="411"/>
      <c r="N793" s="411"/>
      <c r="O793" s="411"/>
      <c r="P793" s="411"/>
      <c r="Q793" s="411">
        <f>SUM(G793:P793)</f>
        <v>0</v>
      </c>
      <c r="R793" s="760"/>
    </row>
    <row r="794" spans="1:18" ht="24" customHeight="1" x14ac:dyDescent="0.2">
      <c r="A794" s="425"/>
      <c r="B794" s="425"/>
      <c r="C794" s="426"/>
      <c r="D794" s="171" t="s">
        <v>1320</v>
      </c>
      <c r="E794" s="221">
        <v>2</v>
      </c>
      <c r="F794" s="230">
        <v>221955</v>
      </c>
      <c r="G794" s="430"/>
      <c r="H794" s="202"/>
      <c r="I794" s="202"/>
      <c r="J794" s="202"/>
      <c r="K794" s="202"/>
      <c r="L794" s="202"/>
      <c r="M794" s="411"/>
      <c r="N794" s="411"/>
      <c r="O794" s="411"/>
      <c r="P794" s="411"/>
      <c r="Q794" s="411">
        <f>SUM(G794:P794)</f>
        <v>0</v>
      </c>
      <c r="R794" s="760"/>
    </row>
    <row r="795" spans="1:18" ht="15.95" customHeight="1" x14ac:dyDescent="0.2">
      <c r="A795" s="425"/>
      <c r="B795" s="425"/>
      <c r="C795" s="426"/>
      <c r="D795" s="314" t="s">
        <v>1321</v>
      </c>
      <c r="E795" s="208"/>
      <c r="F795" s="208"/>
      <c r="G795" s="205"/>
      <c r="H795" s="202"/>
      <c r="I795" s="202"/>
      <c r="J795" s="202"/>
      <c r="K795" s="202"/>
      <c r="L795" s="202"/>
      <c r="M795" s="205"/>
      <c r="N795" s="205"/>
      <c r="O795" s="170"/>
      <c r="P795" s="170"/>
      <c r="Q795" s="170"/>
      <c r="R795" s="760"/>
    </row>
    <row r="796" spans="1:18" ht="15.95" customHeight="1" x14ac:dyDescent="0.2">
      <c r="A796" s="425"/>
      <c r="B796" s="425"/>
      <c r="C796" s="426"/>
      <c r="D796" s="314" t="s">
        <v>1322</v>
      </c>
      <c r="E796" s="170">
        <v>2</v>
      </c>
      <c r="F796" s="170">
        <v>191151</v>
      </c>
      <c r="G796" s="221"/>
      <c r="H796" s="202"/>
      <c r="I796" s="202"/>
      <c r="J796" s="202"/>
      <c r="K796" s="202"/>
      <c r="L796" s="202"/>
      <c r="M796" s="221"/>
      <c r="N796" s="221"/>
      <c r="O796" s="170"/>
      <c r="P796" s="170"/>
      <c r="Q796" s="170">
        <f>SUM(G796:P796)</f>
        <v>0</v>
      </c>
      <c r="R796" s="760"/>
    </row>
    <row r="797" spans="1:18" ht="30.75" customHeight="1" x14ac:dyDescent="0.2">
      <c r="A797" s="425"/>
      <c r="B797" s="425"/>
      <c r="C797" s="426"/>
      <c r="D797" s="172" t="s">
        <v>528</v>
      </c>
      <c r="E797" s="221"/>
      <c r="F797" s="230"/>
      <c r="G797" s="430"/>
      <c r="H797" s="202"/>
      <c r="I797" s="202"/>
      <c r="J797" s="202"/>
      <c r="K797" s="202"/>
      <c r="L797" s="202"/>
      <c r="M797" s="411"/>
      <c r="N797" s="411"/>
      <c r="O797" s="411"/>
      <c r="P797" s="411"/>
      <c r="Q797" s="411"/>
      <c r="R797" s="760"/>
    </row>
    <row r="798" spans="1:18" ht="24" customHeight="1" x14ac:dyDescent="0.2">
      <c r="A798" s="425"/>
      <c r="B798" s="425"/>
      <c r="C798" s="426"/>
      <c r="D798" s="172" t="s">
        <v>1360</v>
      </c>
      <c r="E798" s="221">
        <v>2</v>
      </c>
      <c r="F798" s="230">
        <v>221942</v>
      </c>
      <c r="G798" s="430"/>
      <c r="H798" s="202"/>
      <c r="I798" s="202">
        <v>-10000</v>
      </c>
      <c r="J798" s="202"/>
      <c r="K798" s="202"/>
      <c r="L798" s="202"/>
      <c r="M798" s="411"/>
      <c r="N798" s="411"/>
      <c r="O798" s="411"/>
      <c r="P798" s="411"/>
      <c r="Q798" s="411">
        <f t="shared" ref="Q798:Q811" si="49">SUM(G798:P798)</f>
        <v>-10000</v>
      </c>
      <c r="R798" s="760" t="s">
        <v>1491</v>
      </c>
    </row>
    <row r="799" spans="1:18" ht="18.75" customHeight="1" x14ac:dyDescent="0.2">
      <c r="A799" s="425"/>
      <c r="B799" s="425"/>
      <c r="C799" s="426"/>
      <c r="D799" s="172" t="s">
        <v>1371</v>
      </c>
      <c r="E799" s="221">
        <v>2</v>
      </c>
      <c r="F799" s="607">
        <v>221961</v>
      </c>
      <c r="G799" s="430"/>
      <c r="H799" s="202"/>
      <c r="I799" s="202">
        <v>6500</v>
      </c>
      <c r="J799" s="202"/>
      <c r="K799" s="202"/>
      <c r="L799" s="202"/>
      <c r="M799" s="411"/>
      <c r="N799" s="411"/>
      <c r="O799" s="411"/>
      <c r="P799" s="411"/>
      <c r="Q799" s="411">
        <f t="shared" si="49"/>
        <v>6500</v>
      </c>
      <c r="R799" s="760" t="s">
        <v>1490</v>
      </c>
    </row>
    <row r="800" spans="1:18" ht="24" hidden="1" customHeight="1" x14ac:dyDescent="0.2">
      <c r="A800" s="425"/>
      <c r="B800" s="425"/>
      <c r="C800" s="426"/>
      <c r="D800" s="172" t="s">
        <v>1323</v>
      </c>
      <c r="E800" s="221">
        <v>2</v>
      </c>
      <c r="F800" s="230">
        <v>221910</v>
      </c>
      <c r="G800" s="430"/>
      <c r="H800" s="202"/>
      <c r="I800" s="202"/>
      <c r="J800" s="202"/>
      <c r="K800" s="202"/>
      <c r="L800" s="202"/>
      <c r="M800" s="411"/>
      <c r="N800" s="411"/>
      <c r="O800" s="411"/>
      <c r="P800" s="411"/>
      <c r="Q800" s="411">
        <f t="shared" si="49"/>
        <v>0</v>
      </c>
      <c r="R800" s="760"/>
    </row>
    <row r="801" spans="1:18" ht="19.5" customHeight="1" x14ac:dyDescent="0.2">
      <c r="A801" s="907"/>
      <c r="B801" s="907"/>
      <c r="C801" s="908"/>
      <c r="D801" s="909" t="s">
        <v>1492</v>
      </c>
      <c r="E801" s="850">
        <v>2</v>
      </c>
      <c r="F801" s="861">
        <v>221911</v>
      </c>
      <c r="G801" s="910"/>
      <c r="H801" s="863"/>
      <c r="I801" s="863">
        <v>4000</v>
      </c>
      <c r="J801" s="863"/>
      <c r="K801" s="863"/>
      <c r="L801" s="863"/>
      <c r="M801" s="911"/>
      <c r="N801" s="911"/>
      <c r="O801" s="911"/>
      <c r="P801" s="911"/>
      <c r="Q801" s="411">
        <f t="shared" si="49"/>
        <v>4000</v>
      </c>
      <c r="R801" s="852" t="s">
        <v>1490</v>
      </c>
    </row>
    <row r="802" spans="1:18" ht="38.25" hidden="1" x14ac:dyDescent="0.2">
      <c r="A802" s="425"/>
      <c r="B802" s="425"/>
      <c r="C802" s="426"/>
      <c r="D802" s="245" t="s">
        <v>1324</v>
      </c>
      <c r="E802" s="221">
        <v>2</v>
      </c>
      <c r="F802" s="230">
        <v>221919</v>
      </c>
      <c r="G802" s="430"/>
      <c r="H802" s="202"/>
      <c r="I802" s="202"/>
      <c r="J802" s="202"/>
      <c r="K802" s="202"/>
      <c r="L802" s="202"/>
      <c r="M802" s="411"/>
      <c r="N802" s="411"/>
      <c r="O802" s="411"/>
      <c r="P802" s="411"/>
      <c r="Q802" s="411">
        <f t="shared" si="49"/>
        <v>0</v>
      </c>
      <c r="R802" s="760"/>
    </row>
    <row r="803" spans="1:18" ht="29.25" hidden="1" customHeight="1" x14ac:dyDescent="0.2">
      <c r="A803" s="425"/>
      <c r="B803" s="425"/>
      <c r="C803" s="426"/>
      <c r="D803" s="245" t="s">
        <v>1325</v>
      </c>
      <c r="E803" s="221">
        <v>2</v>
      </c>
      <c r="F803" s="230">
        <v>221938</v>
      </c>
      <c r="G803" s="430"/>
      <c r="H803" s="202"/>
      <c r="I803" s="202"/>
      <c r="J803" s="202"/>
      <c r="K803" s="202"/>
      <c r="L803" s="202"/>
      <c r="M803" s="411"/>
      <c r="N803" s="411"/>
      <c r="O803" s="411"/>
      <c r="P803" s="411"/>
      <c r="Q803" s="411">
        <f t="shared" si="49"/>
        <v>0</v>
      </c>
      <c r="R803" s="760"/>
    </row>
    <row r="804" spans="1:18" ht="16.5" customHeight="1" x14ac:dyDescent="0.2">
      <c r="A804" s="425"/>
      <c r="B804" s="425"/>
      <c r="C804" s="426"/>
      <c r="D804" s="275" t="s">
        <v>1392</v>
      </c>
      <c r="E804" s="176">
        <v>2</v>
      </c>
      <c r="F804" s="170">
        <v>121518</v>
      </c>
      <c r="G804" s="430"/>
      <c r="H804" s="202"/>
      <c r="I804" s="202"/>
      <c r="J804" s="202"/>
      <c r="K804" s="202">
        <v>800</v>
      </c>
      <c r="L804" s="202"/>
      <c r="M804" s="411"/>
      <c r="N804" s="411"/>
      <c r="O804" s="411"/>
      <c r="P804" s="411"/>
      <c r="Q804" s="411">
        <f t="shared" si="49"/>
        <v>800</v>
      </c>
      <c r="R804" s="760" t="s">
        <v>1489</v>
      </c>
    </row>
    <row r="805" spans="1:18" ht="15" hidden="1" customHeight="1" x14ac:dyDescent="0.2">
      <c r="A805" s="425"/>
      <c r="B805" s="425"/>
      <c r="C805" s="426"/>
      <c r="D805" s="169" t="s">
        <v>1326</v>
      </c>
      <c r="E805" s="221">
        <v>2</v>
      </c>
      <c r="F805" s="230">
        <v>221931</v>
      </c>
      <c r="G805" s="430"/>
      <c r="H805" s="202"/>
      <c r="I805" s="202"/>
      <c r="J805" s="202"/>
      <c r="K805" s="202"/>
      <c r="L805" s="202"/>
      <c r="M805" s="411"/>
      <c r="N805" s="411"/>
      <c r="O805" s="411"/>
      <c r="P805" s="411"/>
      <c r="Q805" s="411">
        <f t="shared" si="49"/>
        <v>0</v>
      </c>
      <c r="R805" s="760"/>
    </row>
    <row r="806" spans="1:18" ht="26.25" hidden="1" customHeight="1" x14ac:dyDescent="0.2">
      <c r="A806" s="425"/>
      <c r="B806" s="425"/>
      <c r="C806" s="426"/>
      <c r="D806" s="169" t="s">
        <v>1327</v>
      </c>
      <c r="E806" s="221">
        <v>2</v>
      </c>
      <c r="F806" s="230">
        <v>221957</v>
      </c>
      <c r="G806" s="430"/>
      <c r="H806" s="202"/>
      <c r="I806" s="202"/>
      <c r="J806" s="202"/>
      <c r="K806" s="202"/>
      <c r="L806" s="202"/>
      <c r="M806" s="411"/>
      <c r="N806" s="411"/>
      <c r="O806" s="411"/>
      <c r="P806" s="411"/>
      <c r="Q806" s="411">
        <f t="shared" si="49"/>
        <v>0</v>
      </c>
      <c r="R806" s="760"/>
    </row>
    <row r="807" spans="1:18" ht="25.5" customHeight="1" x14ac:dyDescent="0.2">
      <c r="A807" s="425"/>
      <c r="B807" s="425"/>
      <c r="C807" s="426"/>
      <c r="D807" s="245" t="s">
        <v>1395</v>
      </c>
      <c r="E807" s="221">
        <v>2</v>
      </c>
      <c r="F807" s="230">
        <v>221915</v>
      </c>
      <c r="G807" s="430"/>
      <c r="H807" s="202"/>
      <c r="I807" s="202"/>
      <c r="J807" s="202"/>
      <c r="K807" s="202">
        <v>-2500</v>
      </c>
      <c r="L807" s="202"/>
      <c r="M807" s="411"/>
      <c r="N807" s="411"/>
      <c r="O807" s="411"/>
      <c r="P807" s="411"/>
      <c r="Q807" s="411">
        <f t="shared" si="49"/>
        <v>-2500</v>
      </c>
      <c r="R807" s="760" t="s">
        <v>1489</v>
      </c>
    </row>
    <row r="808" spans="1:18" ht="19.5" hidden="1" customHeight="1" x14ac:dyDescent="0.2">
      <c r="A808" s="425"/>
      <c r="B808" s="425"/>
      <c r="C808" s="426"/>
      <c r="D808" s="245" t="s">
        <v>1328</v>
      </c>
      <c r="E808" s="221">
        <v>2</v>
      </c>
      <c r="F808" s="230">
        <v>221958</v>
      </c>
      <c r="G808" s="430"/>
      <c r="H808" s="202"/>
      <c r="I808" s="202"/>
      <c r="J808" s="202"/>
      <c r="K808" s="202"/>
      <c r="L808" s="202"/>
      <c r="M808" s="411"/>
      <c r="N808" s="411"/>
      <c r="O808" s="411"/>
      <c r="P808" s="411"/>
      <c r="Q808" s="411">
        <f t="shared" si="49"/>
        <v>0</v>
      </c>
      <c r="R808" s="760"/>
    </row>
    <row r="809" spans="1:18" ht="19.5" hidden="1" customHeight="1" x14ac:dyDescent="0.2">
      <c r="A809" s="425"/>
      <c r="B809" s="425"/>
      <c r="C809" s="426"/>
      <c r="D809" s="245" t="s">
        <v>1393</v>
      </c>
      <c r="E809" s="221">
        <v>2</v>
      </c>
      <c r="F809" s="230">
        <v>221944</v>
      </c>
      <c r="G809" s="430"/>
      <c r="H809" s="202"/>
      <c r="I809" s="202"/>
      <c r="J809" s="202"/>
      <c r="K809" s="202"/>
      <c r="L809" s="202"/>
      <c r="M809" s="411"/>
      <c r="N809" s="411"/>
      <c r="O809" s="411"/>
      <c r="P809" s="411"/>
      <c r="Q809" s="411">
        <f t="shared" si="49"/>
        <v>0</v>
      </c>
      <c r="R809" s="760"/>
    </row>
    <row r="810" spans="1:18" ht="25.5" hidden="1" customHeight="1" x14ac:dyDescent="0.2">
      <c r="A810" s="425"/>
      <c r="B810" s="425"/>
      <c r="C810" s="426"/>
      <c r="D810" s="309" t="s">
        <v>1329</v>
      </c>
      <c r="E810" s="221">
        <v>2</v>
      </c>
      <c r="F810" s="230">
        <v>221959</v>
      </c>
      <c r="G810" s="430"/>
      <c r="H810" s="202"/>
      <c r="I810" s="202"/>
      <c r="J810" s="202"/>
      <c r="K810" s="202"/>
      <c r="L810" s="202"/>
      <c r="M810" s="411"/>
      <c r="N810" s="411"/>
      <c r="O810" s="411"/>
      <c r="P810" s="411"/>
      <c r="Q810" s="411">
        <f t="shared" si="49"/>
        <v>0</v>
      </c>
      <c r="R810" s="760"/>
    </row>
    <row r="811" spans="1:18" ht="18.75" hidden="1" customHeight="1" x14ac:dyDescent="0.2">
      <c r="A811" s="425"/>
      <c r="B811" s="425"/>
      <c r="C811" s="426"/>
      <c r="D811" s="309" t="s">
        <v>1330</v>
      </c>
      <c r="E811" s="221">
        <v>2</v>
      </c>
      <c r="F811" s="230">
        <v>221960</v>
      </c>
      <c r="G811" s="430"/>
      <c r="H811" s="202"/>
      <c r="I811" s="202"/>
      <c r="J811" s="202"/>
      <c r="K811" s="202"/>
      <c r="L811" s="202"/>
      <c r="M811" s="411"/>
      <c r="N811" s="411"/>
      <c r="O811" s="411"/>
      <c r="P811" s="411"/>
      <c r="Q811" s="411">
        <f t="shared" si="49"/>
        <v>0</v>
      </c>
      <c r="R811" s="760"/>
    </row>
    <row r="812" spans="1:18" ht="14.1" customHeight="1" x14ac:dyDescent="0.2">
      <c r="A812" s="223"/>
      <c r="B812" s="223"/>
      <c r="C812" s="224"/>
      <c r="D812" s="339" t="s">
        <v>1331</v>
      </c>
      <c r="E812" s="436"/>
      <c r="F812" s="226"/>
      <c r="G812" s="437">
        <f t="shared" ref="G812:Q812" si="50">SUM(G768:G811)</f>
        <v>17</v>
      </c>
      <c r="H812" s="437">
        <f t="shared" si="50"/>
        <v>7</v>
      </c>
      <c r="I812" s="437">
        <f t="shared" si="50"/>
        <v>-11000</v>
      </c>
      <c r="J812" s="437">
        <f t="shared" si="50"/>
        <v>0</v>
      </c>
      <c r="K812" s="437">
        <f t="shared" si="50"/>
        <v>-312</v>
      </c>
      <c r="L812" s="437">
        <f t="shared" si="50"/>
        <v>4728</v>
      </c>
      <c r="M812" s="437">
        <f t="shared" si="50"/>
        <v>0</v>
      </c>
      <c r="N812" s="437">
        <f t="shared" si="50"/>
        <v>1620</v>
      </c>
      <c r="O812" s="437">
        <f t="shared" si="50"/>
        <v>0</v>
      </c>
      <c r="P812" s="437">
        <f t="shared" si="50"/>
        <v>0</v>
      </c>
      <c r="Q812" s="437">
        <f t="shared" si="50"/>
        <v>-4940</v>
      </c>
      <c r="R812" s="761"/>
    </row>
    <row r="813" spans="1:18" ht="14.1" customHeight="1" x14ac:dyDescent="0.2">
      <c r="A813" s="229"/>
      <c r="B813" s="229"/>
      <c r="C813" s="229"/>
      <c r="D813" s="438" t="s">
        <v>1332</v>
      </c>
      <c r="E813" s="404"/>
      <c r="F813" s="232"/>
      <c r="G813" s="287"/>
      <c r="H813" s="287"/>
      <c r="I813" s="287"/>
      <c r="J813" s="287"/>
      <c r="K813" s="287"/>
      <c r="L813" s="287"/>
      <c r="M813" s="287"/>
      <c r="N813" s="287"/>
      <c r="O813" s="287"/>
      <c r="P813" s="287"/>
      <c r="Q813" s="287"/>
      <c r="R813" s="760"/>
    </row>
    <row r="814" spans="1:18" ht="15" hidden="1" customHeight="1" x14ac:dyDescent="0.2">
      <c r="A814" s="229"/>
      <c r="B814" s="229"/>
      <c r="C814" s="284" t="s">
        <v>125</v>
      </c>
      <c r="D814" s="245" t="s">
        <v>1369</v>
      </c>
      <c r="E814" s="293"/>
      <c r="F814" s="230">
        <v>222923</v>
      </c>
      <c r="G814" s="287"/>
      <c r="H814" s="287"/>
      <c r="I814" s="221"/>
      <c r="J814" s="287"/>
      <c r="K814" s="287"/>
      <c r="L814" s="221"/>
      <c r="M814" s="287"/>
      <c r="N814" s="287"/>
      <c r="O814" s="287"/>
      <c r="P814" s="287"/>
      <c r="Q814" s="221">
        <f>SUM(I814:P814)</f>
        <v>0</v>
      </c>
      <c r="R814" s="760"/>
    </row>
    <row r="815" spans="1:18" ht="21" customHeight="1" x14ac:dyDescent="0.2">
      <c r="A815" s="229"/>
      <c r="B815" s="229"/>
      <c r="C815" s="284" t="s">
        <v>124</v>
      </c>
      <c r="D815" s="245" t="s">
        <v>1333</v>
      </c>
      <c r="E815" s="293"/>
      <c r="F815" s="230">
        <v>222924</v>
      </c>
      <c r="G815" s="287"/>
      <c r="H815" s="287"/>
      <c r="I815" s="221"/>
      <c r="J815" s="287"/>
      <c r="K815" s="287"/>
      <c r="L815" s="221"/>
      <c r="M815" s="287"/>
      <c r="N815" s="221">
        <v>-4000</v>
      </c>
      <c r="O815" s="287"/>
      <c r="P815" s="287"/>
      <c r="Q815" s="221">
        <f>SUM(I815:P815)</f>
        <v>-4000</v>
      </c>
      <c r="R815" s="760" t="s">
        <v>1489</v>
      </c>
    </row>
    <row r="816" spans="1:18" ht="14.1" hidden="1" customHeight="1" x14ac:dyDescent="0.2">
      <c r="A816" s="229"/>
      <c r="B816" s="229"/>
      <c r="C816" s="229"/>
      <c r="D816" s="314" t="s">
        <v>502</v>
      </c>
      <c r="E816" s="404"/>
      <c r="F816" s="232"/>
      <c r="G816" s="287"/>
      <c r="H816" s="287"/>
      <c r="I816" s="287"/>
      <c r="J816" s="287"/>
      <c r="K816" s="287"/>
      <c r="L816" s="287"/>
      <c r="M816" s="287"/>
      <c r="N816" s="287"/>
      <c r="O816" s="287"/>
      <c r="P816" s="287"/>
      <c r="Q816" s="221"/>
      <c r="R816" s="760"/>
    </row>
    <row r="817" spans="1:18" ht="25.5" hidden="1" customHeight="1" x14ac:dyDescent="0.2">
      <c r="A817" s="229"/>
      <c r="B817" s="229"/>
      <c r="C817" s="363" t="s">
        <v>1334</v>
      </c>
      <c r="D817" s="171" t="s">
        <v>1335</v>
      </c>
      <c r="E817" s="404"/>
      <c r="F817" s="213">
        <v>222902</v>
      </c>
      <c r="G817" s="287"/>
      <c r="H817" s="287"/>
      <c r="I817" s="287"/>
      <c r="J817" s="287"/>
      <c r="K817" s="287"/>
      <c r="L817" s="221"/>
      <c r="M817" s="287"/>
      <c r="N817" s="287"/>
      <c r="O817" s="287"/>
      <c r="P817" s="287"/>
      <c r="Q817" s="221">
        <f>SUM(L817:P817)</f>
        <v>0</v>
      </c>
      <c r="R817" s="760"/>
    </row>
    <row r="818" spans="1:18" ht="18" hidden="1" customHeight="1" x14ac:dyDescent="0.2">
      <c r="A818" s="229"/>
      <c r="B818" s="229"/>
      <c r="C818" s="363" t="s">
        <v>1334</v>
      </c>
      <c r="D818" s="245" t="s">
        <v>1336</v>
      </c>
      <c r="E818" s="293"/>
      <c r="F818" s="230">
        <v>222922</v>
      </c>
      <c r="G818" s="287"/>
      <c r="H818" s="287"/>
      <c r="I818" s="287"/>
      <c r="J818" s="287"/>
      <c r="K818" s="287"/>
      <c r="L818" s="221"/>
      <c r="M818" s="287"/>
      <c r="N818" s="287"/>
      <c r="O818" s="287"/>
      <c r="P818" s="287"/>
      <c r="Q818" s="221">
        <f>SUM(L818:P818)</f>
        <v>0</v>
      </c>
      <c r="R818" s="760"/>
    </row>
    <row r="819" spans="1:18" ht="18" hidden="1" customHeight="1" x14ac:dyDescent="0.2">
      <c r="A819" s="229"/>
      <c r="B819" s="229"/>
      <c r="C819" s="363" t="s">
        <v>1334</v>
      </c>
      <c r="D819" s="439" t="s">
        <v>1337</v>
      </c>
      <c r="E819" s="348"/>
      <c r="F819" s="440">
        <v>222904</v>
      </c>
      <c r="G819" s="287"/>
      <c r="H819" s="287"/>
      <c r="I819" s="287"/>
      <c r="J819" s="287"/>
      <c r="K819" s="287"/>
      <c r="L819" s="287"/>
      <c r="M819" s="287"/>
      <c r="N819" s="221"/>
      <c r="O819" s="221"/>
      <c r="P819" s="221"/>
      <c r="Q819" s="221">
        <f>SUM(G819:P819)</f>
        <v>0</v>
      </c>
      <c r="R819" s="760"/>
    </row>
    <row r="820" spans="1:18" ht="18" customHeight="1" x14ac:dyDescent="0.2">
      <c r="A820" s="223"/>
      <c r="B820" s="223"/>
      <c r="C820" s="224"/>
      <c r="D820" s="182" t="s">
        <v>1338</v>
      </c>
      <c r="E820" s="436"/>
      <c r="F820" s="226"/>
      <c r="G820" s="437">
        <f t="shared" ref="G820:Q820" si="51">SUM(G812:G819)</f>
        <v>17</v>
      </c>
      <c r="H820" s="437">
        <f t="shared" si="51"/>
        <v>7</v>
      </c>
      <c r="I820" s="437">
        <f t="shared" si="51"/>
        <v>-11000</v>
      </c>
      <c r="J820" s="437">
        <f t="shared" si="51"/>
        <v>0</v>
      </c>
      <c r="K820" s="437">
        <f t="shared" si="51"/>
        <v>-312</v>
      </c>
      <c r="L820" s="437">
        <f t="shared" si="51"/>
        <v>4728</v>
      </c>
      <c r="M820" s="437">
        <f t="shared" si="51"/>
        <v>0</v>
      </c>
      <c r="N820" s="437">
        <f t="shared" si="51"/>
        <v>-2380</v>
      </c>
      <c r="O820" s="437">
        <f t="shared" si="51"/>
        <v>0</v>
      </c>
      <c r="P820" s="437">
        <f t="shared" si="51"/>
        <v>0</v>
      </c>
      <c r="Q820" s="437">
        <f t="shared" si="51"/>
        <v>-8940</v>
      </c>
      <c r="R820" s="761"/>
    </row>
    <row r="821" spans="1:18" ht="17.25" customHeight="1" x14ac:dyDescent="0.2">
      <c r="A821" s="229">
        <v>1</v>
      </c>
      <c r="B821" s="229">
        <v>30</v>
      </c>
      <c r="C821" s="284"/>
      <c r="D821" s="307" t="s">
        <v>1339</v>
      </c>
      <c r="E821" s="230"/>
      <c r="F821" s="230"/>
      <c r="G821" s="170"/>
      <c r="H821" s="202"/>
      <c r="I821" s="202"/>
      <c r="J821" s="202"/>
      <c r="K821" s="202"/>
      <c r="L821" s="202"/>
      <c r="M821" s="170"/>
      <c r="N821" s="170"/>
      <c r="O821" s="170"/>
      <c r="P821" s="170"/>
      <c r="Q821" s="170"/>
      <c r="R821" s="760"/>
    </row>
    <row r="822" spans="1:18" ht="16.5" customHeight="1" x14ac:dyDescent="0.2">
      <c r="A822" s="229"/>
      <c r="B822" s="229">
        <v>31</v>
      </c>
      <c r="C822" s="284"/>
      <c r="D822" s="307" t="s">
        <v>1340</v>
      </c>
      <c r="E822" s="170">
        <v>1</v>
      </c>
      <c r="F822" s="230">
        <v>311901</v>
      </c>
      <c r="G822" s="221"/>
      <c r="H822" s="202"/>
      <c r="I822" s="202"/>
      <c r="J822" s="202"/>
      <c r="K822" s="202">
        <v>-2000</v>
      </c>
      <c r="L822" s="202"/>
      <c r="M822" s="221"/>
      <c r="N822" s="221"/>
      <c r="O822" s="233"/>
      <c r="P822" s="233"/>
      <c r="Q822" s="170">
        <f>SUM(K822:P822)</f>
        <v>-2000</v>
      </c>
      <c r="R822" s="760" t="s">
        <v>1489</v>
      </c>
    </row>
    <row r="823" spans="1:18" ht="17.25" customHeight="1" x14ac:dyDescent="0.2">
      <c r="A823" s="197"/>
      <c r="B823" s="197">
        <v>32</v>
      </c>
      <c r="C823" s="217"/>
      <c r="D823" s="307" t="s">
        <v>1341</v>
      </c>
      <c r="E823" s="170"/>
      <c r="F823" s="230"/>
      <c r="G823" s="221"/>
      <c r="H823" s="202"/>
      <c r="I823" s="202"/>
      <c r="J823" s="202"/>
      <c r="K823" s="202"/>
      <c r="L823" s="202"/>
      <c r="M823" s="221"/>
      <c r="N823" s="221"/>
      <c r="O823" s="170"/>
      <c r="P823" s="170"/>
      <c r="Q823" s="170"/>
      <c r="R823" s="760"/>
    </row>
    <row r="824" spans="1:18" ht="18" customHeight="1" x14ac:dyDescent="0.2">
      <c r="A824" s="197"/>
      <c r="B824" s="197"/>
      <c r="C824" s="217"/>
      <c r="D824" s="314" t="s">
        <v>1394</v>
      </c>
      <c r="E824" s="170">
        <v>1</v>
      </c>
      <c r="F824" s="170">
        <v>321907</v>
      </c>
      <c r="G824" s="221"/>
      <c r="H824" s="202"/>
      <c r="I824" s="202"/>
      <c r="J824" s="202"/>
      <c r="K824" s="202">
        <v>-35000</v>
      </c>
      <c r="L824" s="202"/>
      <c r="M824" s="221"/>
      <c r="N824" s="221"/>
      <c r="O824" s="170"/>
      <c r="P824" s="170"/>
      <c r="Q824" s="170">
        <f t="shared" ref="Q824:Q830" si="52">SUM(K824:P824)</f>
        <v>-35000</v>
      </c>
      <c r="R824" s="760" t="s">
        <v>1489</v>
      </c>
    </row>
    <row r="825" spans="1:18" ht="15.75" customHeight="1" x14ac:dyDescent="0.2">
      <c r="A825" s="441"/>
      <c r="B825" s="441"/>
      <c r="C825" s="441"/>
      <c r="D825" s="442" t="s">
        <v>1342</v>
      </c>
      <c r="E825" s="443">
        <v>1</v>
      </c>
      <c r="F825" s="444">
        <v>321903</v>
      </c>
      <c r="G825" s="443"/>
      <c r="H825" s="202"/>
      <c r="I825" s="202"/>
      <c r="J825" s="202"/>
      <c r="K825" s="202">
        <v>6671</v>
      </c>
      <c r="L825" s="202"/>
      <c r="M825" s="443"/>
      <c r="N825" s="443"/>
      <c r="O825" s="445"/>
      <c r="P825" s="445"/>
      <c r="Q825" s="170">
        <f t="shared" si="52"/>
        <v>6671</v>
      </c>
      <c r="R825" s="760" t="s">
        <v>1489</v>
      </c>
    </row>
    <row r="826" spans="1:18" ht="17.25" customHeight="1" x14ac:dyDescent="0.2">
      <c r="A826" s="197"/>
      <c r="B826" s="197"/>
      <c r="C826" s="217"/>
      <c r="D826" s="314" t="s">
        <v>1343</v>
      </c>
      <c r="E826" s="208">
        <v>1</v>
      </c>
      <c r="F826" s="170">
        <v>321908</v>
      </c>
      <c r="G826" s="221"/>
      <c r="H826" s="202"/>
      <c r="I826" s="202"/>
      <c r="J826" s="202"/>
      <c r="K826" s="202">
        <v>-2966</v>
      </c>
      <c r="L826" s="202"/>
      <c r="M826" s="221"/>
      <c r="N826" s="221"/>
      <c r="O826" s="170"/>
      <c r="P826" s="170"/>
      <c r="Q826" s="170">
        <f t="shared" si="52"/>
        <v>-2966</v>
      </c>
      <c r="R826" s="760" t="s">
        <v>1489</v>
      </c>
    </row>
    <row r="827" spans="1:18" ht="24" customHeight="1" x14ac:dyDescent="0.2">
      <c r="A827" s="197"/>
      <c r="B827" s="197"/>
      <c r="C827" s="217"/>
      <c r="D827" s="398" t="s">
        <v>1344</v>
      </c>
      <c r="E827" s="241">
        <v>1</v>
      </c>
      <c r="F827" s="250">
        <v>321933</v>
      </c>
      <c r="G827" s="170"/>
      <c r="H827" s="202"/>
      <c r="I827" s="202"/>
      <c r="J827" s="202"/>
      <c r="K827" s="202">
        <v>-69074</v>
      </c>
      <c r="L827" s="202"/>
      <c r="M827" s="170"/>
      <c r="N827" s="170"/>
      <c r="O827" s="170"/>
      <c r="P827" s="170"/>
      <c r="Q827" s="170">
        <f t="shared" si="52"/>
        <v>-69074</v>
      </c>
      <c r="R827" s="760" t="s">
        <v>1489</v>
      </c>
    </row>
    <row r="828" spans="1:18" ht="18" hidden="1" customHeight="1" x14ac:dyDescent="0.2">
      <c r="A828" s="197"/>
      <c r="B828" s="197"/>
      <c r="C828" s="217"/>
      <c r="D828" s="446" t="s">
        <v>1345</v>
      </c>
      <c r="E828" s="241">
        <v>1</v>
      </c>
      <c r="F828" s="250">
        <v>321934</v>
      </c>
      <c r="G828" s="170"/>
      <c r="H828" s="202"/>
      <c r="I828" s="202"/>
      <c r="J828" s="202"/>
      <c r="K828" s="202"/>
      <c r="L828" s="202"/>
      <c r="M828" s="170"/>
      <c r="N828" s="170"/>
      <c r="O828" s="170"/>
      <c r="P828" s="170"/>
      <c r="Q828" s="170">
        <f t="shared" si="52"/>
        <v>0</v>
      </c>
      <c r="R828" s="760"/>
    </row>
    <row r="829" spans="1:18" ht="18" customHeight="1" x14ac:dyDescent="0.2">
      <c r="A829" s="197"/>
      <c r="B829" s="197"/>
      <c r="C829" s="217"/>
      <c r="D829" s="171" t="s">
        <v>1346</v>
      </c>
      <c r="E829" s="241">
        <v>1</v>
      </c>
      <c r="F829" s="250">
        <v>321911</v>
      </c>
      <c r="G829" s="170"/>
      <c r="H829" s="202"/>
      <c r="I829" s="202"/>
      <c r="J829" s="202"/>
      <c r="K829" s="202">
        <v>91727</v>
      </c>
      <c r="L829" s="202"/>
      <c r="M829" s="170"/>
      <c r="N829" s="170"/>
      <c r="O829" s="170"/>
      <c r="P829" s="170"/>
      <c r="Q829" s="170">
        <f t="shared" si="52"/>
        <v>91727</v>
      </c>
      <c r="R829" s="760" t="s">
        <v>1489</v>
      </c>
    </row>
    <row r="830" spans="1:18" ht="18" hidden="1" customHeight="1" x14ac:dyDescent="0.2">
      <c r="A830" s="197"/>
      <c r="B830" s="197"/>
      <c r="C830" s="217"/>
      <c r="D830" s="172" t="s">
        <v>1347</v>
      </c>
      <c r="E830" s="241">
        <v>1</v>
      </c>
      <c r="F830" s="250">
        <v>321909</v>
      </c>
      <c r="G830" s="170"/>
      <c r="H830" s="202"/>
      <c r="I830" s="202"/>
      <c r="J830" s="202"/>
      <c r="K830" s="202"/>
      <c r="L830" s="202"/>
      <c r="M830" s="170"/>
      <c r="N830" s="170"/>
      <c r="O830" s="170"/>
      <c r="P830" s="170"/>
      <c r="Q830" s="170">
        <f t="shared" si="52"/>
        <v>0</v>
      </c>
      <c r="R830" s="760"/>
    </row>
    <row r="831" spans="1:18" ht="18" customHeight="1" x14ac:dyDescent="0.2">
      <c r="A831" s="197"/>
      <c r="B831" s="197"/>
      <c r="C831" s="217"/>
      <c r="D831" s="318" t="s">
        <v>1348</v>
      </c>
      <c r="E831" s="170"/>
      <c r="F831" s="170"/>
      <c r="G831" s="170"/>
      <c r="H831" s="202"/>
      <c r="I831" s="202"/>
      <c r="J831" s="202"/>
      <c r="K831" s="202"/>
      <c r="L831" s="202"/>
      <c r="M831" s="170"/>
      <c r="N831" s="170"/>
      <c r="O831" s="170"/>
      <c r="P831" s="170"/>
      <c r="Q831" s="170"/>
      <c r="R831" s="760"/>
    </row>
    <row r="832" spans="1:18" ht="18" customHeight="1" x14ac:dyDescent="0.2">
      <c r="A832" s="197"/>
      <c r="B832" s="197"/>
      <c r="C832" s="217" t="s">
        <v>125</v>
      </c>
      <c r="D832" s="447" t="s">
        <v>1349</v>
      </c>
      <c r="E832" s="170">
        <v>1</v>
      </c>
      <c r="F832" s="170">
        <v>324902</v>
      </c>
      <c r="G832" s="170"/>
      <c r="H832" s="202"/>
      <c r="I832" s="202"/>
      <c r="J832" s="202"/>
      <c r="K832" s="202"/>
      <c r="L832" s="202"/>
      <c r="M832" s="170">
        <v>4420</v>
      </c>
      <c r="N832" s="170"/>
      <c r="O832" s="170"/>
      <c r="P832" s="170"/>
      <c r="Q832" s="170">
        <f>SUM(K832:P832)</f>
        <v>4420</v>
      </c>
      <c r="R832" s="760" t="s">
        <v>1489</v>
      </c>
    </row>
    <row r="833" spans="1:18" ht="24" hidden="1" customHeight="1" x14ac:dyDescent="0.2">
      <c r="A833" s="197"/>
      <c r="B833" s="197"/>
      <c r="C833" s="217" t="s">
        <v>124</v>
      </c>
      <c r="D833" s="448" t="s">
        <v>1350</v>
      </c>
      <c r="E833" s="170">
        <v>1</v>
      </c>
      <c r="F833" s="230">
        <v>322904</v>
      </c>
      <c r="G833" s="170"/>
      <c r="H833" s="202"/>
      <c r="I833" s="202"/>
      <c r="J833" s="202"/>
      <c r="K833" s="202"/>
      <c r="L833" s="202"/>
      <c r="M833" s="170"/>
      <c r="N833" s="170"/>
      <c r="O833" s="170"/>
      <c r="P833" s="170"/>
      <c r="Q833" s="170">
        <f>SUM(K833:P833)</f>
        <v>0</v>
      </c>
      <c r="R833" s="760"/>
    </row>
    <row r="834" spans="1:18" ht="15.95" customHeight="1" x14ac:dyDescent="0.2">
      <c r="A834" s="223"/>
      <c r="B834" s="223"/>
      <c r="C834" s="224"/>
      <c r="D834" s="182" t="s">
        <v>1351</v>
      </c>
      <c r="E834" s="226"/>
      <c r="F834" s="449"/>
      <c r="G834" s="450">
        <f t="shared" ref="G834:Q834" si="53">SUM(G822:G833)</f>
        <v>0</v>
      </c>
      <c r="H834" s="450">
        <f t="shared" si="53"/>
        <v>0</v>
      </c>
      <c r="I834" s="450">
        <f t="shared" si="53"/>
        <v>0</v>
      </c>
      <c r="J834" s="450">
        <f t="shared" si="53"/>
        <v>0</v>
      </c>
      <c r="K834" s="450">
        <f t="shared" si="53"/>
        <v>-10642</v>
      </c>
      <c r="L834" s="450">
        <f t="shared" si="53"/>
        <v>0</v>
      </c>
      <c r="M834" s="450">
        <f t="shared" si="53"/>
        <v>4420</v>
      </c>
      <c r="N834" s="450">
        <f t="shared" si="53"/>
        <v>0</v>
      </c>
      <c r="O834" s="450">
        <f t="shared" si="53"/>
        <v>0</v>
      </c>
      <c r="P834" s="450">
        <f t="shared" si="53"/>
        <v>0</v>
      </c>
      <c r="Q834" s="450">
        <f t="shared" si="53"/>
        <v>-6222</v>
      </c>
      <c r="R834" s="761"/>
    </row>
    <row r="835" spans="1:18" ht="21.75" customHeight="1" x14ac:dyDescent="0.2">
      <c r="A835" s="223"/>
      <c r="B835" s="223"/>
      <c r="C835" s="224"/>
      <c r="D835" s="183" t="s">
        <v>1352</v>
      </c>
      <c r="E835" s="451"/>
      <c r="F835" s="452"/>
      <c r="G835" s="453">
        <f t="shared" ref="G835:Q835" si="54">SUM(G45+G222+G234+G478+G677+G702+G726+G762+G820+G834+G765)</f>
        <v>-494</v>
      </c>
      <c r="H835" s="453">
        <f t="shared" si="54"/>
        <v>-197</v>
      </c>
      <c r="I835" s="453">
        <f t="shared" si="54"/>
        <v>81512</v>
      </c>
      <c r="J835" s="453">
        <f t="shared" si="54"/>
        <v>-1120</v>
      </c>
      <c r="K835" s="453">
        <f t="shared" si="54"/>
        <v>21135</v>
      </c>
      <c r="L835" s="453">
        <f t="shared" si="54"/>
        <v>400121</v>
      </c>
      <c r="M835" s="453">
        <f t="shared" si="54"/>
        <v>74994</v>
      </c>
      <c r="N835" s="453">
        <f t="shared" si="54"/>
        <v>138984</v>
      </c>
      <c r="O835" s="453">
        <f t="shared" si="54"/>
        <v>0</v>
      </c>
      <c r="P835" s="453">
        <f t="shared" si="54"/>
        <v>0</v>
      </c>
      <c r="Q835" s="453">
        <f t="shared" si="54"/>
        <v>714935</v>
      </c>
      <c r="R835" s="761"/>
    </row>
    <row r="836" spans="1:18" ht="15.95" customHeight="1" x14ac:dyDescent="0.2">
      <c r="A836" s="197"/>
      <c r="B836" s="197"/>
      <c r="C836" s="197"/>
      <c r="D836" s="454" t="s">
        <v>237</v>
      </c>
      <c r="E836" s="230"/>
      <c r="F836" s="455"/>
      <c r="G836" s="456">
        <f>táj.4!C21</f>
        <v>78102</v>
      </c>
      <c r="H836" s="456">
        <f>táj.4!D21</f>
        <v>11897</v>
      </c>
      <c r="I836" s="456">
        <f>táj.4!E21</f>
        <v>14181</v>
      </c>
      <c r="J836" s="456">
        <f>táj.4!F21</f>
        <v>0</v>
      </c>
      <c r="K836" s="456">
        <f>táj.4!G21</f>
        <v>0</v>
      </c>
      <c r="L836" s="456">
        <f>táj.4!H21</f>
        <v>34091</v>
      </c>
      <c r="M836" s="456">
        <f>táj.4!I21</f>
        <v>1360</v>
      </c>
      <c r="N836" s="456">
        <f>táj.4!J21</f>
        <v>0</v>
      </c>
      <c r="O836" s="456"/>
      <c r="P836" s="456"/>
      <c r="Q836" s="456">
        <f>SUM(G836:P836)</f>
        <v>139631</v>
      </c>
      <c r="R836" s="760"/>
    </row>
    <row r="837" spans="1:18" ht="15.95" customHeight="1" x14ac:dyDescent="0.2">
      <c r="A837" s="223"/>
      <c r="B837" s="223"/>
      <c r="C837" s="224"/>
      <c r="D837" s="182" t="s">
        <v>227</v>
      </c>
      <c r="E837" s="369"/>
      <c r="F837" s="457"/>
      <c r="G837" s="44">
        <f t="shared" ref="G837:Q837" si="55">SUM(G835:G836)</f>
        <v>77608</v>
      </c>
      <c r="H837" s="44">
        <f t="shared" si="55"/>
        <v>11700</v>
      </c>
      <c r="I837" s="44">
        <f t="shared" si="55"/>
        <v>95693</v>
      </c>
      <c r="J837" s="44">
        <f t="shared" si="55"/>
        <v>-1120</v>
      </c>
      <c r="K837" s="44">
        <f t="shared" si="55"/>
        <v>21135</v>
      </c>
      <c r="L837" s="44">
        <f t="shared" si="55"/>
        <v>434212</v>
      </c>
      <c r="M837" s="44">
        <f t="shared" si="55"/>
        <v>76354</v>
      </c>
      <c r="N837" s="44">
        <f t="shared" si="55"/>
        <v>138984</v>
      </c>
      <c r="O837" s="44">
        <f t="shared" si="55"/>
        <v>0</v>
      </c>
      <c r="P837" s="44">
        <f t="shared" si="55"/>
        <v>0</v>
      </c>
      <c r="Q837" s="44">
        <f t="shared" si="55"/>
        <v>854566</v>
      </c>
      <c r="R837" s="761"/>
    </row>
    <row r="839" spans="1:18" ht="12.75" customHeight="1" x14ac:dyDescent="0.2">
      <c r="N839" s="948"/>
      <c r="O839" s="948"/>
      <c r="P839" s="948"/>
      <c r="Q839" s="459"/>
    </row>
  </sheetData>
  <sheetProtection selectLockedCells="1" selectUnlockedCells="1"/>
  <mergeCells count="11">
    <mergeCell ref="R1:R2"/>
    <mergeCell ref="G1:N1"/>
    <mergeCell ref="O1:P1"/>
    <mergeCell ref="Q1:Q2"/>
    <mergeCell ref="N839:P839"/>
    <mergeCell ref="F1:F2"/>
    <mergeCell ref="A1:A2"/>
    <mergeCell ref="B1:B2"/>
    <mergeCell ref="C1:C2"/>
    <mergeCell ref="D1:D2"/>
    <mergeCell ref="E1:E2"/>
  </mergeCells>
  <phoneticPr fontId="107" type="noConversion"/>
  <printOptions horizontalCentered="1" verticalCentered="1"/>
  <pageMargins left="3.937007874015748E-2" right="3.937007874015748E-2" top="0.6692913385826772" bottom="0.70866141732283472" header="0.23622047244094491" footer="0.11811023622047245"/>
  <pageSetup paperSize="9" scale="69" orientation="landscape" horizontalDpi="300" verticalDpi="300" r:id="rId1"/>
  <headerFooter alignWithMargins="0">
    <oddHeader>&amp;C&amp;"Times New Roman CE,Félkövér dőlt"ZALAEGERSZEG MEGYEI JOGÚ VÁROS ÖNKORMÁNYZATA 2020. ÉVI
KIADÁSI ELŐIRÁNYZATAINAK MÓDOSÍTÁSA A III. NEGYEDÉVBEN
&amp;R&amp;"Times New Roman CE,Félkövér dőlt"2. tájékoztató tábla
Adatok ezer Ft-ban</oddHeader>
    <oddFooter>&amp;L*Módosítás hatáskör szerint:
kgy=közgyűlés
pm=polgármester
biz=bizottság
&amp;C&amp;P. oldal&amp;Ra *-gal jelzett célok  hitel felvételével valósíthatók meg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M29"/>
  <sheetViews>
    <sheetView workbookViewId="0">
      <pane ySplit="2" topLeftCell="A3" activePane="bottomLeft" state="frozen"/>
      <selection pane="bottomLeft" activeCell="K4" sqref="K4"/>
    </sheetView>
  </sheetViews>
  <sheetFormatPr defaultRowHeight="12.75" x14ac:dyDescent="0.2"/>
  <cols>
    <col min="1" max="1" width="3.33203125" style="109" customWidth="1"/>
    <col min="2" max="2" width="39.6640625" style="109" customWidth="1"/>
    <col min="3" max="4" width="12.33203125" style="109" customWidth="1"/>
    <col min="5" max="5" width="7.6640625" style="109" customWidth="1"/>
    <col min="6" max="6" width="10.33203125" style="109" customWidth="1"/>
    <col min="7" max="7" width="12" style="109" customWidth="1"/>
    <col min="8" max="9" width="12.33203125" style="109" customWidth="1"/>
    <col min="10" max="10" width="12.83203125" style="109" customWidth="1"/>
    <col min="11" max="11" width="14.83203125" style="109" customWidth="1"/>
    <col min="12" max="12" width="12" style="109" customWidth="1"/>
    <col min="13" max="13" width="11.5" style="109" customWidth="1"/>
    <col min="14" max="16384" width="9.33203125" style="109"/>
  </cols>
  <sheetData>
    <row r="1" spans="1:13" ht="12.75" customHeight="1" x14ac:dyDescent="0.2">
      <c r="A1" s="932" t="s">
        <v>122</v>
      </c>
      <c r="B1" s="933" t="s">
        <v>176</v>
      </c>
      <c r="C1" s="959" t="s">
        <v>183</v>
      </c>
      <c r="D1" s="959"/>
      <c r="E1" s="959"/>
      <c r="F1" s="959"/>
      <c r="G1" s="959"/>
      <c r="H1" s="959"/>
      <c r="I1" s="959"/>
      <c r="J1" s="959" t="s">
        <v>254</v>
      </c>
      <c r="K1" s="959"/>
      <c r="L1" s="959"/>
      <c r="M1" s="957" t="s">
        <v>256</v>
      </c>
    </row>
    <row r="2" spans="1:13" s="110" customFormat="1" ht="78" customHeight="1" x14ac:dyDescent="0.2">
      <c r="A2" s="932"/>
      <c r="B2" s="933"/>
      <c r="C2" s="116" t="s">
        <v>23</v>
      </c>
      <c r="D2" s="116" t="s">
        <v>24</v>
      </c>
      <c r="E2" s="651" t="s">
        <v>25</v>
      </c>
      <c r="F2" s="116" t="s">
        <v>250</v>
      </c>
      <c r="G2" s="651" t="s">
        <v>251</v>
      </c>
      <c r="H2" s="651" t="s">
        <v>252</v>
      </c>
      <c r="I2" s="651" t="s">
        <v>253</v>
      </c>
      <c r="J2" s="651" t="s">
        <v>185</v>
      </c>
      <c r="K2" s="651" t="s">
        <v>128</v>
      </c>
      <c r="L2" s="651" t="s">
        <v>187</v>
      </c>
      <c r="M2" s="958"/>
    </row>
    <row r="3" spans="1:13" ht="17.100000000000001" customHeight="1" x14ac:dyDescent="0.2">
      <c r="A3" s="117" t="s">
        <v>124</v>
      </c>
      <c r="B3" s="118" t="s">
        <v>178</v>
      </c>
      <c r="C3" s="119"/>
      <c r="D3" s="119"/>
      <c r="E3" s="119"/>
      <c r="F3" s="119">
        <v>337</v>
      </c>
      <c r="G3" s="119"/>
      <c r="H3" s="119"/>
      <c r="I3" s="119"/>
      <c r="J3" s="119"/>
      <c r="K3" s="119">
        <v>13291</v>
      </c>
      <c r="L3" s="119"/>
      <c r="M3" s="119">
        <f t="shared" ref="M3:M20" si="0">SUM(C3:L3)</f>
        <v>13628</v>
      </c>
    </row>
    <row r="4" spans="1:13" ht="17.100000000000001" customHeight="1" x14ac:dyDescent="0.2">
      <c r="A4" s="117" t="s">
        <v>126</v>
      </c>
      <c r="B4" s="118" t="s">
        <v>171</v>
      </c>
      <c r="C4" s="119">
        <v>2300</v>
      </c>
      <c r="D4" s="119">
        <v>100</v>
      </c>
      <c r="E4" s="119"/>
      <c r="F4" s="119">
        <v>-100000</v>
      </c>
      <c r="G4" s="119">
        <v>780</v>
      </c>
      <c r="H4" s="119">
        <v>200</v>
      </c>
      <c r="I4" s="119"/>
      <c r="J4" s="119"/>
      <c r="K4" s="119">
        <v>27</v>
      </c>
      <c r="L4" s="119"/>
      <c r="M4" s="119">
        <f t="shared" si="0"/>
        <v>-96593</v>
      </c>
    </row>
    <row r="5" spans="1:13" ht="17.100000000000001" customHeight="1" x14ac:dyDescent="0.2">
      <c r="A5" s="117" t="s">
        <v>127</v>
      </c>
      <c r="B5" s="118" t="s">
        <v>204</v>
      </c>
      <c r="C5" s="119"/>
      <c r="D5" s="119"/>
      <c r="E5" s="119"/>
      <c r="F5" s="119">
        <v>1570</v>
      </c>
      <c r="G5" s="119"/>
      <c r="H5" s="119"/>
      <c r="I5" s="119"/>
      <c r="J5" s="119"/>
      <c r="K5" s="119">
        <v>5663</v>
      </c>
      <c r="L5" s="119"/>
      <c r="M5" s="119">
        <f t="shared" si="0"/>
        <v>7233</v>
      </c>
    </row>
    <row r="6" spans="1:13" ht="24" customHeight="1" x14ac:dyDescent="0.2">
      <c r="A6" s="117" t="s">
        <v>115</v>
      </c>
      <c r="B6" s="120" t="s">
        <v>239</v>
      </c>
      <c r="C6" s="119"/>
      <c r="D6" s="119"/>
      <c r="E6" s="119"/>
      <c r="F6" s="119">
        <v>1000</v>
      </c>
      <c r="G6" s="119"/>
      <c r="H6" s="119"/>
      <c r="I6" s="119"/>
      <c r="J6" s="119"/>
      <c r="K6" s="119">
        <v>1056</v>
      </c>
      <c r="L6" s="119"/>
      <c r="M6" s="119">
        <f t="shared" si="0"/>
        <v>2056</v>
      </c>
    </row>
    <row r="7" spans="1:13" ht="24" customHeight="1" x14ac:dyDescent="0.2">
      <c r="A7" s="117" t="s">
        <v>114</v>
      </c>
      <c r="B7" s="120" t="s">
        <v>240</v>
      </c>
      <c r="C7" s="119"/>
      <c r="D7" s="119">
        <v>100</v>
      </c>
      <c r="E7" s="119"/>
      <c r="F7" s="119"/>
      <c r="G7" s="119"/>
      <c r="H7" s="119"/>
      <c r="I7" s="119"/>
      <c r="J7" s="119"/>
      <c r="K7" s="119">
        <v>13816</v>
      </c>
      <c r="L7" s="119"/>
      <c r="M7" s="119">
        <f t="shared" si="0"/>
        <v>13916</v>
      </c>
    </row>
    <row r="8" spans="1:13" ht="17.100000000000001" customHeight="1" x14ac:dyDescent="0.2">
      <c r="A8" s="117" t="s">
        <v>116</v>
      </c>
      <c r="B8" s="121" t="s">
        <v>205</v>
      </c>
      <c r="C8" s="119">
        <v>-3749</v>
      </c>
      <c r="D8" s="119"/>
      <c r="E8" s="119"/>
      <c r="F8" s="119">
        <v>1033</v>
      </c>
      <c r="G8" s="119"/>
      <c r="H8" s="119"/>
      <c r="I8" s="119"/>
      <c r="J8" s="119"/>
      <c r="K8" s="119">
        <v>10288</v>
      </c>
      <c r="L8" s="119"/>
      <c r="M8" s="119">
        <f t="shared" si="0"/>
        <v>7572</v>
      </c>
    </row>
    <row r="9" spans="1:13" ht="17.100000000000001" customHeight="1" x14ac:dyDescent="0.2">
      <c r="A9" s="117" t="s">
        <v>117</v>
      </c>
      <c r="B9" s="121" t="s">
        <v>206</v>
      </c>
      <c r="C9" s="119">
        <v>-8606</v>
      </c>
      <c r="D9" s="119"/>
      <c r="E9" s="119"/>
      <c r="F9" s="119">
        <v>-1062</v>
      </c>
      <c r="G9" s="119"/>
      <c r="H9" s="119"/>
      <c r="I9" s="119"/>
      <c r="J9" s="119"/>
      <c r="K9" s="119">
        <v>12266</v>
      </c>
      <c r="L9" s="119"/>
      <c r="M9" s="119">
        <f t="shared" si="0"/>
        <v>2598</v>
      </c>
    </row>
    <row r="10" spans="1:13" ht="17.100000000000001" customHeight="1" x14ac:dyDescent="0.2">
      <c r="A10" s="117" t="s">
        <v>118</v>
      </c>
      <c r="B10" s="121" t="s">
        <v>207</v>
      </c>
      <c r="C10" s="119">
        <v>-5695</v>
      </c>
      <c r="D10" s="119"/>
      <c r="E10" s="119"/>
      <c r="F10" s="119">
        <v>-1786</v>
      </c>
      <c r="G10" s="119"/>
      <c r="H10" s="119"/>
      <c r="I10" s="119"/>
      <c r="J10" s="119"/>
      <c r="K10" s="119">
        <v>10943</v>
      </c>
      <c r="L10" s="119"/>
      <c r="M10" s="119">
        <f t="shared" si="0"/>
        <v>3462</v>
      </c>
    </row>
    <row r="11" spans="1:13" ht="17.100000000000001" customHeight="1" x14ac:dyDescent="0.2">
      <c r="A11" s="117" t="s">
        <v>33</v>
      </c>
      <c r="B11" s="121" t="s">
        <v>208</v>
      </c>
      <c r="C11" s="119">
        <v>-7976</v>
      </c>
      <c r="D11" s="119"/>
      <c r="E11" s="119"/>
      <c r="F11" s="119">
        <v>255</v>
      </c>
      <c r="G11" s="119"/>
      <c r="H11" s="119"/>
      <c r="I11" s="119"/>
      <c r="J11" s="119"/>
      <c r="K11" s="119">
        <v>13543</v>
      </c>
      <c r="L11" s="119"/>
      <c r="M11" s="119">
        <f t="shared" si="0"/>
        <v>5822</v>
      </c>
    </row>
    <row r="12" spans="1:13" ht="18" customHeight="1" x14ac:dyDescent="0.2">
      <c r="A12" s="117" t="s">
        <v>34</v>
      </c>
      <c r="B12" s="122" t="s">
        <v>241</v>
      </c>
      <c r="C12" s="119"/>
      <c r="D12" s="119"/>
      <c r="E12" s="119"/>
      <c r="F12" s="119"/>
      <c r="G12" s="119"/>
      <c r="H12" s="119"/>
      <c r="I12" s="119"/>
      <c r="J12" s="119"/>
      <c r="K12" s="119">
        <v>12</v>
      </c>
      <c r="L12" s="119"/>
      <c r="M12" s="119">
        <f t="shared" si="0"/>
        <v>12</v>
      </c>
    </row>
    <row r="13" spans="1:13" ht="17.100000000000001" customHeight="1" x14ac:dyDescent="0.2">
      <c r="A13" s="117" t="s">
        <v>35</v>
      </c>
      <c r="B13" s="123" t="s">
        <v>201</v>
      </c>
      <c r="C13" s="119">
        <v>24225</v>
      </c>
      <c r="D13" s="119">
        <v>100</v>
      </c>
      <c r="E13" s="119"/>
      <c r="F13" s="119"/>
      <c r="G13" s="119"/>
      <c r="H13" s="119"/>
      <c r="I13" s="119"/>
      <c r="J13" s="119"/>
      <c r="K13" s="119">
        <v>7093</v>
      </c>
      <c r="L13" s="119"/>
      <c r="M13" s="119">
        <f t="shared" si="0"/>
        <v>31418</v>
      </c>
    </row>
    <row r="14" spans="1:13" ht="27" customHeight="1" x14ac:dyDescent="0.2">
      <c r="A14" s="117" t="s">
        <v>36</v>
      </c>
      <c r="B14" s="120" t="s">
        <v>209</v>
      </c>
      <c r="C14" s="119">
        <v>1000</v>
      </c>
      <c r="D14" s="119"/>
      <c r="E14" s="119"/>
      <c r="F14" s="119"/>
      <c r="G14" s="119"/>
      <c r="H14" s="119"/>
      <c r="I14" s="119"/>
      <c r="J14" s="119"/>
      <c r="K14" s="119"/>
      <c r="L14" s="119"/>
      <c r="M14" s="119">
        <f t="shared" si="0"/>
        <v>1000</v>
      </c>
    </row>
    <row r="15" spans="1:13" ht="17.100000000000001" customHeight="1" x14ac:dyDescent="0.2">
      <c r="A15" s="117" t="s">
        <v>37</v>
      </c>
      <c r="B15" s="121" t="s">
        <v>202</v>
      </c>
      <c r="C15" s="119">
        <v>27000</v>
      </c>
      <c r="D15" s="119"/>
      <c r="E15" s="119"/>
      <c r="F15" s="119"/>
      <c r="G15" s="119"/>
      <c r="H15" s="119"/>
      <c r="I15" s="119"/>
      <c r="J15" s="119"/>
      <c r="K15" s="119">
        <v>3969</v>
      </c>
      <c r="L15" s="119"/>
      <c r="M15" s="119">
        <f t="shared" si="0"/>
        <v>30969</v>
      </c>
    </row>
    <row r="16" spans="1:13" ht="17.100000000000001" customHeight="1" x14ac:dyDescent="0.2">
      <c r="A16" s="117" t="s">
        <v>38</v>
      </c>
      <c r="B16" s="121" t="s">
        <v>203</v>
      </c>
      <c r="C16" s="119">
        <v>3463</v>
      </c>
      <c r="D16" s="119">
        <v>400</v>
      </c>
      <c r="E16" s="119"/>
      <c r="F16" s="119">
        <v>32979</v>
      </c>
      <c r="G16" s="119"/>
      <c r="H16" s="119"/>
      <c r="I16" s="119">
        <v>650</v>
      </c>
      <c r="J16" s="119"/>
      <c r="K16" s="119">
        <v>4658</v>
      </c>
      <c r="L16" s="119"/>
      <c r="M16" s="119">
        <f t="shared" si="0"/>
        <v>42150</v>
      </c>
    </row>
    <row r="17" spans="1:13" ht="17.100000000000001" customHeight="1" x14ac:dyDescent="0.2">
      <c r="A17" s="117" t="s">
        <v>119</v>
      </c>
      <c r="B17" s="121" t="s">
        <v>210</v>
      </c>
      <c r="C17" s="119">
        <v>52000</v>
      </c>
      <c r="D17" s="119">
        <v>100</v>
      </c>
      <c r="E17" s="119"/>
      <c r="F17" s="119"/>
      <c r="G17" s="119"/>
      <c r="H17" s="119"/>
      <c r="I17" s="119"/>
      <c r="J17" s="119"/>
      <c r="K17" s="119">
        <v>6040</v>
      </c>
      <c r="L17" s="119"/>
      <c r="M17" s="119">
        <f t="shared" si="0"/>
        <v>58140</v>
      </c>
    </row>
    <row r="18" spans="1:13" ht="17.100000000000001" customHeight="1" x14ac:dyDescent="0.2">
      <c r="A18" s="117" t="s">
        <v>39</v>
      </c>
      <c r="B18" s="121" t="s">
        <v>211</v>
      </c>
      <c r="C18" s="119">
        <v>10800</v>
      </c>
      <c r="D18" s="119"/>
      <c r="E18" s="119"/>
      <c r="F18" s="119"/>
      <c r="G18" s="119"/>
      <c r="H18" s="119"/>
      <c r="I18" s="119"/>
      <c r="J18" s="119"/>
      <c r="K18" s="119">
        <v>891</v>
      </c>
      <c r="L18" s="119"/>
      <c r="M18" s="119">
        <f t="shared" si="0"/>
        <v>11691</v>
      </c>
    </row>
    <row r="19" spans="1:13" ht="17.100000000000001" customHeight="1" x14ac:dyDescent="0.2">
      <c r="A19" s="117" t="s">
        <v>40</v>
      </c>
      <c r="B19" s="121" t="s">
        <v>243</v>
      </c>
      <c r="C19" s="119"/>
      <c r="D19" s="119"/>
      <c r="E19" s="119"/>
      <c r="F19" s="119"/>
      <c r="G19" s="119"/>
      <c r="H19" s="119"/>
      <c r="I19" s="119"/>
      <c r="J19" s="119"/>
      <c r="K19" s="119">
        <v>4557</v>
      </c>
      <c r="L19" s="119"/>
      <c r="M19" s="119">
        <f t="shared" si="0"/>
        <v>4557</v>
      </c>
    </row>
    <row r="20" spans="1:13" ht="17.100000000000001" customHeight="1" x14ac:dyDescent="0.2">
      <c r="A20" s="117" t="s">
        <v>242</v>
      </c>
      <c r="B20" s="121" t="s">
        <v>248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>
        <f t="shared" si="0"/>
        <v>0</v>
      </c>
    </row>
    <row r="21" spans="1:13" ht="14.25" customHeight="1" x14ac:dyDescent="0.2">
      <c r="A21" s="124"/>
      <c r="B21" s="125" t="s">
        <v>22</v>
      </c>
      <c r="C21" s="126">
        <f t="shared" ref="C21:M21" si="1">SUM(C3:C20)</f>
        <v>94762</v>
      </c>
      <c r="D21" s="126">
        <f t="shared" si="1"/>
        <v>800</v>
      </c>
      <c r="E21" s="126">
        <f t="shared" si="1"/>
        <v>0</v>
      </c>
      <c r="F21" s="126">
        <f t="shared" si="1"/>
        <v>-65674</v>
      </c>
      <c r="G21" s="126">
        <f t="shared" si="1"/>
        <v>780</v>
      </c>
      <c r="H21" s="126">
        <f t="shared" si="1"/>
        <v>200</v>
      </c>
      <c r="I21" s="126">
        <f t="shared" si="1"/>
        <v>650</v>
      </c>
      <c r="J21" s="126">
        <f t="shared" si="1"/>
        <v>0</v>
      </c>
      <c r="K21" s="126">
        <f t="shared" si="1"/>
        <v>108113</v>
      </c>
      <c r="L21" s="126">
        <f t="shared" si="1"/>
        <v>0</v>
      </c>
      <c r="M21" s="126">
        <f t="shared" si="1"/>
        <v>139631</v>
      </c>
    </row>
    <row r="22" spans="1:13" ht="14.1" customHeight="1" x14ac:dyDescent="0.2">
      <c r="C22" s="111"/>
      <c r="D22" s="111"/>
      <c r="E22" s="111"/>
      <c r="F22" s="111"/>
      <c r="G22" s="111"/>
      <c r="H22" s="111"/>
      <c r="I22" s="111"/>
      <c r="J22" s="111"/>
      <c r="K22" s="111"/>
    </row>
    <row r="23" spans="1:13" ht="14.1" customHeight="1" x14ac:dyDescent="0.2">
      <c r="C23" s="111"/>
      <c r="D23" s="111"/>
      <c r="E23" s="111"/>
      <c r="F23" s="111"/>
      <c r="G23" s="111"/>
      <c r="H23" s="111"/>
      <c r="I23" s="111"/>
      <c r="J23" s="111"/>
      <c r="K23" s="111"/>
    </row>
    <row r="24" spans="1:13" ht="14.1" customHeight="1" x14ac:dyDescent="0.2">
      <c r="C24" s="111"/>
      <c r="D24" s="111"/>
      <c r="E24" s="111"/>
      <c r="F24" s="111"/>
      <c r="G24" s="111"/>
      <c r="H24" s="111"/>
      <c r="I24" s="111"/>
      <c r="J24" s="111"/>
      <c r="K24" s="127"/>
    </row>
    <row r="25" spans="1:13" ht="14.1" customHeight="1" x14ac:dyDescent="0.2">
      <c r="C25" s="111"/>
      <c r="D25" s="111"/>
      <c r="E25" s="111"/>
      <c r="F25" s="111"/>
      <c r="G25" s="111"/>
      <c r="H25" s="111"/>
      <c r="I25" s="111"/>
      <c r="J25" s="111"/>
      <c r="K25" s="127"/>
    </row>
    <row r="26" spans="1:13" ht="14.1" customHeight="1" x14ac:dyDescent="0.2">
      <c r="C26" s="111"/>
      <c r="D26" s="111"/>
      <c r="E26" s="111"/>
      <c r="F26" s="111"/>
      <c r="G26" s="111"/>
      <c r="H26" s="111"/>
      <c r="I26" s="111"/>
      <c r="J26" s="111"/>
      <c r="K26" s="111"/>
    </row>
    <row r="27" spans="1:13" ht="14.1" customHeight="1" x14ac:dyDescent="0.2"/>
    <row r="28" spans="1:13" ht="14.1" customHeight="1" x14ac:dyDescent="0.2"/>
    <row r="29" spans="1:13" ht="14.1" customHeight="1" x14ac:dyDescent="0.2"/>
  </sheetData>
  <mergeCells count="5">
    <mergeCell ref="A1:A2"/>
    <mergeCell ref="B1:B2"/>
    <mergeCell ref="C1:I1"/>
    <mergeCell ref="J1:L1"/>
    <mergeCell ref="M1:M2"/>
  </mergeCells>
  <printOptions horizontalCentered="1"/>
  <pageMargins left="0.19685039370078741" right="0.19685039370078741" top="1.6141732283464567" bottom="0.98425196850393704" header="0.86614173228346458" footer="0.51181102362204722"/>
  <pageSetup paperSize="9" scale="92" orientation="landscape" horizontalDpi="300" verticalDpi="300" r:id="rId1"/>
  <headerFooter alignWithMargins="0">
    <oddHeader>&amp;C&amp;"Times New Roman,Félkövér dőlt"ZMJV ÖNKORMÁNYZATA ÁLTAL IRÁNYÍTOTT KÖLTSÉGVETÉSI SZERVEK
  2020. ÉVI  BEVÉTELI ELŐIRÁNYZATAINAK MÓDOSÍTÁSA A III. NEGYEDÉVBEN&amp;R&amp;"Times New Roman,Félkövér dőlt"3. tájékoztató tábla
Adatok: ezer Ft-ban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L26"/>
  <sheetViews>
    <sheetView zoomScale="110" workbookViewId="0">
      <pane ySplit="2" topLeftCell="A3" activePane="bottomLeft" state="frozen"/>
      <selection activeCell="B1" sqref="B1"/>
      <selection pane="bottomLeft" activeCell="D4" sqref="D4"/>
    </sheetView>
  </sheetViews>
  <sheetFormatPr defaultRowHeight="12" x14ac:dyDescent="0.2"/>
  <cols>
    <col min="1" max="1" width="3.83203125" style="19" customWidth="1"/>
    <col min="2" max="2" width="38.33203125" style="19" customWidth="1"/>
    <col min="3" max="3" width="10" style="19" customWidth="1"/>
    <col min="4" max="4" width="11.83203125" style="19" customWidth="1"/>
    <col min="5" max="5" width="9.83203125" style="19" customWidth="1"/>
    <col min="6" max="7" width="10.5" style="19" customWidth="1"/>
    <col min="8" max="8" width="11.1640625" style="19" customWidth="1"/>
    <col min="9" max="9" width="11.83203125" style="19" customWidth="1"/>
    <col min="10" max="10" width="9.5" style="19" customWidth="1"/>
    <col min="11" max="11" width="8.1640625" style="19" customWidth="1"/>
    <col min="12" max="12" width="10.83203125" style="31" customWidth="1"/>
    <col min="13" max="16384" width="9.33203125" style="19"/>
  </cols>
  <sheetData>
    <row r="1" spans="1:12" ht="12.75" customHeight="1" x14ac:dyDescent="0.2">
      <c r="A1" s="941" t="s">
        <v>122</v>
      </c>
      <c r="B1" s="941" t="s">
        <v>176</v>
      </c>
      <c r="C1" s="940" t="s">
        <v>182</v>
      </c>
      <c r="D1" s="940"/>
      <c r="E1" s="940"/>
      <c r="F1" s="940"/>
      <c r="G1" s="940"/>
      <c r="H1" s="940"/>
      <c r="I1" s="940"/>
      <c r="J1" s="940"/>
      <c r="K1" s="941" t="s">
        <v>181</v>
      </c>
      <c r="L1" s="941" t="s">
        <v>235</v>
      </c>
    </row>
    <row r="2" spans="1:12" s="28" customFormat="1" ht="60" customHeight="1" x14ac:dyDescent="0.2">
      <c r="A2" s="941"/>
      <c r="B2" s="941"/>
      <c r="C2" s="654" t="s">
        <v>156</v>
      </c>
      <c r="D2" s="654" t="s">
        <v>255</v>
      </c>
      <c r="E2" s="654" t="s">
        <v>249</v>
      </c>
      <c r="F2" s="654" t="s">
        <v>26</v>
      </c>
      <c r="G2" s="654" t="s">
        <v>42</v>
      </c>
      <c r="H2" s="654" t="s">
        <v>32</v>
      </c>
      <c r="I2" s="654" t="s">
        <v>31</v>
      </c>
      <c r="J2" s="654" t="s">
        <v>27</v>
      </c>
      <c r="K2" s="962"/>
      <c r="L2" s="941"/>
    </row>
    <row r="3" spans="1:12" s="28" customFormat="1" ht="15" customHeight="1" x14ac:dyDescent="0.2">
      <c r="A3" s="128" t="s">
        <v>124</v>
      </c>
      <c r="B3" s="129" t="s">
        <v>178</v>
      </c>
      <c r="C3" s="130">
        <v>11431</v>
      </c>
      <c r="D3" s="130">
        <v>1860</v>
      </c>
      <c r="E3" s="130">
        <v>-928</v>
      </c>
      <c r="F3" s="130"/>
      <c r="G3" s="130"/>
      <c r="H3" s="130">
        <v>1265</v>
      </c>
      <c r="I3" s="130"/>
      <c r="J3" s="130"/>
      <c r="K3" s="130"/>
      <c r="L3" s="130">
        <f t="shared" ref="L3:L20" si="0">SUM(C3:K3)</f>
        <v>13628</v>
      </c>
    </row>
    <row r="4" spans="1:12" s="28" customFormat="1" ht="15" customHeight="1" x14ac:dyDescent="0.2">
      <c r="A4" s="128" t="s">
        <v>126</v>
      </c>
      <c r="B4" s="129" t="s">
        <v>171</v>
      </c>
      <c r="C4" s="130">
        <v>2014</v>
      </c>
      <c r="D4" s="130">
        <v>313</v>
      </c>
      <c r="E4" s="130">
        <v>-99800</v>
      </c>
      <c r="F4" s="130"/>
      <c r="G4" s="130"/>
      <c r="H4" s="130">
        <v>880</v>
      </c>
      <c r="I4" s="130"/>
      <c r="J4" s="130"/>
      <c r="K4" s="130"/>
      <c r="L4" s="130">
        <f t="shared" si="0"/>
        <v>-96593</v>
      </c>
    </row>
    <row r="5" spans="1:12" s="28" customFormat="1" ht="15" customHeight="1" x14ac:dyDescent="0.2">
      <c r="A5" s="128" t="s">
        <v>127</v>
      </c>
      <c r="B5" s="129" t="s">
        <v>204</v>
      </c>
      <c r="C5" s="130">
        <v>7274</v>
      </c>
      <c r="D5" s="130">
        <v>1159</v>
      </c>
      <c r="E5" s="130">
        <v>-7510</v>
      </c>
      <c r="F5" s="130"/>
      <c r="G5" s="130"/>
      <c r="H5" s="130">
        <v>6300</v>
      </c>
      <c r="I5" s="130">
        <v>10</v>
      </c>
      <c r="J5" s="130"/>
      <c r="K5" s="130"/>
      <c r="L5" s="130">
        <f t="shared" si="0"/>
        <v>7233</v>
      </c>
    </row>
    <row r="6" spans="1:12" s="28" customFormat="1" ht="23.25" customHeight="1" x14ac:dyDescent="0.2">
      <c r="A6" s="128" t="s">
        <v>115</v>
      </c>
      <c r="B6" s="120" t="s">
        <v>239</v>
      </c>
      <c r="C6" s="130">
        <v>903</v>
      </c>
      <c r="D6" s="130">
        <v>153</v>
      </c>
      <c r="E6" s="130">
        <v>400</v>
      </c>
      <c r="F6" s="130"/>
      <c r="G6" s="130"/>
      <c r="H6" s="130">
        <v>600</v>
      </c>
      <c r="I6" s="130"/>
      <c r="J6" s="130"/>
      <c r="K6" s="130"/>
      <c r="L6" s="130">
        <f t="shared" si="0"/>
        <v>2056</v>
      </c>
    </row>
    <row r="7" spans="1:12" s="28" customFormat="1" ht="26.25" customHeight="1" x14ac:dyDescent="0.2">
      <c r="A7" s="128" t="s">
        <v>114</v>
      </c>
      <c r="B7" s="120" t="s">
        <v>240</v>
      </c>
      <c r="C7" s="130">
        <v>11829</v>
      </c>
      <c r="D7" s="130">
        <v>1987</v>
      </c>
      <c r="E7" s="130">
        <v>-700</v>
      </c>
      <c r="F7" s="130"/>
      <c r="G7" s="130"/>
      <c r="H7" s="130">
        <v>800</v>
      </c>
      <c r="I7" s="130"/>
      <c r="J7" s="130"/>
      <c r="K7" s="130"/>
      <c r="L7" s="130">
        <f t="shared" si="0"/>
        <v>13916</v>
      </c>
    </row>
    <row r="8" spans="1:12" s="28" customFormat="1" ht="15" customHeight="1" x14ac:dyDescent="0.2">
      <c r="A8" s="128" t="s">
        <v>116</v>
      </c>
      <c r="B8" s="121" t="s">
        <v>205</v>
      </c>
      <c r="C8" s="130">
        <v>6102</v>
      </c>
      <c r="D8" s="130">
        <v>877</v>
      </c>
      <c r="E8" s="130">
        <v>82</v>
      </c>
      <c r="F8" s="130"/>
      <c r="G8" s="130"/>
      <c r="H8" s="130">
        <v>511</v>
      </c>
      <c r="I8" s="130"/>
      <c r="J8" s="130"/>
      <c r="K8" s="130"/>
      <c r="L8" s="130">
        <f t="shared" si="0"/>
        <v>7572</v>
      </c>
    </row>
    <row r="9" spans="1:12" s="28" customFormat="1" ht="15" customHeight="1" x14ac:dyDescent="0.2">
      <c r="A9" s="128" t="s">
        <v>117</v>
      </c>
      <c r="B9" s="121" t="s">
        <v>206</v>
      </c>
      <c r="C9" s="130">
        <v>3730</v>
      </c>
      <c r="D9" s="130">
        <v>56</v>
      </c>
      <c r="E9" s="130">
        <v>-1488</v>
      </c>
      <c r="F9" s="130"/>
      <c r="G9" s="130"/>
      <c r="H9" s="130">
        <v>300</v>
      </c>
      <c r="I9" s="130"/>
      <c r="J9" s="130"/>
      <c r="K9" s="130"/>
      <c r="L9" s="130">
        <f t="shared" si="0"/>
        <v>2598</v>
      </c>
    </row>
    <row r="10" spans="1:12" s="29" customFormat="1" ht="15" customHeight="1" x14ac:dyDescent="0.2">
      <c r="A10" s="128" t="s">
        <v>118</v>
      </c>
      <c r="B10" s="121" t="s">
        <v>207</v>
      </c>
      <c r="C10" s="5">
        <v>4638</v>
      </c>
      <c r="D10" s="5">
        <v>704</v>
      </c>
      <c r="E10" s="5">
        <v>-1990</v>
      </c>
      <c r="F10" s="5"/>
      <c r="G10" s="5"/>
      <c r="H10" s="5">
        <v>110</v>
      </c>
      <c r="I10" s="5"/>
      <c r="J10" s="5"/>
      <c r="K10" s="5"/>
      <c r="L10" s="130">
        <f t="shared" si="0"/>
        <v>3462</v>
      </c>
    </row>
    <row r="11" spans="1:12" s="29" customFormat="1" ht="17.25" customHeight="1" x14ac:dyDescent="0.2">
      <c r="A11" s="128" t="s">
        <v>33</v>
      </c>
      <c r="B11" s="121" t="s">
        <v>208</v>
      </c>
      <c r="C11" s="5">
        <v>5354</v>
      </c>
      <c r="D11" s="5">
        <v>747</v>
      </c>
      <c r="E11" s="5">
        <v>-949</v>
      </c>
      <c r="F11" s="5"/>
      <c r="G11" s="5"/>
      <c r="H11" s="5">
        <v>670</v>
      </c>
      <c r="I11" s="5"/>
      <c r="J11" s="5"/>
      <c r="K11" s="5"/>
      <c r="L11" s="130">
        <f t="shared" si="0"/>
        <v>5822</v>
      </c>
    </row>
    <row r="12" spans="1:12" s="29" customFormat="1" ht="18.75" customHeight="1" x14ac:dyDescent="0.2">
      <c r="A12" s="128" t="s">
        <v>34</v>
      </c>
      <c r="B12" s="122" t="s">
        <v>241</v>
      </c>
      <c r="C12" s="5">
        <v>9</v>
      </c>
      <c r="D12" s="5">
        <v>3</v>
      </c>
      <c r="E12" s="5"/>
      <c r="F12" s="5"/>
      <c r="G12" s="5"/>
      <c r="H12" s="5"/>
      <c r="I12" s="5"/>
      <c r="J12" s="5"/>
      <c r="K12" s="5"/>
      <c r="L12" s="130">
        <f t="shared" si="0"/>
        <v>12</v>
      </c>
    </row>
    <row r="13" spans="1:12" s="29" customFormat="1" ht="14.1" customHeight="1" x14ac:dyDescent="0.2">
      <c r="A13" s="128" t="s">
        <v>35</v>
      </c>
      <c r="B13" s="123" t="s">
        <v>201</v>
      </c>
      <c r="C13" s="5">
        <v>3080</v>
      </c>
      <c r="D13" s="5">
        <v>513</v>
      </c>
      <c r="E13" s="5">
        <v>24225</v>
      </c>
      <c r="F13" s="5"/>
      <c r="G13" s="5"/>
      <c r="H13" s="5">
        <v>3600</v>
      </c>
      <c r="I13" s="5"/>
      <c r="J13" s="5"/>
      <c r="K13" s="5"/>
      <c r="L13" s="130">
        <f t="shared" si="0"/>
        <v>31418</v>
      </c>
    </row>
    <row r="14" spans="1:12" s="29" customFormat="1" ht="24.75" customHeight="1" x14ac:dyDescent="0.2">
      <c r="A14" s="128" t="s">
        <v>36</v>
      </c>
      <c r="B14" s="120" t="s">
        <v>209</v>
      </c>
      <c r="C14" s="5"/>
      <c r="D14" s="5"/>
      <c r="E14" s="5">
        <v>1000</v>
      </c>
      <c r="F14" s="5"/>
      <c r="G14" s="5"/>
      <c r="H14" s="5"/>
      <c r="I14" s="5"/>
      <c r="J14" s="5"/>
      <c r="K14" s="5"/>
      <c r="L14" s="130">
        <f t="shared" si="0"/>
        <v>1000</v>
      </c>
    </row>
    <row r="15" spans="1:12" s="29" customFormat="1" ht="14.1" customHeight="1" x14ac:dyDescent="0.2">
      <c r="A15" s="128" t="s">
        <v>37</v>
      </c>
      <c r="B15" s="121" t="s">
        <v>202</v>
      </c>
      <c r="C15" s="5">
        <v>3398</v>
      </c>
      <c r="D15" s="5">
        <v>571</v>
      </c>
      <c r="E15" s="5">
        <v>17000</v>
      </c>
      <c r="F15" s="5"/>
      <c r="G15" s="5"/>
      <c r="H15" s="5">
        <v>10000</v>
      </c>
      <c r="I15" s="5"/>
      <c r="J15" s="5"/>
      <c r="K15" s="5"/>
      <c r="L15" s="130">
        <f t="shared" si="0"/>
        <v>30969</v>
      </c>
    </row>
    <row r="16" spans="1:12" s="29" customFormat="1" ht="14.1" customHeight="1" x14ac:dyDescent="0.2">
      <c r="A16" s="128" t="s">
        <v>38</v>
      </c>
      <c r="B16" s="121" t="s">
        <v>203</v>
      </c>
      <c r="C16" s="5">
        <v>12400</v>
      </c>
      <c r="D16" s="5">
        <v>1952</v>
      </c>
      <c r="E16" s="5">
        <v>17493</v>
      </c>
      <c r="F16" s="5"/>
      <c r="G16" s="5"/>
      <c r="H16" s="5">
        <v>8955</v>
      </c>
      <c r="I16" s="5">
        <v>1350</v>
      </c>
      <c r="J16" s="5"/>
      <c r="K16" s="5"/>
      <c r="L16" s="130">
        <f t="shared" si="0"/>
        <v>42150</v>
      </c>
    </row>
    <row r="17" spans="1:12" s="29" customFormat="1" ht="12.95" customHeight="1" x14ac:dyDescent="0.2">
      <c r="A17" s="128" t="s">
        <v>119</v>
      </c>
      <c r="B17" s="121" t="s">
        <v>210</v>
      </c>
      <c r="C17" s="5">
        <v>5170</v>
      </c>
      <c r="D17" s="5">
        <v>870</v>
      </c>
      <c r="E17" s="5">
        <v>52000</v>
      </c>
      <c r="F17" s="5"/>
      <c r="G17" s="5"/>
      <c r="H17" s="5">
        <v>100</v>
      </c>
      <c r="I17" s="5"/>
      <c r="J17" s="5"/>
      <c r="K17" s="5"/>
      <c r="L17" s="130">
        <f t="shared" si="0"/>
        <v>58140</v>
      </c>
    </row>
    <row r="18" spans="1:12" s="29" customFormat="1" ht="12.95" customHeight="1" x14ac:dyDescent="0.2">
      <c r="A18" s="128" t="s">
        <v>39</v>
      </c>
      <c r="B18" s="121" t="s">
        <v>211</v>
      </c>
      <c r="C18" s="5">
        <v>761</v>
      </c>
      <c r="D18" s="5">
        <v>130</v>
      </c>
      <c r="E18" s="5">
        <v>10800</v>
      </c>
      <c r="F18" s="5"/>
      <c r="G18" s="5"/>
      <c r="H18" s="5"/>
      <c r="I18" s="5"/>
      <c r="J18" s="5"/>
      <c r="K18" s="5"/>
      <c r="L18" s="130">
        <f t="shared" si="0"/>
        <v>11691</v>
      </c>
    </row>
    <row r="19" spans="1:12" s="29" customFormat="1" ht="15.75" customHeight="1" x14ac:dyDescent="0.2">
      <c r="A19" s="128" t="s">
        <v>40</v>
      </c>
      <c r="B19" s="121" t="s">
        <v>243</v>
      </c>
      <c r="C19" s="85">
        <v>9</v>
      </c>
      <c r="D19" s="85">
        <v>2</v>
      </c>
      <c r="E19" s="85">
        <v>4546</v>
      </c>
      <c r="F19" s="85"/>
      <c r="G19" s="85"/>
      <c r="H19" s="85"/>
      <c r="I19" s="85"/>
      <c r="J19" s="85"/>
      <c r="K19" s="85"/>
      <c r="L19" s="130">
        <f t="shared" si="0"/>
        <v>4557</v>
      </c>
    </row>
    <row r="20" spans="1:12" s="1" customFormat="1" x14ac:dyDescent="0.2">
      <c r="A20" s="128" t="s">
        <v>242</v>
      </c>
      <c r="B20" s="121" t="s">
        <v>248</v>
      </c>
      <c r="C20" s="10"/>
      <c r="D20" s="10"/>
      <c r="E20" s="10"/>
      <c r="F20" s="10"/>
      <c r="G20" s="10"/>
      <c r="H20" s="10"/>
      <c r="I20" s="10"/>
      <c r="J20" s="10"/>
      <c r="K20" s="10"/>
      <c r="L20" s="130">
        <f t="shared" si="0"/>
        <v>0</v>
      </c>
    </row>
    <row r="21" spans="1:12" s="1" customFormat="1" x14ac:dyDescent="0.2">
      <c r="A21" s="655"/>
      <c r="B21" s="132" t="s">
        <v>22</v>
      </c>
      <c r="C21" s="87">
        <f t="shared" ref="C21:L21" si="1">SUM(C3:C20)</f>
        <v>78102</v>
      </c>
      <c r="D21" s="87">
        <f t="shared" si="1"/>
        <v>11897</v>
      </c>
      <c r="E21" s="87">
        <f t="shared" si="1"/>
        <v>14181</v>
      </c>
      <c r="F21" s="87">
        <f t="shared" si="1"/>
        <v>0</v>
      </c>
      <c r="G21" s="87">
        <f t="shared" si="1"/>
        <v>0</v>
      </c>
      <c r="H21" s="87">
        <f t="shared" si="1"/>
        <v>34091</v>
      </c>
      <c r="I21" s="87">
        <f t="shared" si="1"/>
        <v>1360</v>
      </c>
      <c r="J21" s="87">
        <f t="shared" si="1"/>
        <v>0</v>
      </c>
      <c r="K21" s="87">
        <f t="shared" si="1"/>
        <v>0</v>
      </c>
      <c r="L21" s="87">
        <f t="shared" si="1"/>
        <v>139631</v>
      </c>
    </row>
    <row r="22" spans="1:12" s="1" customFormat="1" x14ac:dyDescent="0.2">
      <c r="L22" s="20"/>
    </row>
    <row r="23" spans="1:12" s="1" customFormat="1" x14ac:dyDescent="0.2">
      <c r="B23" s="15"/>
      <c r="L23" s="20"/>
    </row>
    <row r="24" spans="1:12" s="1" customFormat="1" x14ac:dyDescent="0.2">
      <c r="L24" s="20"/>
    </row>
    <row r="25" spans="1:12" s="1" customFormat="1" x14ac:dyDescent="0.2">
      <c r="L25" s="20"/>
    </row>
    <row r="26" spans="1:12" s="1" customFormat="1" x14ac:dyDescent="0.2">
      <c r="C26" s="15"/>
      <c r="L26" s="20"/>
    </row>
  </sheetData>
  <dataConsolidate/>
  <mergeCells count="5">
    <mergeCell ref="A1:A2"/>
    <mergeCell ref="B1:B2"/>
    <mergeCell ref="C1:J1"/>
    <mergeCell ref="K1:K2"/>
    <mergeCell ref="L1:L2"/>
  </mergeCells>
  <printOptions horizontalCentered="1" verticalCentered="1"/>
  <pageMargins left="0.23622047244094491" right="0.35433070866141736" top="1.6929133858267718" bottom="0.78740157480314965" header="0.62992125984251968" footer="0.51181102362204722"/>
  <pageSetup paperSize="9" orientation="landscape" horizontalDpi="300" verticalDpi="300" r:id="rId1"/>
  <headerFooter alignWithMargins="0">
    <oddHeader>&amp;C&amp;"Times New Roman CE,Félkövér dőlt"ZMJV ÖNKORMÁNYZATA ÁLTAL IRÁNYÍTOTT KÖLTSÉGVETÉSI SZERVEK 
2020.  ÉVI KIADÁSI ELŐIRÁNYZATAINAK MÓDOSÍTÁSA A III. NEGYEDÉVBEN&amp;R&amp;"Times New Roman CE,Félkövér dőlt"4. tájékoztató tábla
Adatok: ezer Ft-ban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5"/>
  <sheetViews>
    <sheetView topLeftCell="A16" zoomScaleNormal="100" workbookViewId="0">
      <selection activeCell="D42" sqref="D42"/>
    </sheetView>
  </sheetViews>
  <sheetFormatPr defaultRowHeight="12" x14ac:dyDescent="0.2"/>
  <cols>
    <col min="1" max="1" width="7.5" style="23" customWidth="1"/>
    <col min="2" max="2" width="65.5" style="21" customWidth="1"/>
    <col min="3" max="4" width="16.33203125" style="21" customWidth="1"/>
    <col min="5" max="5" width="15.33203125" style="21" customWidth="1"/>
    <col min="6" max="16384" width="9.33203125" style="19"/>
  </cols>
  <sheetData>
    <row r="1" spans="1:7" s="16" customFormat="1" ht="55.5" customHeight="1" thickBot="1" x14ac:dyDescent="0.25">
      <c r="A1" s="49" t="s">
        <v>189</v>
      </c>
      <c r="B1" s="50" t="s">
        <v>176</v>
      </c>
      <c r="C1" s="54" t="s">
        <v>331</v>
      </c>
      <c r="D1" s="765" t="s">
        <v>1383</v>
      </c>
      <c r="E1" s="54" t="s">
        <v>1405</v>
      </c>
    </row>
    <row r="2" spans="1:7" s="22" customFormat="1" ht="14.45" customHeight="1" x14ac:dyDescent="0.2">
      <c r="A2" s="43" t="s">
        <v>43</v>
      </c>
      <c r="B2" s="51" t="s">
        <v>152</v>
      </c>
      <c r="C2" s="51"/>
      <c r="D2" s="686"/>
      <c r="E2" s="51"/>
    </row>
    <row r="3" spans="1:7" s="16" customFormat="1" ht="14.45" customHeight="1" x14ac:dyDescent="0.2">
      <c r="A3" s="43" t="s">
        <v>44</v>
      </c>
      <c r="B3" s="51" t="s">
        <v>45</v>
      </c>
      <c r="C3" s="53"/>
      <c r="D3" s="686"/>
      <c r="E3" s="53"/>
    </row>
    <row r="4" spans="1:7" s="16" customFormat="1" ht="14.45" customHeight="1" x14ac:dyDescent="0.2">
      <c r="A4" s="101" t="s">
        <v>46</v>
      </c>
      <c r="B4" s="53" t="s">
        <v>47</v>
      </c>
      <c r="C4" s="53"/>
      <c r="D4" s="687"/>
      <c r="E4" s="53"/>
    </row>
    <row r="5" spans="1:7" s="16" customFormat="1" ht="18" customHeight="1" x14ac:dyDescent="0.2">
      <c r="A5" s="102" t="s">
        <v>48</v>
      </c>
      <c r="B5" s="53" t="s">
        <v>49</v>
      </c>
      <c r="C5" s="53">
        <v>100</v>
      </c>
      <c r="D5" s="687">
        <v>119271</v>
      </c>
      <c r="E5" s="53">
        <f t="shared" ref="E5:E14" si="0">SUM(C5:D5)</f>
        <v>119371</v>
      </c>
      <c r="F5"/>
      <c r="G5"/>
    </row>
    <row r="6" spans="1:7" s="16" customFormat="1" ht="18" customHeight="1" x14ac:dyDescent="0.2">
      <c r="A6" s="102" t="s">
        <v>50</v>
      </c>
      <c r="B6" s="53" t="s">
        <v>63</v>
      </c>
      <c r="C6" s="134">
        <v>1028163</v>
      </c>
      <c r="D6" s="687">
        <v>80007</v>
      </c>
      <c r="E6" s="53">
        <f t="shared" si="0"/>
        <v>1108170</v>
      </c>
      <c r="F6"/>
      <c r="G6"/>
    </row>
    <row r="7" spans="1:7" s="16" customFormat="1" ht="24.95" customHeight="1" x14ac:dyDescent="0.2">
      <c r="A7" s="102" t="s">
        <v>51</v>
      </c>
      <c r="B7" s="53" t="s">
        <v>52</v>
      </c>
      <c r="C7" s="88">
        <v>1264465</v>
      </c>
      <c r="D7" s="687">
        <v>31689</v>
      </c>
      <c r="E7" s="53">
        <f t="shared" si="0"/>
        <v>1296154</v>
      </c>
      <c r="F7"/>
      <c r="G7"/>
    </row>
    <row r="8" spans="1:7" s="16" customFormat="1" ht="15" customHeight="1" x14ac:dyDescent="0.2">
      <c r="A8" s="102" t="s">
        <v>53</v>
      </c>
      <c r="B8" s="53" t="s">
        <v>55</v>
      </c>
      <c r="C8" s="88">
        <v>447133</v>
      </c>
      <c r="D8" s="687">
        <v>53681</v>
      </c>
      <c r="E8" s="53">
        <f t="shared" si="0"/>
        <v>500814</v>
      </c>
      <c r="F8"/>
      <c r="G8"/>
    </row>
    <row r="9" spans="1:7" s="16" customFormat="1" ht="16.5" hidden="1" customHeight="1" x14ac:dyDescent="0.2">
      <c r="A9" s="102" t="s">
        <v>54</v>
      </c>
      <c r="B9" s="53" t="s">
        <v>129</v>
      </c>
      <c r="C9" s="53"/>
      <c r="D9" s="687"/>
      <c r="E9" s="53">
        <f t="shared" si="0"/>
        <v>0</v>
      </c>
    </row>
    <row r="10" spans="1:7" s="16" customFormat="1" ht="16.5" customHeight="1" x14ac:dyDescent="0.2">
      <c r="A10" s="762" t="s">
        <v>54</v>
      </c>
      <c r="B10" s="687" t="s">
        <v>1428</v>
      </c>
      <c r="C10" s="687"/>
      <c r="D10" s="687">
        <v>0</v>
      </c>
      <c r="E10" s="53">
        <f t="shared" si="0"/>
        <v>0</v>
      </c>
    </row>
    <row r="11" spans="1:7" s="16" customFormat="1" ht="16.5" customHeight="1" x14ac:dyDescent="0.2">
      <c r="A11" s="814" t="s">
        <v>1460</v>
      </c>
      <c r="B11" s="815" t="s">
        <v>1461</v>
      </c>
      <c r="C11" s="813"/>
      <c r="D11" s="813">
        <v>12679</v>
      </c>
      <c r="E11" s="813">
        <f t="shared" si="0"/>
        <v>12679</v>
      </c>
    </row>
    <row r="12" spans="1:7" s="16" customFormat="1" ht="24.75" customHeight="1" x14ac:dyDescent="0.2">
      <c r="A12" s="101" t="s">
        <v>1</v>
      </c>
      <c r="B12" s="53" t="s">
        <v>2</v>
      </c>
      <c r="C12" s="53">
        <v>34350</v>
      </c>
      <c r="D12" s="687"/>
      <c r="E12" s="53">
        <f t="shared" si="0"/>
        <v>34350</v>
      </c>
    </row>
    <row r="13" spans="1:7" s="16" customFormat="1" ht="18.75" customHeight="1" x14ac:dyDescent="0.2">
      <c r="A13" s="101" t="s">
        <v>166</v>
      </c>
      <c r="B13" s="53" t="s">
        <v>167</v>
      </c>
      <c r="C13" s="53">
        <v>1145280</v>
      </c>
      <c r="D13" s="687">
        <v>613093</v>
      </c>
      <c r="E13" s="53">
        <f t="shared" si="0"/>
        <v>1758373</v>
      </c>
    </row>
    <row r="14" spans="1:7" s="17" customFormat="1" ht="22.5" customHeight="1" x14ac:dyDescent="0.2">
      <c r="A14" s="54"/>
      <c r="B14" s="48" t="s">
        <v>56</v>
      </c>
      <c r="C14" s="48">
        <f>SUM(C4:C13)</f>
        <v>3919491</v>
      </c>
      <c r="D14" s="48">
        <f>SUM(D4:D13)</f>
        <v>910420</v>
      </c>
      <c r="E14" s="691">
        <f t="shared" si="0"/>
        <v>4829911</v>
      </c>
    </row>
    <row r="15" spans="1:7" s="16" customFormat="1" ht="14.45" customHeight="1" x14ac:dyDescent="0.2">
      <c r="A15" s="43" t="s">
        <v>57</v>
      </c>
      <c r="B15" s="51" t="s">
        <v>58</v>
      </c>
      <c r="C15" s="53"/>
      <c r="D15" s="686"/>
      <c r="E15" s="53"/>
    </row>
    <row r="16" spans="1:7" s="16" customFormat="1" ht="14.45" customHeight="1" x14ac:dyDescent="0.2">
      <c r="A16" s="101" t="s">
        <v>59</v>
      </c>
      <c r="B16" s="53" t="s">
        <v>60</v>
      </c>
      <c r="C16" s="53"/>
      <c r="D16" s="687">
        <v>18531</v>
      </c>
      <c r="E16" s="53">
        <f>SUM(C16:D16)</f>
        <v>18531</v>
      </c>
    </row>
    <row r="17" spans="1:5" s="16" customFormat="1" ht="17.25" customHeight="1" x14ac:dyDescent="0.2">
      <c r="A17" s="101" t="s">
        <v>61</v>
      </c>
      <c r="B17" s="53" t="s">
        <v>62</v>
      </c>
      <c r="C17" s="53">
        <v>9335556</v>
      </c>
      <c r="D17" s="687">
        <v>417999</v>
      </c>
      <c r="E17" s="53">
        <f>SUM(C17:D17)</f>
        <v>9753555</v>
      </c>
    </row>
    <row r="18" spans="1:5" s="17" customFormat="1" ht="18.75" customHeight="1" x14ac:dyDescent="0.2">
      <c r="A18" s="54"/>
      <c r="B18" s="48" t="s">
        <v>64</v>
      </c>
      <c r="C18" s="48">
        <f>SUM(C16:C17)</f>
        <v>9335556</v>
      </c>
      <c r="D18" s="48">
        <f>SUM(D16:D17)</f>
        <v>436530</v>
      </c>
      <c r="E18" s="691">
        <f>SUM(C18:D18)</f>
        <v>9772086</v>
      </c>
    </row>
    <row r="19" spans="1:5" s="16" customFormat="1" ht="14.45" customHeight="1" x14ac:dyDescent="0.2">
      <c r="A19" s="43" t="s">
        <v>65</v>
      </c>
      <c r="B19" s="51" t="s">
        <v>25</v>
      </c>
      <c r="C19" s="53"/>
      <c r="D19" s="686"/>
      <c r="E19" s="53"/>
    </row>
    <row r="20" spans="1:5" s="16" customFormat="1" ht="14.45" customHeight="1" x14ac:dyDescent="0.2">
      <c r="A20" s="113" t="s">
        <v>130</v>
      </c>
      <c r="B20" s="114" t="s">
        <v>131</v>
      </c>
      <c r="C20" s="53">
        <v>1086000</v>
      </c>
      <c r="D20" s="689"/>
      <c r="E20" s="53">
        <f>SUM(C20:D20)</f>
        <v>1086000</v>
      </c>
    </row>
    <row r="21" spans="1:5" s="16" customFormat="1" ht="14.45" customHeight="1" x14ac:dyDescent="0.2">
      <c r="A21" s="101" t="s">
        <v>66</v>
      </c>
      <c r="B21" s="53" t="s">
        <v>68</v>
      </c>
      <c r="C21" s="53"/>
      <c r="D21" s="687"/>
      <c r="E21" s="53"/>
    </row>
    <row r="22" spans="1:5" s="16" customFormat="1" ht="14.45" customHeight="1" x14ac:dyDescent="0.2">
      <c r="A22" s="102" t="s">
        <v>67</v>
      </c>
      <c r="B22" s="53" t="s">
        <v>16</v>
      </c>
      <c r="C22" s="53">
        <v>4700000</v>
      </c>
      <c r="D22" s="687"/>
      <c r="E22" s="53">
        <f t="shared" ref="E22:E43" si="1">SUM(C22:D22)</f>
        <v>4700000</v>
      </c>
    </row>
    <row r="23" spans="1:5" s="16" customFormat="1" ht="14.45" customHeight="1" x14ac:dyDescent="0.2">
      <c r="A23" s="102" t="s">
        <v>69</v>
      </c>
      <c r="B23" s="53" t="s">
        <v>73</v>
      </c>
      <c r="C23" s="53">
        <v>280000</v>
      </c>
      <c r="D23" s="687">
        <v>-280000</v>
      </c>
      <c r="E23" s="53">
        <f t="shared" si="1"/>
        <v>0</v>
      </c>
    </row>
    <row r="24" spans="1:5" s="16" customFormat="1" ht="15" customHeight="1" x14ac:dyDescent="0.2">
      <c r="A24" s="102" t="s">
        <v>74</v>
      </c>
      <c r="B24" s="53" t="s">
        <v>159</v>
      </c>
      <c r="C24" s="53">
        <v>21000</v>
      </c>
      <c r="D24" s="687">
        <v>-8000</v>
      </c>
      <c r="E24" s="53">
        <f t="shared" si="1"/>
        <v>13000</v>
      </c>
    </row>
    <row r="25" spans="1:5" s="16" customFormat="1" ht="14.45" customHeight="1" x14ac:dyDescent="0.2">
      <c r="A25" s="101" t="s">
        <v>75</v>
      </c>
      <c r="B25" s="53" t="s">
        <v>158</v>
      </c>
      <c r="C25" s="53">
        <v>8000</v>
      </c>
      <c r="D25" s="687"/>
      <c r="E25" s="53">
        <f t="shared" si="1"/>
        <v>8000</v>
      </c>
    </row>
    <row r="26" spans="1:5" ht="15" customHeight="1" x14ac:dyDescent="0.2">
      <c r="A26" s="54"/>
      <c r="B26" s="48" t="s">
        <v>76</v>
      </c>
      <c r="C26" s="48">
        <f>SUM(C19:C25)</f>
        <v>6095000</v>
      </c>
      <c r="D26" s="48">
        <f>SUM(D19:D25)</f>
        <v>-288000</v>
      </c>
      <c r="E26" s="691">
        <f t="shared" si="1"/>
        <v>5807000</v>
      </c>
    </row>
    <row r="27" spans="1:5" s="16" customFormat="1" ht="15" customHeight="1" x14ac:dyDescent="0.2">
      <c r="A27" s="54" t="s">
        <v>77</v>
      </c>
      <c r="B27" s="48" t="s">
        <v>250</v>
      </c>
      <c r="C27" s="48">
        <v>7031389</v>
      </c>
      <c r="D27" s="48">
        <v>92089</v>
      </c>
      <c r="E27" s="691">
        <f t="shared" si="1"/>
        <v>7123478</v>
      </c>
    </row>
    <row r="28" spans="1:5" s="16" customFormat="1" ht="15" customHeight="1" x14ac:dyDescent="0.2">
      <c r="A28" s="43" t="s">
        <v>78</v>
      </c>
      <c r="B28" s="51" t="s">
        <v>251</v>
      </c>
      <c r="C28" s="53"/>
      <c r="D28" s="686"/>
      <c r="E28" s="53">
        <f t="shared" si="1"/>
        <v>0</v>
      </c>
    </row>
    <row r="29" spans="1:5" s="16" customFormat="1" ht="15" customHeight="1" x14ac:dyDescent="0.2">
      <c r="A29" s="52" t="s">
        <v>79</v>
      </c>
      <c r="B29" s="53" t="s">
        <v>80</v>
      </c>
      <c r="C29" s="53">
        <v>76000</v>
      </c>
      <c r="D29" s="687">
        <v>8363</v>
      </c>
      <c r="E29" s="53">
        <f t="shared" si="1"/>
        <v>84363</v>
      </c>
    </row>
    <row r="30" spans="1:5" s="16" customFormat="1" ht="15" customHeight="1" x14ac:dyDescent="0.2">
      <c r="A30" s="52" t="s">
        <v>132</v>
      </c>
      <c r="B30" s="53" t="s">
        <v>133</v>
      </c>
      <c r="C30" s="53"/>
      <c r="D30" s="687">
        <v>831</v>
      </c>
      <c r="E30" s="53">
        <f t="shared" si="1"/>
        <v>831</v>
      </c>
    </row>
    <row r="31" spans="1:5" s="16" customFormat="1" ht="15" customHeight="1" x14ac:dyDescent="0.2">
      <c r="A31" s="83"/>
      <c r="B31" s="48" t="s">
        <v>81</v>
      </c>
      <c r="C31" s="48">
        <f>SUM(C29:C30)</f>
        <v>76000</v>
      </c>
      <c r="D31" s="688">
        <f>SUM(D29:D30)</f>
        <v>9194</v>
      </c>
      <c r="E31" s="691">
        <f t="shared" si="1"/>
        <v>85194</v>
      </c>
    </row>
    <row r="32" spans="1:5" s="16" customFormat="1" ht="15" customHeight="1" x14ac:dyDescent="0.2">
      <c r="A32" s="54" t="s">
        <v>82</v>
      </c>
      <c r="B32" s="48" t="s">
        <v>252</v>
      </c>
      <c r="C32" s="48"/>
      <c r="D32" s="688">
        <v>24678</v>
      </c>
      <c r="E32" s="691">
        <f t="shared" si="1"/>
        <v>24678</v>
      </c>
    </row>
    <row r="33" spans="1:5" s="16" customFormat="1" ht="15" customHeight="1" x14ac:dyDescent="0.2">
      <c r="A33" s="43" t="s">
        <v>83</v>
      </c>
      <c r="B33" s="51" t="s">
        <v>253</v>
      </c>
      <c r="C33" s="51"/>
      <c r="D33" s="686"/>
      <c r="E33" s="53">
        <f t="shared" si="1"/>
        <v>0</v>
      </c>
    </row>
    <row r="34" spans="1:5" s="16" customFormat="1" ht="24.95" customHeight="1" x14ac:dyDescent="0.2">
      <c r="A34" s="52" t="s">
        <v>1404</v>
      </c>
      <c r="B34" s="53" t="s">
        <v>84</v>
      </c>
      <c r="C34" s="53">
        <v>3000</v>
      </c>
      <c r="D34" s="687">
        <v>1000</v>
      </c>
      <c r="E34" s="53">
        <f t="shared" si="1"/>
        <v>4000</v>
      </c>
    </row>
    <row r="35" spans="1:5" s="16" customFormat="1" ht="15" customHeight="1" x14ac:dyDescent="0.2">
      <c r="A35" s="52" t="s">
        <v>85</v>
      </c>
      <c r="B35" s="53" t="s">
        <v>86</v>
      </c>
      <c r="C35" s="53"/>
      <c r="D35" s="687">
        <v>1650</v>
      </c>
      <c r="E35" s="53">
        <f t="shared" si="1"/>
        <v>1650</v>
      </c>
    </row>
    <row r="36" spans="1:5" s="16" customFormat="1" ht="15" customHeight="1" x14ac:dyDescent="0.2">
      <c r="A36" s="83"/>
      <c r="B36" s="48" t="s">
        <v>87</v>
      </c>
      <c r="C36" s="48">
        <f>SUM(C34:C35)</f>
        <v>3000</v>
      </c>
      <c r="D36" s="48">
        <f>SUM(D34:D35)</f>
        <v>2650</v>
      </c>
      <c r="E36" s="691">
        <f t="shared" si="1"/>
        <v>5650</v>
      </c>
    </row>
    <row r="37" spans="1:5" s="16" customFormat="1" ht="15" customHeight="1" x14ac:dyDescent="0.2">
      <c r="A37" s="54" t="s">
        <v>88</v>
      </c>
      <c r="B37" s="48" t="s">
        <v>183</v>
      </c>
      <c r="C37" s="48">
        <f>SUM(C14+C18+C26+C27+C31+C32+C36)</f>
        <v>26460436</v>
      </c>
      <c r="D37" s="48">
        <f>SUM(D14+D18+D26+D27+D31+D32+D36)</f>
        <v>1187561</v>
      </c>
      <c r="E37" s="691">
        <f t="shared" si="1"/>
        <v>27647997</v>
      </c>
    </row>
    <row r="38" spans="1:5" s="16" customFormat="1" ht="15.95" customHeight="1" x14ac:dyDescent="0.2">
      <c r="A38" s="43" t="s">
        <v>89</v>
      </c>
      <c r="B38" s="51" t="s">
        <v>254</v>
      </c>
      <c r="C38" s="51"/>
      <c r="D38" s="686"/>
      <c r="E38" s="53">
        <f t="shared" si="1"/>
        <v>0</v>
      </c>
    </row>
    <row r="39" spans="1:5" s="16" customFormat="1" ht="14.45" customHeight="1" x14ac:dyDescent="0.2">
      <c r="A39" s="101" t="s">
        <v>90</v>
      </c>
      <c r="B39" s="53" t="s">
        <v>91</v>
      </c>
      <c r="C39" s="53"/>
      <c r="D39" s="687"/>
      <c r="E39" s="53">
        <f t="shared" si="1"/>
        <v>0</v>
      </c>
    </row>
    <row r="40" spans="1:5" s="16" customFormat="1" ht="14.45" customHeight="1" x14ac:dyDescent="0.2">
      <c r="A40" s="103" t="s">
        <v>92</v>
      </c>
      <c r="B40" s="84" t="s">
        <v>93</v>
      </c>
      <c r="C40" s="53">
        <v>150000</v>
      </c>
      <c r="D40" s="690"/>
      <c r="E40" s="53">
        <f t="shared" si="1"/>
        <v>150000</v>
      </c>
    </row>
    <row r="41" spans="1:5" s="16" customFormat="1" ht="14.45" customHeight="1" x14ac:dyDescent="0.2">
      <c r="A41" s="103" t="s">
        <v>263</v>
      </c>
      <c r="B41" s="140" t="s">
        <v>262</v>
      </c>
      <c r="C41" s="53">
        <v>20687575</v>
      </c>
      <c r="D41" s="781">
        <v>432769</v>
      </c>
      <c r="E41" s="53">
        <f t="shared" si="1"/>
        <v>21120344</v>
      </c>
    </row>
    <row r="42" spans="1:5" s="16" customFormat="1" ht="14.45" customHeight="1" x14ac:dyDescent="0.2">
      <c r="A42" s="103" t="s">
        <v>94</v>
      </c>
      <c r="B42" s="84" t="s">
        <v>185</v>
      </c>
      <c r="C42" s="53">
        <v>16940041</v>
      </c>
      <c r="D42" s="690">
        <v>347386</v>
      </c>
      <c r="E42" s="53">
        <f t="shared" si="1"/>
        <v>17287427</v>
      </c>
    </row>
    <row r="43" spans="1:5" s="16" customFormat="1" ht="14.45" customHeight="1" x14ac:dyDescent="0.2">
      <c r="A43" s="763" t="s">
        <v>1429</v>
      </c>
      <c r="B43" s="764" t="s">
        <v>1430</v>
      </c>
      <c r="C43" s="687"/>
      <c r="D43" s="690">
        <v>1519</v>
      </c>
      <c r="E43" s="53">
        <f t="shared" si="1"/>
        <v>1519</v>
      </c>
    </row>
    <row r="44" spans="1:5" s="16" customFormat="1" ht="14.45" customHeight="1" x14ac:dyDescent="0.2">
      <c r="A44" s="104"/>
      <c r="B44" s="48" t="s">
        <v>95</v>
      </c>
      <c r="C44" s="48">
        <f>SUM(C40:C42)</f>
        <v>37777616</v>
      </c>
      <c r="D44" s="48">
        <f>SUM(D40:D43)</f>
        <v>781674</v>
      </c>
      <c r="E44" s="48">
        <f>SUM(E40:E43)</f>
        <v>38559290</v>
      </c>
    </row>
    <row r="45" spans="1:5" ht="15.95" customHeight="1" x14ac:dyDescent="0.2">
      <c r="A45" s="54"/>
      <c r="B45" s="48" t="s">
        <v>96</v>
      </c>
      <c r="C45" s="48">
        <f>SUM(C37+C44)</f>
        <v>64238052</v>
      </c>
      <c r="D45" s="48">
        <f>SUM(D37+D44)</f>
        <v>1969235</v>
      </c>
      <c r="E45" s="691">
        <f>SUM(C45:D45)</f>
        <v>66207287</v>
      </c>
    </row>
  </sheetData>
  <phoneticPr fontId="0" type="noConversion"/>
  <printOptions horizontalCentered="1"/>
  <pageMargins left="0.15748031496062992" right="0.15748031496062992" top="1.1023622047244095" bottom="0.23622047244094491" header="0.51181102362204722" footer="0.35433070866141736"/>
  <pageSetup paperSize="9" scale="93" orientation="portrait" horizontalDpi="300" verticalDpi="300" r:id="rId1"/>
  <headerFooter alignWithMargins="0">
    <oddHeader>&amp;C&amp;"Times New Roman CE,Félkövér dőlt"ZALAEGERSZEG MEGYEI  JOGÚ  VÁROS  ÖNKORMÁNYZATA
ÖSSZESÍTŐ A BEVÉTELEKRŐL ROVATONKÉNT
2020. ÉVBEN&amp;R&amp;"Times New Roman CE,Félkövér dőlt"2. melléklet
Adatok E Ft-ban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89"/>
  <sheetViews>
    <sheetView zoomScale="98" zoomScaleNormal="98" workbookViewId="0">
      <pane xSplit="1" ySplit="2" topLeftCell="B40" activePane="bottomRight" state="frozen"/>
      <selection pane="topRight" activeCell="B1" sqref="B1"/>
      <selection pane="bottomLeft" activeCell="A141" sqref="A141"/>
      <selection pane="bottomRight" activeCell="L1" sqref="L1:L1048576"/>
    </sheetView>
  </sheetViews>
  <sheetFormatPr defaultRowHeight="12" x14ac:dyDescent="0.2"/>
  <cols>
    <col min="1" max="1" width="66.1640625" style="150" customWidth="1"/>
    <col min="2" max="2" width="10.6640625" style="150" customWidth="1"/>
    <col min="3" max="3" width="9.83203125" style="150" customWidth="1"/>
    <col min="4" max="4" width="12.5" style="150" customWidth="1"/>
    <col min="5" max="5" width="12.6640625" style="150" customWidth="1"/>
    <col min="6" max="6" width="12" style="150" customWidth="1"/>
    <col min="7" max="7" width="11.5" style="150" customWidth="1"/>
    <col min="8" max="8" width="9.33203125" style="150"/>
    <col min="9" max="9" width="10.33203125" style="150" customWidth="1"/>
    <col min="10" max="10" width="12" style="150" customWidth="1"/>
    <col min="11" max="11" width="11.5" style="150" customWidth="1"/>
    <col min="12" max="12" width="15.1640625" style="150" hidden="1" customWidth="1"/>
    <col min="13" max="16384" width="9.33203125" style="150"/>
  </cols>
  <sheetData>
    <row r="1" spans="1:12" ht="21" customHeight="1" x14ac:dyDescent="0.2">
      <c r="A1" s="149"/>
      <c r="B1" s="922" t="s">
        <v>265</v>
      </c>
      <c r="C1" s="923"/>
      <c r="D1" s="926" t="s">
        <v>1407</v>
      </c>
      <c r="E1" s="927"/>
      <c r="F1" s="927"/>
      <c r="G1" s="922" t="s">
        <v>265</v>
      </c>
      <c r="H1" s="923"/>
      <c r="I1" s="926" t="s">
        <v>1408</v>
      </c>
      <c r="J1" s="927"/>
      <c r="K1" s="927"/>
      <c r="L1" s="873"/>
    </row>
    <row r="2" spans="1:12" ht="32.25" customHeight="1" x14ac:dyDescent="0.2">
      <c r="A2" s="151" t="s">
        <v>266</v>
      </c>
      <c r="B2" s="924"/>
      <c r="C2" s="925"/>
      <c r="D2" s="152" t="s">
        <v>267</v>
      </c>
      <c r="E2" s="152" t="s">
        <v>268</v>
      </c>
      <c r="F2" s="874" t="s">
        <v>269</v>
      </c>
      <c r="G2" s="924"/>
      <c r="H2" s="925"/>
      <c r="I2" s="152" t="s">
        <v>267</v>
      </c>
      <c r="J2" s="152" t="s">
        <v>268</v>
      </c>
      <c r="K2" s="874" t="s">
        <v>269</v>
      </c>
      <c r="L2" s="875" t="s">
        <v>270</v>
      </c>
    </row>
    <row r="3" spans="1:12" ht="11.25" customHeight="1" x14ac:dyDescent="0.2">
      <c r="A3" s="876" t="s">
        <v>271</v>
      </c>
      <c r="B3" s="877" t="s">
        <v>272</v>
      </c>
      <c r="C3" s="878" t="s">
        <v>273</v>
      </c>
      <c r="D3" s="153"/>
      <c r="E3" s="153"/>
      <c r="F3" s="879"/>
      <c r="G3" s="877" t="s">
        <v>272</v>
      </c>
      <c r="H3" s="878" t="s">
        <v>273</v>
      </c>
      <c r="I3" s="153"/>
      <c r="J3" s="153"/>
      <c r="K3" s="879"/>
      <c r="L3" s="877"/>
    </row>
    <row r="4" spans="1:12" ht="13.5" customHeight="1" x14ac:dyDescent="0.2">
      <c r="A4" s="880" t="s">
        <v>274</v>
      </c>
      <c r="B4" s="877"/>
      <c r="C4" s="877"/>
      <c r="D4" s="881"/>
      <c r="E4" s="881"/>
      <c r="F4" s="881"/>
      <c r="G4" s="877"/>
      <c r="H4" s="877"/>
      <c r="I4" s="881"/>
      <c r="J4" s="881"/>
      <c r="K4" s="881"/>
      <c r="L4" s="877"/>
    </row>
    <row r="5" spans="1:12" ht="15" customHeight="1" x14ac:dyDescent="0.2">
      <c r="A5" s="877" t="s">
        <v>275</v>
      </c>
      <c r="B5" s="877"/>
      <c r="C5" s="877"/>
      <c r="D5" s="881">
        <v>5450000</v>
      </c>
      <c r="E5" s="881">
        <v>606621</v>
      </c>
      <c r="F5" s="881"/>
      <c r="G5" s="877"/>
      <c r="H5" s="877">
        <v>131.66999999999999</v>
      </c>
      <c r="I5" s="881">
        <v>5450000</v>
      </c>
      <c r="J5" s="881">
        <v>717601</v>
      </c>
      <c r="K5" s="881"/>
      <c r="L5" s="882"/>
    </row>
    <row r="6" spans="1:12" ht="15" customHeight="1" x14ac:dyDescent="0.2">
      <c r="A6" s="877" t="s">
        <v>276</v>
      </c>
      <c r="B6" s="883"/>
      <c r="C6" s="883"/>
      <c r="D6" s="881"/>
      <c r="E6" s="881"/>
      <c r="F6" s="884"/>
      <c r="G6" s="883"/>
      <c r="H6" s="883"/>
      <c r="I6" s="881"/>
      <c r="J6" s="881"/>
      <c r="K6" s="881">
        <v>109143</v>
      </c>
      <c r="L6" s="882">
        <v>109143413</v>
      </c>
    </row>
    <row r="7" spans="1:12" ht="15" customHeight="1" x14ac:dyDescent="0.2">
      <c r="A7" s="885" t="s">
        <v>1486</v>
      </c>
      <c r="B7" s="883"/>
      <c r="C7" s="883"/>
      <c r="D7" s="881"/>
      <c r="E7" s="881"/>
      <c r="F7" s="884"/>
      <c r="G7" s="883"/>
      <c r="H7" s="883"/>
      <c r="I7" s="881"/>
      <c r="J7" s="881"/>
      <c r="K7" s="881">
        <v>3292</v>
      </c>
      <c r="L7" s="882">
        <v>3291750</v>
      </c>
    </row>
    <row r="8" spans="1:12" ht="15" customHeight="1" x14ac:dyDescent="0.2">
      <c r="A8" s="877" t="s">
        <v>277</v>
      </c>
      <c r="B8" s="877"/>
      <c r="C8" s="877"/>
      <c r="D8" s="881"/>
      <c r="E8" s="881"/>
      <c r="F8" s="881"/>
      <c r="G8" s="877"/>
      <c r="H8" s="877"/>
      <c r="I8" s="881"/>
      <c r="J8" s="881"/>
      <c r="K8" s="881"/>
      <c r="L8" s="882"/>
    </row>
    <row r="9" spans="1:12" ht="15" customHeight="1" x14ac:dyDescent="0.2">
      <c r="A9" s="877" t="s">
        <v>278</v>
      </c>
      <c r="B9" s="877"/>
      <c r="C9" s="886">
        <v>2310</v>
      </c>
      <c r="D9" s="887">
        <v>25200</v>
      </c>
      <c r="E9" s="888">
        <v>59553</v>
      </c>
      <c r="F9" s="881"/>
      <c r="G9" s="877"/>
      <c r="H9" s="886">
        <v>2310</v>
      </c>
      <c r="I9" s="887">
        <v>25200</v>
      </c>
      <c r="J9" s="888">
        <v>59553</v>
      </c>
      <c r="K9" s="881"/>
      <c r="L9" s="882"/>
    </row>
    <row r="10" spans="1:12" ht="15" customHeight="1" x14ac:dyDescent="0.2">
      <c r="A10" s="877" t="s">
        <v>279</v>
      </c>
      <c r="B10" s="877"/>
      <c r="C10" s="886">
        <v>399.2</v>
      </c>
      <c r="D10" s="887">
        <v>415000</v>
      </c>
      <c r="E10" s="888">
        <v>166539</v>
      </c>
      <c r="F10" s="881"/>
      <c r="G10" s="877"/>
      <c r="H10" s="886">
        <v>399.2</v>
      </c>
      <c r="I10" s="887">
        <v>415000</v>
      </c>
      <c r="J10" s="888">
        <v>166539</v>
      </c>
      <c r="K10" s="881"/>
      <c r="L10" s="882"/>
    </row>
    <row r="11" spans="1:12" ht="15" customHeight="1" x14ac:dyDescent="0.2">
      <c r="A11" s="877" t="s">
        <v>280</v>
      </c>
      <c r="B11" s="877"/>
      <c r="C11" s="887">
        <v>323446</v>
      </c>
      <c r="D11" s="887">
        <v>70</v>
      </c>
      <c r="E11" s="888">
        <v>22641</v>
      </c>
      <c r="F11" s="881"/>
      <c r="G11" s="877"/>
      <c r="H11" s="887">
        <v>323446</v>
      </c>
      <c r="I11" s="887">
        <v>70</v>
      </c>
      <c r="J11" s="888">
        <v>22641</v>
      </c>
      <c r="K11" s="881"/>
      <c r="L11" s="882"/>
    </row>
    <row r="12" spans="1:12" ht="15" customHeight="1" x14ac:dyDescent="0.2">
      <c r="A12" s="877" t="s">
        <v>281</v>
      </c>
      <c r="B12" s="877"/>
      <c r="C12" s="889">
        <v>219.09</v>
      </c>
      <c r="D12" s="887">
        <v>470000</v>
      </c>
      <c r="E12" s="888">
        <v>103339</v>
      </c>
      <c r="F12" s="881"/>
      <c r="G12" s="877"/>
      <c r="H12" s="889">
        <v>219.09</v>
      </c>
      <c r="I12" s="887">
        <v>470000</v>
      </c>
      <c r="J12" s="888">
        <v>103339</v>
      </c>
      <c r="K12" s="881"/>
      <c r="L12" s="882"/>
    </row>
    <row r="13" spans="1:12" ht="15" customHeight="1" x14ac:dyDescent="0.2">
      <c r="A13" s="877" t="s">
        <v>282</v>
      </c>
      <c r="B13" s="877"/>
      <c r="C13" s="877"/>
      <c r="D13" s="887"/>
      <c r="E13" s="887"/>
      <c r="F13" s="881"/>
      <c r="G13" s="877"/>
      <c r="H13" s="877"/>
      <c r="I13" s="887"/>
      <c r="J13" s="887"/>
      <c r="K13" s="881"/>
      <c r="L13" s="882"/>
    </row>
    <row r="14" spans="1:12" ht="15" customHeight="1" x14ac:dyDescent="0.2">
      <c r="A14" s="877" t="s">
        <v>283</v>
      </c>
      <c r="B14" s="877">
        <v>57513</v>
      </c>
      <c r="C14" s="877"/>
      <c r="D14" s="887">
        <v>2700</v>
      </c>
      <c r="E14" s="887">
        <f>SUM(B14*D14)/1000</f>
        <v>155285.1</v>
      </c>
      <c r="F14" s="881"/>
      <c r="G14" s="877">
        <v>57513</v>
      </c>
      <c r="H14" s="877"/>
      <c r="I14" s="887">
        <v>2700</v>
      </c>
      <c r="J14" s="887">
        <f>SUM(G14*I14)/1000</f>
        <v>155285.1</v>
      </c>
      <c r="K14" s="881"/>
      <c r="L14" s="882"/>
    </row>
    <row r="15" spans="1:12" ht="15" customHeight="1" x14ac:dyDescent="0.2">
      <c r="A15" s="877" t="s">
        <v>284</v>
      </c>
      <c r="B15" s="877"/>
      <c r="C15" s="877"/>
      <c r="D15" s="887"/>
      <c r="E15" s="887"/>
      <c r="F15" s="881"/>
      <c r="G15" s="877"/>
      <c r="H15" s="877"/>
      <c r="I15" s="887"/>
      <c r="J15" s="887"/>
      <c r="K15" s="881"/>
      <c r="L15" s="882"/>
    </row>
    <row r="16" spans="1:12" ht="15" customHeight="1" x14ac:dyDescent="0.2">
      <c r="A16" s="877" t="s">
        <v>285</v>
      </c>
      <c r="B16" s="877">
        <v>4112</v>
      </c>
      <c r="C16" s="877"/>
      <c r="D16" s="887">
        <v>2550</v>
      </c>
      <c r="E16" s="887">
        <v>10486</v>
      </c>
      <c r="F16" s="881"/>
      <c r="G16" s="877">
        <v>4112</v>
      </c>
      <c r="H16" s="877"/>
      <c r="I16" s="887">
        <v>2550</v>
      </c>
      <c r="J16" s="887">
        <v>10486</v>
      </c>
      <c r="K16" s="881"/>
      <c r="L16" s="882"/>
    </row>
    <row r="17" spans="1:12" ht="15" customHeight="1" x14ac:dyDescent="0.2">
      <c r="A17" s="877" t="s">
        <v>286</v>
      </c>
      <c r="B17" s="877"/>
      <c r="C17" s="877"/>
      <c r="D17" s="887"/>
      <c r="E17" s="887"/>
      <c r="F17" s="881"/>
      <c r="G17" s="877"/>
      <c r="H17" s="877"/>
      <c r="I17" s="887"/>
      <c r="J17" s="887"/>
      <c r="K17" s="881"/>
      <c r="L17" s="882"/>
    </row>
    <row r="18" spans="1:12" ht="15" customHeight="1" x14ac:dyDescent="0.2">
      <c r="A18" s="877" t="s">
        <v>287</v>
      </c>
      <c r="B18" s="877"/>
      <c r="C18" s="877"/>
      <c r="D18" s="889">
        <v>1</v>
      </c>
      <c r="E18" s="887">
        <v>22370</v>
      </c>
      <c r="F18" s="881"/>
      <c r="G18" s="877"/>
      <c r="H18" s="877"/>
      <c r="I18" s="889">
        <v>1</v>
      </c>
      <c r="J18" s="887">
        <v>22370</v>
      </c>
      <c r="K18" s="881"/>
      <c r="L18" s="882"/>
    </row>
    <row r="19" spans="1:12" ht="15" customHeight="1" x14ac:dyDescent="0.2">
      <c r="A19" s="877" t="s">
        <v>288</v>
      </c>
      <c r="B19" s="877"/>
      <c r="C19" s="877"/>
      <c r="D19" s="881"/>
      <c r="E19" s="881"/>
      <c r="F19" s="881"/>
      <c r="G19" s="877"/>
      <c r="H19" s="877"/>
      <c r="I19" s="881"/>
      <c r="J19" s="881"/>
      <c r="K19" s="881"/>
      <c r="L19" s="882"/>
    </row>
    <row r="20" spans="1:12" ht="15" customHeight="1" x14ac:dyDescent="0.2">
      <c r="A20" s="877" t="s">
        <v>289</v>
      </c>
      <c r="B20" s="877"/>
      <c r="C20" s="877"/>
      <c r="D20" s="881"/>
      <c r="E20" s="881">
        <v>-1148671</v>
      </c>
      <c r="F20" s="881"/>
      <c r="G20" s="877"/>
      <c r="H20" s="877"/>
      <c r="I20" s="881"/>
      <c r="J20" s="881">
        <v>-1148671</v>
      </c>
      <c r="K20" s="881"/>
      <c r="L20" s="882"/>
    </row>
    <row r="21" spans="1:12" ht="15" customHeight="1" x14ac:dyDescent="0.2">
      <c r="A21" s="877" t="s">
        <v>1396</v>
      </c>
      <c r="B21" s="877"/>
      <c r="C21" s="877"/>
      <c r="D21" s="881"/>
      <c r="E21" s="881"/>
      <c r="F21" s="881"/>
      <c r="G21" s="877"/>
      <c r="H21" s="877"/>
      <c r="I21" s="881"/>
      <c r="J21" s="881">
        <f>SUM(J5:J20)</f>
        <v>109143.10000000009</v>
      </c>
      <c r="K21" s="881"/>
      <c r="L21" s="882"/>
    </row>
    <row r="22" spans="1:12" ht="15" customHeight="1" x14ac:dyDescent="0.2">
      <c r="A22" s="877" t="s">
        <v>290</v>
      </c>
      <c r="B22" s="877"/>
      <c r="C22" s="877">
        <v>1000</v>
      </c>
      <c r="D22" s="881">
        <v>100</v>
      </c>
      <c r="E22" s="881"/>
      <c r="F22" s="881">
        <v>100</v>
      </c>
      <c r="G22" s="877"/>
      <c r="H22" s="877">
        <v>1000</v>
      </c>
      <c r="I22" s="881">
        <v>100</v>
      </c>
      <c r="J22" s="881"/>
      <c r="K22" s="881">
        <v>100</v>
      </c>
      <c r="L22" s="882">
        <v>100000</v>
      </c>
    </row>
    <row r="23" spans="1:12" ht="15" customHeight="1" x14ac:dyDescent="0.2">
      <c r="A23" s="880" t="s">
        <v>291</v>
      </c>
      <c r="B23" s="877"/>
      <c r="C23" s="877"/>
      <c r="D23" s="881"/>
      <c r="E23" s="881"/>
      <c r="F23" s="881"/>
      <c r="G23" s="877"/>
      <c r="H23" s="877"/>
      <c r="I23" s="881"/>
      <c r="J23" s="881"/>
      <c r="K23" s="881"/>
      <c r="L23" s="882"/>
    </row>
    <row r="24" spans="1:12" ht="24.95" customHeight="1" x14ac:dyDescent="0.2">
      <c r="A24" s="885" t="s">
        <v>292</v>
      </c>
      <c r="B24" s="877"/>
      <c r="C24" s="877"/>
      <c r="D24" s="881"/>
      <c r="E24" s="881"/>
      <c r="F24" s="881"/>
      <c r="G24" s="877"/>
      <c r="H24" s="877"/>
      <c r="I24" s="881"/>
      <c r="J24" s="881"/>
      <c r="K24" s="881"/>
      <c r="L24" s="882"/>
    </row>
    <row r="25" spans="1:12" ht="15" customHeight="1" x14ac:dyDescent="0.2">
      <c r="A25" s="885" t="s">
        <v>293</v>
      </c>
      <c r="B25" s="877"/>
      <c r="C25" s="877">
        <v>143.19999999999999</v>
      </c>
      <c r="D25" s="881">
        <v>4371500</v>
      </c>
      <c r="E25" s="881"/>
      <c r="F25" s="881">
        <v>625999</v>
      </c>
      <c r="G25" s="877"/>
      <c r="H25" s="877">
        <v>143.19999999999999</v>
      </c>
      <c r="I25" s="881">
        <v>4371500</v>
      </c>
      <c r="J25" s="881"/>
      <c r="K25" s="881">
        <v>625999</v>
      </c>
      <c r="L25" s="882">
        <v>625998800</v>
      </c>
    </row>
    <row r="26" spans="1:12" ht="15" customHeight="1" x14ac:dyDescent="0.2">
      <c r="A26" s="885" t="s">
        <v>1486</v>
      </c>
      <c r="B26" s="877"/>
      <c r="C26" s="877"/>
      <c r="D26" s="881"/>
      <c r="E26" s="881"/>
      <c r="F26" s="881"/>
      <c r="G26" s="877"/>
      <c r="H26" s="877">
        <v>143.19999999999999</v>
      </c>
      <c r="I26" s="881">
        <v>206500</v>
      </c>
      <c r="J26" s="881"/>
      <c r="K26" s="881">
        <v>29571</v>
      </c>
      <c r="L26" s="882">
        <v>29570800</v>
      </c>
    </row>
    <row r="27" spans="1:12" ht="24.95" customHeight="1" x14ac:dyDescent="0.2">
      <c r="A27" s="885" t="s">
        <v>294</v>
      </c>
      <c r="B27" s="877"/>
      <c r="C27" s="877">
        <v>93</v>
      </c>
      <c r="D27" s="881">
        <v>2400000</v>
      </c>
      <c r="E27" s="881"/>
      <c r="F27" s="881">
        <v>223200</v>
      </c>
      <c r="G27" s="877"/>
      <c r="H27" s="877">
        <v>93</v>
      </c>
      <c r="I27" s="881">
        <v>2400000</v>
      </c>
      <c r="J27" s="881"/>
      <c r="K27" s="881">
        <v>223200</v>
      </c>
      <c r="L27" s="882">
        <v>223200000</v>
      </c>
    </row>
    <row r="28" spans="1:12" ht="17.25" customHeight="1" x14ac:dyDescent="0.2">
      <c r="A28" s="885" t="s">
        <v>1486</v>
      </c>
      <c r="B28" s="877"/>
      <c r="C28" s="877"/>
      <c r="D28" s="881"/>
      <c r="E28" s="881"/>
      <c r="F28" s="881"/>
      <c r="G28" s="877"/>
      <c r="H28" s="877">
        <v>93</v>
      </c>
      <c r="I28" s="881">
        <v>500000</v>
      </c>
      <c r="J28" s="881"/>
      <c r="K28" s="881">
        <v>46500</v>
      </c>
      <c r="L28" s="882">
        <v>46500000</v>
      </c>
    </row>
    <row r="29" spans="1:12" ht="13.5" customHeight="1" x14ac:dyDescent="0.2">
      <c r="A29" s="877" t="s">
        <v>295</v>
      </c>
      <c r="B29" s="877"/>
      <c r="C29" s="877">
        <v>1617.7</v>
      </c>
      <c r="D29" s="881">
        <v>97400</v>
      </c>
      <c r="E29" s="881"/>
      <c r="F29" s="881">
        <v>157564</v>
      </c>
      <c r="G29" s="877"/>
      <c r="H29" s="877">
        <v>1618.3</v>
      </c>
      <c r="I29" s="881">
        <v>97400</v>
      </c>
      <c r="J29" s="881"/>
      <c r="K29" s="881">
        <v>157622</v>
      </c>
      <c r="L29" s="882">
        <v>157622420</v>
      </c>
    </row>
    <row r="30" spans="1:12" ht="15" customHeight="1" x14ac:dyDescent="0.2">
      <c r="A30" s="877" t="s">
        <v>296</v>
      </c>
      <c r="B30" s="877"/>
      <c r="C30" s="877"/>
      <c r="D30" s="881"/>
      <c r="E30" s="881"/>
      <c r="F30" s="881"/>
      <c r="G30" s="877"/>
      <c r="H30" s="877"/>
      <c r="I30" s="881"/>
      <c r="J30" s="881"/>
      <c r="K30" s="881"/>
      <c r="L30" s="882"/>
    </row>
    <row r="31" spans="1:12" ht="15" customHeight="1" x14ac:dyDescent="0.2">
      <c r="A31" s="877" t="s">
        <v>297</v>
      </c>
      <c r="B31" s="877"/>
      <c r="C31" s="877">
        <v>43</v>
      </c>
      <c r="D31" s="881">
        <v>396700</v>
      </c>
      <c r="E31" s="881"/>
      <c r="F31" s="881">
        <v>17058</v>
      </c>
      <c r="G31" s="877"/>
      <c r="H31" s="877">
        <v>43</v>
      </c>
      <c r="I31" s="881">
        <v>396700</v>
      </c>
      <c r="J31" s="881"/>
      <c r="K31" s="881">
        <v>17058</v>
      </c>
      <c r="L31" s="882">
        <v>17058100</v>
      </c>
    </row>
    <row r="32" spans="1:12" ht="15" customHeight="1" x14ac:dyDescent="0.2">
      <c r="A32" s="885" t="s">
        <v>1486</v>
      </c>
      <c r="B32" s="877"/>
      <c r="C32" s="877"/>
      <c r="D32" s="881"/>
      <c r="E32" s="881"/>
      <c r="F32" s="881"/>
      <c r="G32" s="877"/>
      <c r="H32" s="877">
        <v>43</v>
      </c>
      <c r="I32" s="881">
        <v>17000</v>
      </c>
      <c r="J32" s="881"/>
      <c r="K32" s="881">
        <v>731</v>
      </c>
      <c r="L32" s="882">
        <v>731000</v>
      </c>
    </row>
    <row r="33" spans="1:12" ht="24.75" customHeight="1" x14ac:dyDescent="0.2">
      <c r="A33" s="885" t="s">
        <v>298</v>
      </c>
      <c r="B33" s="877"/>
      <c r="C33" s="877"/>
      <c r="D33" s="881">
        <v>363642</v>
      </c>
      <c r="E33" s="881"/>
      <c r="F33" s="881"/>
      <c r="G33" s="877"/>
      <c r="H33" s="877">
        <v>8</v>
      </c>
      <c r="I33" s="881">
        <v>363642</v>
      </c>
      <c r="J33" s="881"/>
      <c r="K33" s="881">
        <v>2909</v>
      </c>
      <c r="L33" s="882">
        <v>2909136</v>
      </c>
    </row>
    <row r="34" spans="1:12" ht="17.25" customHeight="1" x14ac:dyDescent="0.2">
      <c r="A34" s="885" t="s">
        <v>1486</v>
      </c>
      <c r="B34" s="877"/>
      <c r="C34" s="877"/>
      <c r="D34" s="881"/>
      <c r="E34" s="881"/>
      <c r="F34" s="881"/>
      <c r="G34" s="877"/>
      <c r="H34" s="877">
        <v>8</v>
      </c>
      <c r="I34" s="881">
        <v>15583</v>
      </c>
      <c r="J34" s="881"/>
      <c r="K34" s="881">
        <v>125</v>
      </c>
      <c r="L34" s="882">
        <v>124664</v>
      </c>
    </row>
    <row r="35" spans="1:12" ht="15" customHeight="1" x14ac:dyDescent="0.2">
      <c r="A35" s="877" t="s">
        <v>299</v>
      </c>
      <c r="B35" s="877"/>
      <c r="C35" s="877">
        <v>3</v>
      </c>
      <c r="D35" s="881">
        <v>1447300</v>
      </c>
      <c r="E35" s="881"/>
      <c r="F35" s="881">
        <v>4342</v>
      </c>
      <c r="G35" s="877"/>
      <c r="H35" s="877">
        <v>3</v>
      </c>
      <c r="I35" s="881">
        <v>1447300</v>
      </c>
      <c r="J35" s="881"/>
      <c r="K35" s="881">
        <v>4342</v>
      </c>
      <c r="L35" s="882">
        <v>4341900</v>
      </c>
    </row>
    <row r="36" spans="1:12" ht="15" customHeight="1" x14ac:dyDescent="0.2">
      <c r="A36" s="885" t="s">
        <v>1486</v>
      </c>
      <c r="B36" s="877"/>
      <c r="C36" s="877"/>
      <c r="D36" s="881"/>
      <c r="E36" s="881"/>
      <c r="F36" s="881"/>
      <c r="G36" s="877"/>
      <c r="H36" s="877">
        <v>3</v>
      </c>
      <c r="I36" s="881">
        <v>38000</v>
      </c>
      <c r="J36" s="881"/>
      <c r="K36" s="881">
        <v>114</v>
      </c>
      <c r="L36" s="882">
        <v>114000</v>
      </c>
    </row>
    <row r="37" spans="1:12" ht="15" customHeight="1" x14ac:dyDescent="0.2">
      <c r="A37" s="880" t="s">
        <v>300</v>
      </c>
      <c r="B37" s="877"/>
      <c r="C37" s="877"/>
      <c r="D37" s="881"/>
      <c r="E37" s="881"/>
      <c r="F37" s="881"/>
      <c r="G37" s="877"/>
      <c r="H37" s="877"/>
      <c r="I37" s="881"/>
      <c r="J37" s="881"/>
      <c r="K37" s="881"/>
      <c r="L37" s="882"/>
    </row>
    <row r="38" spans="1:12" ht="15" customHeight="1" x14ac:dyDescent="0.2">
      <c r="A38" s="877" t="s">
        <v>301</v>
      </c>
      <c r="B38" s="877"/>
      <c r="C38" s="877"/>
      <c r="D38" s="881">
        <v>3780000</v>
      </c>
      <c r="E38" s="881"/>
      <c r="F38" s="881">
        <v>31620</v>
      </c>
      <c r="G38" s="877"/>
      <c r="H38" s="877">
        <v>8.6999999999999993</v>
      </c>
      <c r="I38" s="881">
        <v>3780000</v>
      </c>
      <c r="J38" s="881"/>
      <c r="K38" s="881">
        <v>32886</v>
      </c>
      <c r="L38" s="882">
        <v>32886000</v>
      </c>
    </row>
    <row r="39" spans="1:12" ht="15" customHeight="1" x14ac:dyDescent="0.2">
      <c r="A39" s="885" t="s">
        <v>1486</v>
      </c>
      <c r="B39" s="877"/>
      <c r="C39" s="877"/>
      <c r="D39" s="881"/>
      <c r="E39" s="881"/>
      <c r="F39" s="881"/>
      <c r="G39" s="877"/>
      <c r="H39" s="877">
        <v>8.6999999999999993</v>
      </c>
      <c r="I39" s="881">
        <v>320000</v>
      </c>
      <c r="J39" s="881"/>
      <c r="K39" s="881">
        <v>2784</v>
      </c>
      <c r="L39" s="882">
        <v>2784000</v>
      </c>
    </row>
    <row r="40" spans="1:12" ht="15" customHeight="1" x14ac:dyDescent="0.2">
      <c r="A40" s="877" t="s">
        <v>302</v>
      </c>
      <c r="B40" s="877"/>
      <c r="C40" s="877"/>
      <c r="D40" s="881">
        <v>3300000</v>
      </c>
      <c r="E40" s="881"/>
      <c r="F40" s="881">
        <v>78540</v>
      </c>
      <c r="G40" s="877"/>
      <c r="H40" s="877">
        <v>23.3</v>
      </c>
      <c r="I40" s="881">
        <v>3300000</v>
      </c>
      <c r="J40" s="881"/>
      <c r="K40" s="881">
        <v>76890</v>
      </c>
      <c r="L40" s="882">
        <v>76890000</v>
      </c>
    </row>
    <row r="41" spans="1:12" ht="15" customHeight="1" x14ac:dyDescent="0.2">
      <c r="A41" s="885" t="s">
        <v>1486</v>
      </c>
      <c r="B41" s="877"/>
      <c r="C41" s="877"/>
      <c r="D41" s="881"/>
      <c r="E41" s="881"/>
      <c r="F41" s="881"/>
      <c r="G41" s="877"/>
      <c r="H41" s="877">
        <v>23.3</v>
      </c>
      <c r="I41" s="881">
        <v>350000</v>
      </c>
      <c r="J41" s="881"/>
      <c r="K41" s="881">
        <v>8155</v>
      </c>
      <c r="L41" s="882">
        <v>8155000</v>
      </c>
    </row>
    <row r="42" spans="1:12" ht="12.75" customHeight="1" x14ac:dyDescent="0.2">
      <c r="A42" s="877" t="s">
        <v>303</v>
      </c>
      <c r="B42" s="877"/>
      <c r="C42" s="877">
        <v>325</v>
      </c>
      <c r="D42" s="881">
        <v>71896</v>
      </c>
      <c r="E42" s="881"/>
      <c r="F42" s="881">
        <v>23366</v>
      </c>
      <c r="G42" s="877"/>
      <c r="H42" s="877">
        <v>325</v>
      </c>
      <c r="I42" s="881">
        <v>71896</v>
      </c>
      <c r="J42" s="881"/>
      <c r="K42" s="881">
        <v>23366</v>
      </c>
      <c r="L42" s="882">
        <v>23366200</v>
      </c>
    </row>
    <row r="43" spans="1:12" ht="12.75" customHeight="1" x14ac:dyDescent="0.2">
      <c r="A43" s="885" t="s">
        <v>1486</v>
      </c>
      <c r="B43" s="877"/>
      <c r="C43" s="877"/>
      <c r="D43" s="881"/>
      <c r="E43" s="881"/>
      <c r="F43" s="881"/>
      <c r="G43" s="877"/>
      <c r="H43" s="877">
        <v>325</v>
      </c>
      <c r="I43" s="881">
        <v>1100</v>
      </c>
      <c r="J43" s="881"/>
      <c r="K43" s="881">
        <v>357</v>
      </c>
      <c r="L43" s="882">
        <v>357500</v>
      </c>
    </row>
    <row r="44" spans="1:12" ht="9.75" customHeight="1" x14ac:dyDescent="0.2">
      <c r="A44" s="877" t="s">
        <v>304</v>
      </c>
      <c r="B44" s="877"/>
      <c r="C44" s="877"/>
      <c r="D44" s="881"/>
      <c r="E44" s="881"/>
      <c r="F44" s="881"/>
      <c r="G44" s="877"/>
      <c r="H44" s="877"/>
      <c r="I44" s="881"/>
      <c r="J44" s="881"/>
      <c r="K44" s="881"/>
      <c r="L44" s="882"/>
    </row>
    <row r="45" spans="1:12" ht="15" customHeight="1" x14ac:dyDescent="0.2">
      <c r="A45" s="877" t="s">
        <v>305</v>
      </c>
      <c r="B45" s="877"/>
      <c r="C45" s="877">
        <v>2</v>
      </c>
      <c r="D45" s="881">
        <v>25000</v>
      </c>
      <c r="E45" s="881"/>
      <c r="F45" s="881">
        <v>50</v>
      </c>
      <c r="G45" s="877"/>
      <c r="H45" s="877">
        <v>2</v>
      </c>
      <c r="I45" s="881">
        <v>25000</v>
      </c>
      <c r="J45" s="881"/>
      <c r="K45" s="881">
        <v>50</v>
      </c>
      <c r="L45" s="882">
        <v>50000</v>
      </c>
    </row>
    <row r="46" spans="1:12" ht="13.5" customHeight="1" x14ac:dyDescent="0.2">
      <c r="A46" s="877" t="s">
        <v>306</v>
      </c>
      <c r="B46" s="877"/>
      <c r="C46" s="877">
        <v>53</v>
      </c>
      <c r="D46" s="881">
        <v>429000</v>
      </c>
      <c r="E46" s="881"/>
      <c r="F46" s="881">
        <v>22737</v>
      </c>
      <c r="G46" s="877"/>
      <c r="H46" s="877">
        <v>53</v>
      </c>
      <c r="I46" s="881">
        <v>429000</v>
      </c>
      <c r="J46" s="881"/>
      <c r="K46" s="881">
        <v>22737</v>
      </c>
      <c r="L46" s="882">
        <v>22737000</v>
      </c>
    </row>
    <row r="47" spans="1:12" ht="14.25" customHeight="1" x14ac:dyDescent="0.2">
      <c r="A47" s="885" t="s">
        <v>1486</v>
      </c>
      <c r="B47" s="877"/>
      <c r="C47" s="877"/>
      <c r="D47" s="881"/>
      <c r="E47" s="881"/>
      <c r="F47" s="881"/>
      <c r="G47" s="877"/>
      <c r="H47" s="877">
        <v>53</v>
      </c>
      <c r="I47" s="881">
        <v>42900</v>
      </c>
      <c r="J47" s="881"/>
      <c r="K47" s="881">
        <v>2274</v>
      </c>
      <c r="L47" s="882">
        <v>2273700</v>
      </c>
    </row>
    <row r="48" spans="1:12" ht="15" customHeight="1" x14ac:dyDescent="0.2">
      <c r="A48" s="885" t="s">
        <v>307</v>
      </c>
      <c r="B48" s="877"/>
      <c r="C48" s="877">
        <v>70</v>
      </c>
      <c r="D48" s="881">
        <v>285000</v>
      </c>
      <c r="E48" s="881"/>
      <c r="F48" s="881">
        <v>19950</v>
      </c>
      <c r="G48" s="877"/>
      <c r="H48" s="877">
        <v>70</v>
      </c>
      <c r="I48" s="881">
        <v>285000</v>
      </c>
      <c r="J48" s="881"/>
      <c r="K48" s="881">
        <v>19950</v>
      </c>
      <c r="L48" s="882">
        <v>19950000</v>
      </c>
    </row>
    <row r="49" spans="1:12" ht="15" customHeight="1" x14ac:dyDescent="0.2">
      <c r="A49" s="885" t="s">
        <v>1486</v>
      </c>
      <c r="B49" s="877"/>
      <c r="C49" s="877"/>
      <c r="D49" s="881"/>
      <c r="E49" s="881"/>
      <c r="F49" s="881"/>
      <c r="G49" s="877"/>
      <c r="H49" s="877">
        <v>70</v>
      </c>
      <c r="I49" s="881">
        <v>40500</v>
      </c>
      <c r="J49" s="881"/>
      <c r="K49" s="881">
        <v>2835</v>
      </c>
      <c r="L49" s="882">
        <v>2835000</v>
      </c>
    </row>
    <row r="50" spans="1:12" ht="15" customHeight="1" x14ac:dyDescent="0.2">
      <c r="A50" s="885" t="s">
        <v>308</v>
      </c>
      <c r="B50" s="877"/>
      <c r="C50" s="877">
        <v>4</v>
      </c>
      <c r="D50" s="881">
        <v>757900</v>
      </c>
      <c r="E50" s="881"/>
      <c r="F50" s="881">
        <v>3032</v>
      </c>
      <c r="G50" s="877"/>
      <c r="H50" s="877">
        <v>4</v>
      </c>
      <c r="I50" s="881">
        <v>757900</v>
      </c>
      <c r="J50" s="881"/>
      <c r="K50" s="881">
        <v>3032</v>
      </c>
      <c r="L50" s="882">
        <v>3031600</v>
      </c>
    </row>
    <row r="51" spans="1:12" ht="15" customHeight="1" x14ac:dyDescent="0.2">
      <c r="A51" s="885" t="s">
        <v>1486</v>
      </c>
      <c r="B51" s="877"/>
      <c r="C51" s="877"/>
      <c r="D51" s="881"/>
      <c r="E51" s="881"/>
      <c r="F51" s="881"/>
      <c r="G51" s="877"/>
      <c r="H51" s="877">
        <v>4</v>
      </c>
      <c r="I51" s="881">
        <v>47300</v>
      </c>
      <c r="J51" s="881"/>
      <c r="K51" s="881">
        <v>189</v>
      </c>
      <c r="L51" s="882">
        <v>189200</v>
      </c>
    </row>
    <row r="52" spans="1:12" ht="15" customHeight="1" x14ac:dyDescent="0.2">
      <c r="A52" s="885" t="s">
        <v>309</v>
      </c>
      <c r="B52" s="877"/>
      <c r="C52" s="877">
        <v>25</v>
      </c>
      <c r="D52" s="881">
        <v>430800</v>
      </c>
      <c r="E52" s="881"/>
      <c r="F52" s="881">
        <v>10770</v>
      </c>
      <c r="G52" s="877"/>
      <c r="H52" s="877">
        <v>25</v>
      </c>
      <c r="I52" s="881">
        <v>430800</v>
      </c>
      <c r="J52" s="881"/>
      <c r="K52" s="881">
        <v>10770</v>
      </c>
      <c r="L52" s="882">
        <v>10770000</v>
      </c>
    </row>
    <row r="53" spans="1:12" ht="15" customHeight="1" x14ac:dyDescent="0.2">
      <c r="A53" s="885" t="s">
        <v>1486</v>
      </c>
      <c r="B53" s="877"/>
      <c r="C53" s="877"/>
      <c r="D53" s="881"/>
      <c r="E53" s="881"/>
      <c r="F53" s="881"/>
      <c r="G53" s="877"/>
      <c r="H53" s="877">
        <v>25</v>
      </c>
      <c r="I53" s="881">
        <v>19200</v>
      </c>
      <c r="J53" s="881"/>
      <c r="K53" s="881">
        <v>480</v>
      </c>
      <c r="L53" s="882">
        <v>480000</v>
      </c>
    </row>
    <row r="54" spans="1:12" ht="15" customHeight="1" x14ac:dyDescent="0.2">
      <c r="A54" s="885" t="s">
        <v>310</v>
      </c>
      <c r="B54" s="877"/>
      <c r="C54" s="877">
        <v>15</v>
      </c>
      <c r="D54" s="881"/>
      <c r="E54" s="881"/>
      <c r="F54" s="881">
        <v>54229</v>
      </c>
      <c r="G54" s="877"/>
      <c r="H54" s="877">
        <v>15</v>
      </c>
      <c r="I54" s="881"/>
      <c r="J54" s="881"/>
      <c r="K54" s="881">
        <v>54229</v>
      </c>
      <c r="L54" s="882">
        <v>54228837</v>
      </c>
    </row>
    <row r="55" spans="1:12" ht="13.5" customHeight="1" x14ac:dyDescent="0.2">
      <c r="A55" s="877" t="s">
        <v>311</v>
      </c>
      <c r="B55" s="877"/>
      <c r="C55" s="877"/>
      <c r="D55" s="881"/>
      <c r="E55" s="881"/>
      <c r="F55" s="881"/>
      <c r="G55" s="877"/>
      <c r="H55" s="877"/>
      <c r="I55" s="881"/>
      <c r="J55" s="881"/>
      <c r="K55" s="881"/>
      <c r="L55" s="882"/>
    </row>
    <row r="56" spans="1:12" ht="13.5" customHeight="1" x14ac:dyDescent="0.2">
      <c r="A56" s="877" t="s">
        <v>312</v>
      </c>
      <c r="B56" s="877"/>
      <c r="C56" s="877">
        <v>18</v>
      </c>
      <c r="D56" s="881">
        <v>4419000</v>
      </c>
      <c r="E56" s="881"/>
      <c r="F56" s="881">
        <v>79542</v>
      </c>
      <c r="G56" s="877"/>
      <c r="H56" s="877">
        <v>18</v>
      </c>
      <c r="I56" s="881">
        <v>4419000</v>
      </c>
      <c r="J56" s="881"/>
      <c r="K56" s="881">
        <v>79542</v>
      </c>
      <c r="L56" s="882">
        <v>79542000</v>
      </c>
    </row>
    <row r="57" spans="1:12" ht="13.5" customHeight="1" x14ac:dyDescent="0.2">
      <c r="A57" s="885" t="s">
        <v>1486</v>
      </c>
      <c r="B57" s="877"/>
      <c r="C57" s="877"/>
      <c r="D57" s="881"/>
      <c r="E57" s="881"/>
      <c r="F57" s="881"/>
      <c r="G57" s="877"/>
      <c r="H57" s="877">
        <v>18</v>
      </c>
      <c r="I57" s="881">
        <v>206500</v>
      </c>
      <c r="J57" s="881"/>
      <c r="K57" s="881">
        <v>3717</v>
      </c>
      <c r="L57" s="882">
        <v>3717000</v>
      </c>
    </row>
    <row r="58" spans="1:12" ht="13.5" customHeight="1" x14ac:dyDescent="0.2">
      <c r="A58" s="877" t="s">
        <v>313</v>
      </c>
      <c r="B58" s="877"/>
      <c r="C58" s="877">
        <v>51.4</v>
      </c>
      <c r="D58" s="881">
        <v>2993000</v>
      </c>
      <c r="E58" s="881"/>
      <c r="F58" s="881">
        <v>153840</v>
      </c>
      <c r="G58" s="877"/>
      <c r="H58" s="877">
        <v>53.5</v>
      </c>
      <c r="I58" s="881">
        <v>2993000</v>
      </c>
      <c r="J58" s="881"/>
      <c r="K58" s="881">
        <v>160125</v>
      </c>
      <c r="L58" s="882">
        <v>160125500</v>
      </c>
    </row>
    <row r="59" spans="1:12" ht="13.5" customHeight="1" x14ac:dyDescent="0.2">
      <c r="A59" s="885" t="s">
        <v>1486</v>
      </c>
      <c r="B59" s="877"/>
      <c r="C59" s="877"/>
      <c r="D59" s="881"/>
      <c r="E59" s="881"/>
      <c r="F59" s="881"/>
      <c r="G59" s="877"/>
      <c r="H59" s="877">
        <v>53.5</v>
      </c>
      <c r="I59" s="881">
        <v>115000</v>
      </c>
      <c r="J59" s="881"/>
      <c r="K59" s="881">
        <v>6153</v>
      </c>
      <c r="L59" s="882">
        <v>6152500</v>
      </c>
    </row>
    <row r="60" spans="1:12" ht="13.5" customHeight="1" x14ac:dyDescent="0.2">
      <c r="A60" s="877" t="s">
        <v>314</v>
      </c>
      <c r="B60" s="877"/>
      <c r="C60" s="877"/>
      <c r="D60" s="881"/>
      <c r="E60" s="881"/>
      <c r="F60" s="881">
        <v>97692</v>
      </c>
      <c r="G60" s="877"/>
      <c r="H60" s="877"/>
      <c r="I60" s="881"/>
      <c r="J60" s="881"/>
      <c r="K60" s="881">
        <v>62735</v>
      </c>
      <c r="L60" s="882">
        <v>62735000</v>
      </c>
    </row>
    <row r="61" spans="1:12" ht="13.5" customHeight="1" x14ac:dyDescent="0.2">
      <c r="A61" s="877" t="s">
        <v>1487</v>
      </c>
      <c r="B61" s="877"/>
      <c r="C61" s="877"/>
      <c r="D61" s="881"/>
      <c r="E61" s="881"/>
      <c r="F61" s="881"/>
      <c r="G61" s="877"/>
      <c r="H61" s="877"/>
      <c r="I61" s="881"/>
      <c r="J61" s="881"/>
      <c r="K61" s="881">
        <v>27189</v>
      </c>
      <c r="L61" s="882">
        <v>27189000</v>
      </c>
    </row>
    <row r="62" spans="1:12" ht="26.25" customHeight="1" x14ac:dyDescent="0.2">
      <c r="A62" s="885" t="s">
        <v>315</v>
      </c>
      <c r="B62" s="877"/>
      <c r="C62" s="877"/>
      <c r="D62" s="881"/>
      <c r="E62" s="881"/>
      <c r="F62" s="881"/>
      <c r="G62" s="877"/>
      <c r="H62" s="877"/>
      <c r="I62" s="881"/>
      <c r="J62" s="881"/>
      <c r="K62" s="881"/>
      <c r="L62" s="882"/>
    </row>
    <row r="63" spans="1:12" ht="13.5" customHeight="1" x14ac:dyDescent="0.2">
      <c r="A63" s="885" t="s">
        <v>316</v>
      </c>
      <c r="B63" s="877"/>
      <c r="C63" s="877">
        <v>36.200000000000003</v>
      </c>
      <c r="D63" s="881">
        <v>3858040</v>
      </c>
      <c r="E63" s="881"/>
      <c r="F63" s="881">
        <v>139661</v>
      </c>
      <c r="G63" s="877"/>
      <c r="H63" s="877">
        <v>36.200000000000003</v>
      </c>
      <c r="I63" s="881">
        <v>3858040</v>
      </c>
      <c r="J63" s="881"/>
      <c r="K63" s="881">
        <v>139661</v>
      </c>
      <c r="L63" s="882">
        <v>139661048</v>
      </c>
    </row>
    <row r="64" spans="1:12" ht="13.5" customHeight="1" x14ac:dyDescent="0.2">
      <c r="A64" s="885" t="s">
        <v>1486</v>
      </c>
      <c r="B64" s="877"/>
      <c r="C64" s="877"/>
      <c r="D64" s="881"/>
      <c r="E64" s="881"/>
      <c r="F64" s="881"/>
      <c r="G64" s="877"/>
      <c r="H64" s="877">
        <v>36.200000000000003</v>
      </c>
      <c r="I64" s="881">
        <v>376000</v>
      </c>
      <c r="J64" s="881"/>
      <c r="K64" s="881">
        <v>13611</v>
      </c>
      <c r="L64" s="882">
        <v>13611200</v>
      </c>
    </row>
    <row r="65" spans="1:12" ht="13.5" customHeight="1" x14ac:dyDescent="0.2">
      <c r="A65" s="877" t="s">
        <v>317</v>
      </c>
      <c r="B65" s="877"/>
      <c r="C65" s="877"/>
      <c r="D65" s="881"/>
      <c r="E65" s="881"/>
      <c r="F65" s="881">
        <v>19913</v>
      </c>
      <c r="G65" s="877"/>
      <c r="H65" s="877"/>
      <c r="I65" s="881"/>
      <c r="J65" s="881"/>
      <c r="K65" s="881">
        <v>19913</v>
      </c>
      <c r="L65" s="882">
        <v>19913000</v>
      </c>
    </row>
    <row r="66" spans="1:12" ht="13.5" customHeight="1" x14ac:dyDescent="0.2">
      <c r="A66" s="890" t="s">
        <v>318</v>
      </c>
      <c r="B66" s="877"/>
      <c r="C66" s="877"/>
      <c r="D66" s="881"/>
      <c r="E66" s="881"/>
      <c r="F66" s="881"/>
      <c r="G66" s="877"/>
      <c r="H66" s="877"/>
      <c r="I66" s="881"/>
      <c r="J66" s="881"/>
      <c r="K66" s="881"/>
      <c r="L66" s="882"/>
    </row>
    <row r="67" spans="1:12" ht="13.5" customHeight="1" x14ac:dyDescent="0.2">
      <c r="A67" s="877" t="s">
        <v>319</v>
      </c>
      <c r="B67" s="877"/>
      <c r="C67" s="877">
        <v>106.91</v>
      </c>
      <c r="D67" s="881">
        <v>2200000</v>
      </c>
      <c r="E67" s="881"/>
      <c r="F67" s="881">
        <v>235202</v>
      </c>
      <c r="G67" s="877"/>
      <c r="H67" s="877">
        <v>82.54</v>
      </c>
      <c r="I67" s="881">
        <v>2200000</v>
      </c>
      <c r="J67" s="881"/>
      <c r="K67" s="881">
        <v>181588</v>
      </c>
      <c r="L67" s="882">
        <v>181588000</v>
      </c>
    </row>
    <row r="68" spans="1:12" ht="13.5" customHeight="1" x14ac:dyDescent="0.2">
      <c r="A68" s="885" t="s">
        <v>1486</v>
      </c>
      <c r="B68" s="877"/>
      <c r="C68" s="877"/>
      <c r="D68" s="881"/>
      <c r="E68" s="881"/>
      <c r="F68" s="881"/>
      <c r="G68" s="877"/>
      <c r="H68" s="877">
        <v>82.54</v>
      </c>
      <c r="I68" s="881">
        <v>176000</v>
      </c>
      <c r="J68" s="881"/>
      <c r="K68" s="881">
        <v>14527</v>
      </c>
      <c r="L68" s="882">
        <v>14527040</v>
      </c>
    </row>
    <row r="69" spans="1:12" ht="13.5" customHeight="1" x14ac:dyDescent="0.2">
      <c r="A69" s="877" t="s">
        <v>320</v>
      </c>
      <c r="B69" s="877"/>
      <c r="C69" s="877"/>
      <c r="D69" s="881"/>
      <c r="E69" s="881"/>
      <c r="F69" s="881">
        <v>293738</v>
      </c>
      <c r="G69" s="877"/>
      <c r="H69" s="877"/>
      <c r="I69" s="881"/>
      <c r="J69" s="881"/>
      <c r="K69" s="881">
        <v>233018</v>
      </c>
      <c r="L69" s="882">
        <v>233018240</v>
      </c>
    </row>
    <row r="70" spans="1:12" ht="13.5" customHeight="1" x14ac:dyDescent="0.2">
      <c r="A70" s="877" t="s">
        <v>321</v>
      </c>
      <c r="B70" s="877"/>
      <c r="C70" s="877">
        <v>2046</v>
      </c>
      <c r="D70" s="881">
        <v>285</v>
      </c>
      <c r="E70" s="881"/>
      <c r="F70" s="881">
        <v>583</v>
      </c>
      <c r="G70" s="877"/>
      <c r="H70" s="877">
        <v>1998</v>
      </c>
      <c r="I70" s="881">
        <v>285</v>
      </c>
      <c r="J70" s="881"/>
      <c r="K70" s="881">
        <v>569</v>
      </c>
      <c r="L70" s="882">
        <v>569430</v>
      </c>
    </row>
    <row r="71" spans="1:12" ht="13.5" customHeight="1" x14ac:dyDescent="0.2">
      <c r="A71" s="891" t="s">
        <v>322</v>
      </c>
      <c r="B71" s="877"/>
      <c r="C71" s="877"/>
      <c r="D71" s="881"/>
      <c r="E71" s="881"/>
      <c r="F71" s="881"/>
      <c r="G71" s="877"/>
      <c r="H71" s="877"/>
      <c r="I71" s="881"/>
      <c r="J71" s="881"/>
      <c r="K71" s="881"/>
      <c r="L71" s="882"/>
    </row>
    <row r="72" spans="1:12" ht="13.5" customHeight="1" x14ac:dyDescent="0.2">
      <c r="A72" s="885" t="s">
        <v>323</v>
      </c>
      <c r="B72" s="877">
        <v>57513</v>
      </c>
      <c r="C72" s="877"/>
      <c r="D72" s="881">
        <v>459</v>
      </c>
      <c r="E72" s="881"/>
      <c r="F72" s="881">
        <v>26399</v>
      </c>
      <c r="G72" s="877">
        <v>57513</v>
      </c>
      <c r="H72" s="877"/>
      <c r="I72" s="881">
        <v>459</v>
      </c>
      <c r="J72" s="881"/>
      <c r="K72" s="881">
        <v>26399</v>
      </c>
      <c r="L72" s="882">
        <v>26398467</v>
      </c>
    </row>
    <row r="73" spans="1:12" ht="13.5" customHeight="1" x14ac:dyDescent="0.2">
      <c r="A73" s="885" t="s">
        <v>1486</v>
      </c>
      <c r="B73" s="877"/>
      <c r="C73" s="877"/>
      <c r="D73" s="881"/>
      <c r="E73" s="881"/>
      <c r="F73" s="881"/>
      <c r="G73" s="877">
        <v>57513</v>
      </c>
      <c r="H73" s="877"/>
      <c r="I73" s="881">
        <v>146</v>
      </c>
      <c r="J73" s="881"/>
      <c r="K73" s="881">
        <v>8397</v>
      </c>
      <c r="L73" s="882">
        <v>8396898</v>
      </c>
    </row>
    <row r="74" spans="1:12" ht="24.95" customHeight="1" x14ac:dyDescent="0.2">
      <c r="A74" s="885" t="s">
        <v>324</v>
      </c>
      <c r="B74" s="877"/>
      <c r="C74" s="877"/>
      <c r="D74" s="881"/>
      <c r="E74" s="881"/>
      <c r="F74" s="881">
        <v>175534</v>
      </c>
      <c r="G74" s="877"/>
      <c r="H74" s="877"/>
      <c r="I74" s="881"/>
      <c r="J74" s="881"/>
      <c r="K74" s="881">
        <v>175534</v>
      </c>
      <c r="L74" s="882">
        <v>175534300</v>
      </c>
    </row>
    <row r="75" spans="1:12" ht="17.25" customHeight="1" x14ac:dyDescent="0.2">
      <c r="A75" s="892" t="s">
        <v>325</v>
      </c>
      <c r="B75" s="877"/>
      <c r="C75" s="877"/>
      <c r="D75" s="881"/>
      <c r="E75" s="881"/>
      <c r="F75" s="881"/>
      <c r="G75" s="877"/>
      <c r="H75" s="877"/>
      <c r="I75" s="881"/>
      <c r="J75" s="881"/>
      <c r="K75" s="881"/>
      <c r="L75" s="882"/>
    </row>
    <row r="76" spans="1:12" ht="17.25" customHeight="1" x14ac:dyDescent="0.2">
      <c r="A76" s="892" t="s">
        <v>1403</v>
      </c>
      <c r="B76" s="877"/>
      <c r="C76" s="877"/>
      <c r="D76" s="881"/>
      <c r="E76" s="881"/>
      <c r="F76" s="881"/>
      <c r="G76" s="877"/>
      <c r="H76" s="877"/>
      <c r="I76" s="881"/>
      <c r="J76" s="881"/>
      <c r="K76" s="881"/>
      <c r="L76" s="882"/>
    </row>
    <row r="77" spans="1:12" ht="27.75" customHeight="1" x14ac:dyDescent="0.2">
      <c r="A77" s="885" t="s">
        <v>1397</v>
      </c>
      <c r="B77" s="877"/>
      <c r="C77" s="877"/>
      <c r="D77" s="881"/>
      <c r="E77" s="881"/>
      <c r="F77" s="881"/>
      <c r="G77" s="877"/>
      <c r="H77" s="877"/>
      <c r="I77" s="881"/>
      <c r="J77" s="881"/>
      <c r="K77" s="881">
        <v>6836</v>
      </c>
      <c r="L77" s="882">
        <v>6836137</v>
      </c>
    </row>
    <row r="78" spans="1:12" ht="14.25" customHeight="1" x14ac:dyDescent="0.2">
      <c r="A78" s="885" t="s">
        <v>1398</v>
      </c>
      <c r="B78" s="877"/>
      <c r="C78" s="877"/>
      <c r="D78" s="881"/>
      <c r="E78" s="881"/>
      <c r="F78" s="881"/>
      <c r="G78" s="877"/>
      <c r="H78" s="877"/>
      <c r="I78" s="881"/>
      <c r="J78" s="881"/>
      <c r="K78" s="881"/>
      <c r="L78" s="882"/>
    </row>
    <row r="79" spans="1:12" ht="16.5" customHeight="1" x14ac:dyDescent="0.2">
      <c r="A79" s="885" t="s">
        <v>1400</v>
      </c>
      <c r="B79" s="877"/>
      <c r="C79" s="877"/>
      <c r="D79" s="881"/>
      <c r="E79" s="881"/>
      <c r="F79" s="881"/>
      <c r="G79" s="877"/>
      <c r="H79" s="877"/>
      <c r="I79" s="881"/>
      <c r="J79" s="881"/>
      <c r="K79" s="881">
        <v>90851</v>
      </c>
      <c r="L79" s="882">
        <v>90851564</v>
      </c>
    </row>
    <row r="80" spans="1:12" ht="15" customHeight="1" x14ac:dyDescent="0.2">
      <c r="A80" s="885" t="s">
        <v>1401</v>
      </c>
      <c r="B80" s="877"/>
      <c r="C80" s="877"/>
      <c r="D80" s="881"/>
      <c r="E80" s="881"/>
      <c r="F80" s="881"/>
      <c r="G80" s="877"/>
      <c r="H80" s="877"/>
      <c r="I80" s="881"/>
      <c r="J80" s="881"/>
      <c r="K80" s="881">
        <v>1970</v>
      </c>
      <c r="L80" s="882">
        <v>1969645</v>
      </c>
    </row>
    <row r="81" spans="1:12" ht="15.75" customHeight="1" x14ac:dyDescent="0.2">
      <c r="A81" s="885" t="s">
        <v>326</v>
      </c>
      <c r="B81" s="877"/>
      <c r="C81" s="877"/>
      <c r="D81" s="881"/>
      <c r="E81" s="881"/>
      <c r="F81" s="881"/>
      <c r="G81" s="877"/>
      <c r="H81" s="877"/>
      <c r="I81" s="881"/>
      <c r="J81" s="881"/>
      <c r="K81" s="881"/>
      <c r="L81" s="882"/>
    </row>
    <row r="82" spans="1:12" ht="24.95" customHeight="1" x14ac:dyDescent="0.2">
      <c r="A82" s="893" t="s">
        <v>327</v>
      </c>
      <c r="B82" s="877"/>
      <c r="C82" s="877"/>
      <c r="D82" s="881"/>
      <c r="E82" s="881"/>
      <c r="F82" s="881">
        <v>110200</v>
      </c>
      <c r="G82" s="877"/>
      <c r="H82" s="877"/>
      <c r="I82" s="881"/>
      <c r="J82" s="881"/>
      <c r="K82" s="881">
        <v>110200</v>
      </c>
      <c r="L82" s="882">
        <v>110200000</v>
      </c>
    </row>
    <row r="83" spans="1:12" ht="24.95" customHeight="1" x14ac:dyDescent="0.2">
      <c r="A83" s="893" t="s">
        <v>328</v>
      </c>
      <c r="B83" s="877"/>
      <c r="C83" s="877"/>
      <c r="D83" s="881"/>
      <c r="E83" s="881"/>
      <c r="F83" s="881">
        <v>135000</v>
      </c>
      <c r="G83" s="877"/>
      <c r="H83" s="877"/>
      <c r="I83" s="881"/>
      <c r="J83" s="881"/>
      <c r="K83" s="881">
        <v>135000</v>
      </c>
      <c r="L83" s="882">
        <v>135000000</v>
      </c>
    </row>
    <row r="84" spans="1:12" ht="16.5" customHeight="1" x14ac:dyDescent="0.2">
      <c r="A84" s="893" t="s">
        <v>1399</v>
      </c>
      <c r="B84" s="877"/>
      <c r="C84" s="877"/>
      <c r="D84" s="881"/>
      <c r="E84" s="881"/>
      <c r="F84" s="881"/>
      <c r="G84" s="877"/>
      <c r="H84" s="877"/>
      <c r="I84" s="881"/>
      <c r="J84" s="881"/>
      <c r="K84" s="881">
        <v>45284</v>
      </c>
      <c r="L84" s="882">
        <v>45284238</v>
      </c>
    </row>
    <row r="85" spans="1:12" ht="15.75" customHeight="1" x14ac:dyDescent="0.2">
      <c r="A85" s="894" t="s">
        <v>1402</v>
      </c>
      <c r="B85" s="877"/>
      <c r="C85" s="877"/>
      <c r="D85" s="881"/>
      <c r="E85" s="881"/>
      <c r="F85" s="881"/>
      <c r="G85" s="877"/>
      <c r="H85" s="877"/>
      <c r="I85" s="881"/>
      <c r="J85" s="881"/>
      <c r="K85" s="881">
        <v>18531</v>
      </c>
      <c r="L85" s="882">
        <v>18530629</v>
      </c>
    </row>
    <row r="86" spans="1:12" ht="15" customHeight="1" x14ac:dyDescent="0.2">
      <c r="A86" s="895" t="s">
        <v>1462</v>
      </c>
      <c r="B86" s="877"/>
      <c r="C86" s="877"/>
      <c r="D86" s="881"/>
      <c r="E86" s="881"/>
      <c r="F86" s="881"/>
      <c r="G86" s="877"/>
      <c r="H86" s="877"/>
      <c r="I86" s="881"/>
      <c r="J86" s="881"/>
      <c r="K86" s="881">
        <v>12679</v>
      </c>
      <c r="L86" s="882">
        <v>12678457</v>
      </c>
    </row>
    <row r="87" spans="1:12" ht="13.5" customHeight="1" x14ac:dyDescent="0.2">
      <c r="A87" s="896" t="s">
        <v>329</v>
      </c>
      <c r="B87" s="897"/>
      <c r="C87" s="898"/>
      <c r="D87" s="899"/>
      <c r="E87" s="899"/>
      <c r="F87" s="899">
        <f>SUM(F5:F85)</f>
        <v>2739861</v>
      </c>
      <c r="G87" s="897"/>
      <c r="H87" s="898"/>
      <c r="I87" s="899"/>
      <c r="J87" s="899"/>
      <c r="K87" s="899">
        <f>SUM(K5:K86)</f>
        <v>3055719</v>
      </c>
      <c r="L87" s="899">
        <f>SUM(L5:L86)</f>
        <v>3055719313</v>
      </c>
    </row>
    <row r="88" spans="1:12" ht="12.75" customHeight="1" x14ac:dyDescent="0.2">
      <c r="B88" s="900"/>
      <c r="C88" s="900"/>
      <c r="D88" s="900"/>
      <c r="E88" s="900"/>
      <c r="F88" s="900"/>
    </row>
    <row r="89" spans="1:12" ht="12.75" customHeight="1" x14ac:dyDescent="0.2"/>
  </sheetData>
  <sheetProtection selectLockedCells="1" selectUnlockedCells="1"/>
  <mergeCells count="4">
    <mergeCell ref="B1:C2"/>
    <mergeCell ref="D1:F1"/>
    <mergeCell ref="G1:H2"/>
    <mergeCell ref="I1:K1"/>
  </mergeCells>
  <printOptions horizontalCentered="1" verticalCentered="1"/>
  <pageMargins left="3.937007874015748E-2" right="3.937007874015748E-2" top="0.39370078740157483" bottom="0.23622047244094491" header="0" footer="3.937007874015748E-2"/>
  <pageSetup paperSize="9" scale="75" firstPageNumber="0" orientation="landscape" horizontalDpi="300" verticalDpi="300" r:id="rId1"/>
  <headerFooter alignWithMargins="0">
    <oddHeader>&amp;C&amp;"Times New Roman,Félkövér dőlt"ÁLLAMI HOZZÁJÁRULÁSOKBÓL SZÁRMAZÓ BEVÉTEL 2020. ÉVBEN&amp;R&amp;"Times New Roman,Dőlt"3. melléklet
Adatok: ezer Ft-ba&amp;"Times New Roman,Normál"n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2"/>
  <sheetViews>
    <sheetView workbookViewId="0">
      <selection activeCell="C30" sqref="C30"/>
    </sheetView>
  </sheetViews>
  <sheetFormatPr defaultRowHeight="12" x14ac:dyDescent="0.2"/>
  <cols>
    <col min="1" max="1" width="9.33203125" style="19"/>
    <col min="2" max="2" width="50.5" style="19" customWidth="1"/>
    <col min="3" max="5" width="16.33203125" style="19" customWidth="1"/>
    <col min="6" max="16384" width="9.33203125" style="19"/>
  </cols>
  <sheetData>
    <row r="1" spans="1:5" s="46" customFormat="1" ht="50.1" customHeight="1" thickBot="1" x14ac:dyDescent="0.25">
      <c r="A1" s="64" t="s">
        <v>189</v>
      </c>
      <c r="B1" s="64" t="s">
        <v>176</v>
      </c>
      <c r="C1" s="64" t="s">
        <v>331</v>
      </c>
      <c r="D1" s="64" t="s">
        <v>1383</v>
      </c>
      <c r="E1" s="64" t="s">
        <v>1405</v>
      </c>
    </row>
    <row r="2" spans="1:5" s="46" customFormat="1" ht="19.5" customHeight="1" x14ac:dyDescent="0.2">
      <c r="A2" s="99"/>
      <c r="B2" s="100" t="s">
        <v>182</v>
      </c>
      <c r="C2" s="100"/>
      <c r="D2" s="100"/>
      <c r="E2" s="99"/>
    </row>
    <row r="3" spans="1:5" s="47" customFormat="1" ht="12.75" x14ac:dyDescent="0.2">
      <c r="A3" s="66" t="s">
        <v>190</v>
      </c>
      <c r="B3" s="67" t="s">
        <v>156</v>
      </c>
      <c r="C3" s="694">
        <v>4466098</v>
      </c>
      <c r="D3" s="694">
        <f>88576+táj.2!G837</f>
        <v>166184</v>
      </c>
      <c r="E3" s="80">
        <f>SUM(C3:D3)</f>
        <v>4632282</v>
      </c>
    </row>
    <row r="4" spans="1:5" s="29" customFormat="1" ht="12.75" x14ac:dyDescent="0.2">
      <c r="A4" s="66" t="s">
        <v>191</v>
      </c>
      <c r="B4" s="69" t="s">
        <v>244</v>
      </c>
      <c r="C4" s="695">
        <v>857992</v>
      </c>
      <c r="D4" s="694">
        <f>16995+táj.2!H837</f>
        <v>28695</v>
      </c>
      <c r="E4" s="80">
        <f>SUM(C4:D4)</f>
        <v>886687</v>
      </c>
    </row>
    <row r="5" spans="1:5" s="29" customFormat="1" ht="12.75" x14ac:dyDescent="0.2">
      <c r="A5" s="66" t="s">
        <v>192</v>
      </c>
      <c r="B5" s="71" t="s">
        <v>245</v>
      </c>
      <c r="C5" s="696">
        <v>11480656</v>
      </c>
      <c r="D5" s="694">
        <f>-15486+táj.2!I837</f>
        <v>80207</v>
      </c>
      <c r="E5" s="80">
        <f>SUM(C5:D5)</f>
        <v>11560863</v>
      </c>
    </row>
    <row r="6" spans="1:5" s="29" customFormat="1" ht="12.75" x14ac:dyDescent="0.2">
      <c r="A6" s="66" t="s">
        <v>193</v>
      </c>
      <c r="B6" s="71" t="s">
        <v>26</v>
      </c>
      <c r="C6" s="696">
        <v>100500</v>
      </c>
      <c r="D6" s="694">
        <f>138+táj.2!J837</f>
        <v>-982</v>
      </c>
      <c r="E6" s="80">
        <f>SUM(C6:D6)</f>
        <v>99518</v>
      </c>
    </row>
    <row r="7" spans="1:5" s="29" customFormat="1" ht="12.75" x14ac:dyDescent="0.2">
      <c r="A7" s="66" t="s">
        <v>194</v>
      </c>
      <c r="B7" s="71" t="s">
        <v>42</v>
      </c>
      <c r="C7" s="696">
        <v>2325878</v>
      </c>
      <c r="D7" s="694">
        <f>1138081+táj.2!K837</f>
        <v>1159216</v>
      </c>
      <c r="E7" s="80">
        <f>SUM(C7:D7)</f>
        <v>3485094</v>
      </c>
    </row>
    <row r="8" spans="1:5" s="29" customFormat="1" ht="13.5" x14ac:dyDescent="0.2">
      <c r="A8" s="66"/>
      <c r="B8" s="65" t="s">
        <v>257</v>
      </c>
      <c r="C8" s="697">
        <v>19231124</v>
      </c>
      <c r="D8" s="697">
        <f>SUM(D3:D7)</f>
        <v>1433320</v>
      </c>
      <c r="E8" s="81">
        <f>SUM(E3:E7)</f>
        <v>20664444</v>
      </c>
    </row>
    <row r="9" spans="1:5" s="29" customFormat="1" ht="12.75" x14ac:dyDescent="0.2">
      <c r="A9" s="68" t="s">
        <v>195</v>
      </c>
      <c r="B9" s="70" t="s">
        <v>32</v>
      </c>
      <c r="C9" s="696">
        <v>27277699</v>
      </c>
      <c r="D9" s="696">
        <f>-7139+táj.2!L837</f>
        <v>427073</v>
      </c>
      <c r="E9" s="70">
        <f>SUM(C9:D9)</f>
        <v>27704772</v>
      </c>
    </row>
    <row r="10" spans="1:5" s="29" customFormat="1" ht="12.75" x14ac:dyDescent="0.2">
      <c r="A10" s="68" t="s">
        <v>196</v>
      </c>
      <c r="B10" s="70" t="s">
        <v>31</v>
      </c>
      <c r="C10" s="696">
        <v>5398062</v>
      </c>
      <c r="D10" s="696">
        <f>-90443+táj.2!M837</f>
        <v>-14089</v>
      </c>
      <c r="E10" s="70">
        <f>SUM(C10:D10)</f>
        <v>5383973</v>
      </c>
    </row>
    <row r="11" spans="1:5" s="29" customFormat="1" ht="12.75" x14ac:dyDescent="0.2">
      <c r="A11" s="68" t="s">
        <v>197</v>
      </c>
      <c r="B11" s="70" t="s">
        <v>110</v>
      </c>
      <c r="C11" s="696">
        <v>102329</v>
      </c>
      <c r="D11" s="696">
        <f>-4879+táj.2!N837</f>
        <v>134105</v>
      </c>
      <c r="E11" s="70">
        <f>SUM(C11:D11)</f>
        <v>236434</v>
      </c>
    </row>
    <row r="12" spans="1:5" s="29" customFormat="1" ht="13.5" x14ac:dyDescent="0.2">
      <c r="A12" s="68"/>
      <c r="B12" s="82" t="s">
        <v>258</v>
      </c>
      <c r="C12" s="698">
        <v>32778090</v>
      </c>
      <c r="D12" s="698">
        <f>SUM(D9:D11)</f>
        <v>547089</v>
      </c>
      <c r="E12" s="94">
        <f>SUM(E9:E11)</f>
        <v>33325179</v>
      </c>
    </row>
    <row r="13" spans="1:5" s="29" customFormat="1" ht="18" customHeight="1" x14ac:dyDescent="0.2">
      <c r="A13" s="68" t="s">
        <v>111</v>
      </c>
      <c r="B13" s="82" t="s">
        <v>112</v>
      </c>
      <c r="C13" s="698">
        <v>52009214</v>
      </c>
      <c r="D13" s="698">
        <f>SUM(D8+D12)</f>
        <v>1980409</v>
      </c>
      <c r="E13" s="94">
        <f>SUM(E8+E12)</f>
        <v>53989623</v>
      </c>
    </row>
    <row r="14" spans="1:5" s="29" customFormat="1" ht="16.5" customHeight="1" x14ac:dyDescent="0.2">
      <c r="A14" s="68" t="s">
        <v>113</v>
      </c>
      <c r="B14" s="82" t="s">
        <v>181</v>
      </c>
      <c r="C14" s="698">
        <v>12228838</v>
      </c>
      <c r="D14" s="698">
        <f>-11174+táj.2!O837+táj.2!P837</f>
        <v>-11174</v>
      </c>
      <c r="E14" s="94">
        <f>SUM(C14:D14)</f>
        <v>12217664</v>
      </c>
    </row>
    <row r="15" spans="1:5" s="30" customFormat="1" ht="18.75" customHeight="1" x14ac:dyDescent="0.2">
      <c r="A15" s="72"/>
      <c r="B15" s="73" t="s">
        <v>165</v>
      </c>
      <c r="C15" s="699">
        <v>64238052</v>
      </c>
      <c r="D15" s="699">
        <f>SUM(D14+D13)</f>
        <v>1969235</v>
      </c>
      <c r="E15" s="74">
        <f>SUM(E13:E14)</f>
        <v>66207287</v>
      </c>
    </row>
    <row r="16" spans="1:5" s="15" customFormat="1" ht="12.75" x14ac:dyDescent="0.2">
      <c r="A16" s="76"/>
      <c r="B16" s="75"/>
      <c r="C16" s="75"/>
      <c r="D16" s="75"/>
      <c r="E16" s="75"/>
    </row>
    <row r="17" spans="1:5" s="1" customFormat="1" ht="12.75" x14ac:dyDescent="0.2">
      <c r="A17" s="76"/>
      <c r="B17" s="76"/>
      <c r="C17" s="76"/>
      <c r="D17" s="76"/>
      <c r="E17" s="76"/>
    </row>
    <row r="18" spans="1:5" s="1" customFormat="1" ht="12.75" x14ac:dyDescent="0.2">
      <c r="A18" s="76"/>
      <c r="B18" s="76"/>
      <c r="C18" s="76"/>
      <c r="D18" s="76"/>
      <c r="E18" s="76"/>
    </row>
    <row r="19" spans="1:5" s="1" customFormat="1" ht="12.75" x14ac:dyDescent="0.2">
      <c r="A19" s="76"/>
      <c r="B19" s="76"/>
      <c r="C19" s="76"/>
      <c r="D19" s="76"/>
      <c r="E19" s="76"/>
    </row>
    <row r="20" spans="1:5" s="1" customFormat="1" ht="12.75" x14ac:dyDescent="0.2">
      <c r="A20" s="76"/>
      <c r="B20" s="76"/>
      <c r="C20" s="76"/>
      <c r="D20" s="76"/>
      <c r="E20" s="76"/>
    </row>
    <row r="21" spans="1:5" s="1" customFormat="1" ht="12.75" x14ac:dyDescent="0.2">
      <c r="A21" s="76"/>
      <c r="B21" s="76"/>
      <c r="C21" s="76"/>
      <c r="D21" s="76"/>
      <c r="E21" s="76"/>
    </row>
    <row r="22" spans="1:5" s="1" customFormat="1" ht="12.75" x14ac:dyDescent="0.2">
      <c r="A22" s="76"/>
      <c r="B22" s="76"/>
      <c r="C22" s="76"/>
      <c r="D22" s="76"/>
      <c r="E22" s="76"/>
    </row>
    <row r="23" spans="1:5" s="1" customFormat="1" ht="12.75" x14ac:dyDescent="0.2">
      <c r="A23" s="76"/>
      <c r="B23" s="76"/>
      <c r="C23" s="76"/>
      <c r="D23" s="76"/>
      <c r="E23" s="76"/>
    </row>
    <row r="24" spans="1:5" s="1" customFormat="1" ht="12.75" x14ac:dyDescent="0.2">
      <c r="A24" s="76"/>
      <c r="B24" s="76"/>
      <c r="C24" s="76"/>
      <c r="D24" s="76"/>
      <c r="E24" s="76"/>
    </row>
    <row r="25" spans="1:5" s="1" customFormat="1" ht="12.75" x14ac:dyDescent="0.2">
      <c r="A25" s="76"/>
      <c r="B25" s="76"/>
      <c r="C25" s="76"/>
      <c r="D25" s="76"/>
      <c r="E25" s="76"/>
    </row>
    <row r="26" spans="1:5" s="1" customFormat="1" ht="12.75" x14ac:dyDescent="0.2">
      <c r="A26" s="77"/>
      <c r="B26" s="76"/>
      <c r="C26" s="76"/>
      <c r="D26" s="76"/>
      <c r="E26" s="76"/>
    </row>
    <row r="27" spans="1:5" ht="12.75" x14ac:dyDescent="0.2">
      <c r="A27" s="77"/>
      <c r="B27" s="77"/>
      <c r="C27" s="77"/>
      <c r="D27" s="77"/>
      <c r="E27" s="77"/>
    </row>
    <row r="28" spans="1:5" ht="12.75" x14ac:dyDescent="0.2">
      <c r="A28" s="77"/>
      <c r="B28" s="77"/>
      <c r="C28" s="77"/>
      <c r="D28" s="77"/>
      <c r="E28" s="77"/>
    </row>
    <row r="29" spans="1:5" ht="12.75" x14ac:dyDescent="0.2">
      <c r="A29" s="77"/>
      <c r="B29" s="77"/>
      <c r="C29" s="77"/>
      <c r="D29" s="77"/>
      <c r="E29" s="77"/>
    </row>
    <row r="30" spans="1:5" ht="12.75" x14ac:dyDescent="0.2">
      <c r="A30" s="77"/>
      <c r="B30" s="77"/>
      <c r="C30" s="77"/>
      <c r="D30" s="77"/>
      <c r="E30" s="77"/>
    </row>
    <row r="31" spans="1:5" ht="12.75" x14ac:dyDescent="0.2">
      <c r="A31" s="77"/>
      <c r="B31" s="77"/>
      <c r="C31" s="77"/>
      <c r="D31" s="77"/>
      <c r="E31" s="77"/>
    </row>
    <row r="32" spans="1:5" ht="12.75" x14ac:dyDescent="0.2">
      <c r="B32" s="77"/>
      <c r="C32" s="77"/>
      <c r="D32" s="77"/>
      <c r="E32" s="77"/>
    </row>
  </sheetData>
  <phoneticPr fontId="0" type="noConversion"/>
  <printOptions horizontalCentered="1"/>
  <pageMargins left="0.39370078740157483" right="0.35433070866141736" top="1.3779527559055118" bottom="0.6692913385826772" header="0.78740157480314965" footer="0.51181102362204722"/>
  <pageSetup paperSize="9" orientation="landscape" horizontalDpi="300" verticalDpi="300" r:id="rId1"/>
  <headerFooter alignWithMargins="0">
    <oddHeader>&amp;C&amp;"Times New Roman CE,Félkövér dőlt"ZALAEGERSZEG MEGYEI  JOGÚ  VÁROS  ÖNKORMÁNYZATA
 KIADÁSI  ELŐIRÁNYZATAI
ROVATONKÉNT 2020.  ÉVBEN&amp;R&amp;"Times New Roman CE,Félkövér dőlt"4. melléklet
Adatok ezer Ft-ban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8"/>
  <dimension ref="A1:N29"/>
  <sheetViews>
    <sheetView zoomScale="90" workbookViewId="0">
      <pane ySplit="2" topLeftCell="A12" activePane="bottomLeft" state="frozen"/>
      <selection pane="bottomLeft" activeCell="D16" sqref="D16:M17"/>
    </sheetView>
  </sheetViews>
  <sheetFormatPr defaultRowHeight="12.75" x14ac:dyDescent="0.2"/>
  <cols>
    <col min="1" max="1" width="3.33203125" style="24" customWidth="1"/>
    <col min="2" max="2" width="7" style="24" customWidth="1"/>
    <col min="3" max="3" width="23.33203125" style="24" customWidth="1"/>
    <col min="4" max="4" width="12.33203125" style="24" customWidth="1"/>
    <col min="5" max="5" width="14.33203125" style="24" customWidth="1"/>
    <col min="6" max="6" width="10.83203125" style="24" customWidth="1"/>
    <col min="7" max="7" width="10.33203125" style="24" customWidth="1"/>
    <col min="8" max="8" width="12" style="24" customWidth="1"/>
    <col min="9" max="9" width="14" style="24" customWidth="1"/>
    <col min="10" max="10" width="14.83203125" style="24" customWidth="1"/>
    <col min="11" max="11" width="13.33203125" style="24" customWidth="1"/>
    <col min="12" max="12" width="14.83203125" style="24" customWidth="1"/>
    <col min="13" max="13" width="13.6640625" style="24" customWidth="1"/>
    <col min="14" max="14" width="11.5" style="24" customWidth="1"/>
    <col min="15" max="16384" width="9.33203125" style="24"/>
  </cols>
  <sheetData>
    <row r="1" spans="1:14" x14ac:dyDescent="0.2">
      <c r="A1" s="932" t="s">
        <v>122</v>
      </c>
      <c r="B1" s="932" t="s">
        <v>123</v>
      </c>
      <c r="C1" s="933" t="s">
        <v>176</v>
      </c>
      <c r="D1" s="930" t="s">
        <v>183</v>
      </c>
      <c r="E1" s="930"/>
      <c r="F1" s="930"/>
      <c r="G1" s="930"/>
      <c r="H1" s="930"/>
      <c r="I1" s="930"/>
      <c r="J1" s="930"/>
      <c r="K1" s="930" t="s">
        <v>254</v>
      </c>
      <c r="L1" s="930"/>
      <c r="M1" s="931"/>
      <c r="N1" s="928" t="s">
        <v>177</v>
      </c>
    </row>
    <row r="2" spans="1:14" s="25" customFormat="1" ht="54.95" customHeight="1" thickBot="1" x14ac:dyDescent="0.25">
      <c r="A2" s="932"/>
      <c r="B2" s="932"/>
      <c r="C2" s="933"/>
      <c r="D2" s="98" t="s">
        <v>23</v>
      </c>
      <c r="E2" s="98" t="s">
        <v>24</v>
      </c>
      <c r="F2" s="97" t="s">
        <v>25</v>
      </c>
      <c r="G2" s="95" t="s">
        <v>250</v>
      </c>
      <c r="H2" s="97" t="s">
        <v>251</v>
      </c>
      <c r="I2" s="97" t="s">
        <v>252</v>
      </c>
      <c r="J2" s="97" t="s">
        <v>253</v>
      </c>
      <c r="K2" s="97" t="s">
        <v>184</v>
      </c>
      <c r="L2" s="97" t="s">
        <v>185</v>
      </c>
      <c r="M2" s="107" t="s">
        <v>187</v>
      </c>
      <c r="N2" s="929"/>
    </row>
    <row r="3" spans="1:14" ht="17.100000000000001" customHeight="1" x14ac:dyDescent="0.2">
      <c r="A3" s="55">
        <v>1</v>
      </c>
      <c r="B3" s="55"/>
      <c r="C3" s="55" t="s">
        <v>236</v>
      </c>
      <c r="D3" s="55"/>
      <c r="E3" s="55"/>
      <c r="F3" s="55"/>
      <c r="G3" s="55"/>
      <c r="H3" s="55"/>
      <c r="I3" s="55"/>
      <c r="J3" s="55"/>
      <c r="K3" s="55"/>
      <c r="L3" s="55"/>
      <c r="M3" s="55"/>
      <c r="N3" s="108"/>
    </row>
    <row r="4" spans="1:14" ht="24.95" customHeight="1" x14ac:dyDescent="0.2">
      <c r="A4" s="56"/>
      <c r="B4" s="56">
        <v>12</v>
      </c>
      <c r="C4" s="106" t="s">
        <v>143</v>
      </c>
      <c r="D4" s="57">
        <f>'5.a'!E8</f>
        <v>0</v>
      </c>
      <c r="E4" s="57">
        <f>'5.a'!F8</f>
        <v>0</v>
      </c>
      <c r="F4" s="57">
        <f>'5.a'!G8</f>
        <v>0</v>
      </c>
      <c r="G4" s="57">
        <f>'5.a'!H8</f>
        <v>9906</v>
      </c>
      <c r="H4" s="57">
        <f>'5.a'!I8</f>
        <v>0</v>
      </c>
      <c r="I4" s="57">
        <f>'5.a'!J8</f>
        <v>0</v>
      </c>
      <c r="J4" s="57">
        <f>'5.a'!K8</f>
        <v>0</v>
      </c>
      <c r="K4" s="57">
        <f>'5.a'!L8</f>
        <v>0</v>
      </c>
      <c r="L4" s="57">
        <f>'5.a'!M8</f>
        <v>0</v>
      </c>
      <c r="M4" s="57">
        <f>'5.a'!N8</f>
        <v>0</v>
      </c>
      <c r="N4" s="57">
        <f t="shared" ref="N4:N16" si="0">SUM(D4:M4)</f>
        <v>9906</v>
      </c>
    </row>
    <row r="5" spans="1:14" ht="17.100000000000001" customHeight="1" x14ac:dyDescent="0.2">
      <c r="A5" s="56"/>
      <c r="B5" s="56">
        <v>13</v>
      </c>
      <c r="C5" s="55" t="s">
        <v>144</v>
      </c>
      <c r="D5" s="57">
        <f>'5.a'!E20</f>
        <v>41101</v>
      </c>
      <c r="E5" s="57">
        <f>'5.a'!F20</f>
        <v>0</v>
      </c>
      <c r="F5" s="57">
        <f>'5.a'!G20</f>
        <v>0</v>
      </c>
      <c r="G5" s="57">
        <f>'5.a'!H20</f>
        <v>5715</v>
      </c>
      <c r="H5" s="57">
        <f>'5.a'!I20</f>
        <v>0</v>
      </c>
      <c r="I5" s="57">
        <f>'5.a'!J20</f>
        <v>18278</v>
      </c>
      <c r="J5" s="57">
        <f>'5.a'!K20</f>
        <v>0</v>
      </c>
      <c r="K5" s="57">
        <f>'5.a'!L20</f>
        <v>0</v>
      </c>
      <c r="L5" s="57">
        <f>'5.a'!M20</f>
        <v>0</v>
      </c>
      <c r="M5" s="57">
        <f>'5.a'!N20</f>
        <v>0</v>
      </c>
      <c r="N5" s="57">
        <f t="shared" si="0"/>
        <v>65094</v>
      </c>
    </row>
    <row r="6" spans="1:14" ht="17.100000000000001" customHeight="1" x14ac:dyDescent="0.2">
      <c r="A6" s="86"/>
      <c r="B6" s="86">
        <v>14</v>
      </c>
      <c r="C6" s="11" t="s">
        <v>238</v>
      </c>
      <c r="D6" s="57">
        <f>'5.a'!E24</f>
        <v>0</v>
      </c>
      <c r="E6" s="57">
        <f>'5.a'!F24</f>
        <v>0</v>
      </c>
      <c r="F6" s="57">
        <f>'5.a'!G24</f>
        <v>0</v>
      </c>
      <c r="G6" s="57">
        <f>'5.a'!H24</f>
        <v>5080</v>
      </c>
      <c r="H6" s="57">
        <f>'5.a'!I24</f>
        <v>0</v>
      </c>
      <c r="I6" s="57">
        <f>'5.a'!J24</f>
        <v>0</v>
      </c>
      <c r="J6" s="57">
        <f>'5.a'!K24</f>
        <v>0</v>
      </c>
      <c r="K6" s="57">
        <f>'5.a'!L24</f>
        <v>0</v>
      </c>
      <c r="L6" s="57">
        <f>'5.a'!M24</f>
        <v>0</v>
      </c>
      <c r="M6" s="57">
        <f>'5.a'!N24</f>
        <v>0</v>
      </c>
      <c r="N6" s="57">
        <f t="shared" si="0"/>
        <v>5080</v>
      </c>
    </row>
    <row r="7" spans="1:14" ht="17.100000000000001" customHeight="1" x14ac:dyDescent="0.2">
      <c r="A7" s="56"/>
      <c r="B7" s="56">
        <v>15</v>
      </c>
      <c r="C7" s="55" t="s">
        <v>232</v>
      </c>
      <c r="D7" s="57">
        <f>'5.a'!E49</f>
        <v>0</v>
      </c>
      <c r="E7" s="57">
        <f>'5.a'!F49</f>
        <v>9499</v>
      </c>
      <c r="F7" s="57">
        <f>'5.a'!G49</f>
        <v>0</v>
      </c>
      <c r="G7" s="57">
        <f>'5.a'!H49</f>
        <v>577162</v>
      </c>
      <c r="H7" s="57">
        <f>'5.a'!I49</f>
        <v>0</v>
      </c>
      <c r="I7" s="57">
        <f>'5.a'!J49</f>
        <v>0</v>
      </c>
      <c r="J7" s="57">
        <f>'5.a'!K49</f>
        <v>500</v>
      </c>
      <c r="K7" s="57">
        <f>'5.a'!L49</f>
        <v>0</v>
      </c>
      <c r="L7" s="57">
        <f>'5.a'!M49</f>
        <v>0</v>
      </c>
      <c r="M7" s="57">
        <f>'5.a'!N49</f>
        <v>0</v>
      </c>
      <c r="N7" s="57">
        <f t="shared" si="0"/>
        <v>587161</v>
      </c>
    </row>
    <row r="8" spans="1:14" ht="17.100000000000001" customHeight="1" x14ac:dyDescent="0.2">
      <c r="A8" s="56"/>
      <c r="B8" s="56">
        <v>16</v>
      </c>
      <c r="C8" s="55" t="s">
        <v>164</v>
      </c>
      <c r="D8" s="57">
        <f>'5.a'!E104</f>
        <v>126896</v>
      </c>
      <c r="E8" s="57">
        <f>'5.a'!F104</f>
        <v>9738496</v>
      </c>
      <c r="F8" s="57">
        <f>'5.a'!G104</f>
        <v>0</v>
      </c>
      <c r="G8" s="57">
        <f>'5.a'!H104</f>
        <v>4671800</v>
      </c>
      <c r="H8" s="57">
        <f>'5.a'!I104</f>
        <v>0</v>
      </c>
      <c r="I8" s="57">
        <f>'5.a'!J104</f>
        <v>0</v>
      </c>
      <c r="J8" s="57">
        <f>'5.a'!K104</f>
        <v>1000</v>
      </c>
      <c r="K8" s="57">
        <f>'5.a'!L104</f>
        <v>77188</v>
      </c>
      <c r="L8" s="57">
        <f>'5.a'!M104</f>
        <v>15263430</v>
      </c>
      <c r="M8" s="57">
        <f>'5.a'!N104</f>
        <v>8483413</v>
      </c>
      <c r="N8" s="57">
        <f t="shared" si="0"/>
        <v>38362223</v>
      </c>
    </row>
    <row r="9" spans="1:14" ht="17.100000000000001" customHeight="1" x14ac:dyDescent="0.2">
      <c r="A9" s="56"/>
      <c r="B9" s="56">
        <v>17</v>
      </c>
      <c r="C9" s="55" t="s">
        <v>233</v>
      </c>
      <c r="D9" s="57">
        <f>'5.a'!E129</f>
        <v>0</v>
      </c>
      <c r="E9" s="57">
        <f>'5.a'!F129</f>
        <v>0</v>
      </c>
      <c r="F9" s="57">
        <f>'5.a'!G129</f>
        <v>0</v>
      </c>
      <c r="G9" s="57">
        <f>'5.a'!H129</f>
        <v>433908</v>
      </c>
      <c r="H9" s="57">
        <f>'5.a'!I129</f>
        <v>84363</v>
      </c>
      <c r="I9" s="57">
        <f>'5.a'!J129</f>
        <v>0</v>
      </c>
      <c r="J9" s="57">
        <f>'5.a'!K129</f>
        <v>3000</v>
      </c>
      <c r="K9" s="57">
        <f>'5.a'!L129</f>
        <v>0</v>
      </c>
      <c r="L9" s="57">
        <f>'5.a'!M129</f>
        <v>120537</v>
      </c>
      <c r="M9" s="57">
        <f>'5.a'!N129</f>
        <v>117483</v>
      </c>
      <c r="N9" s="57">
        <f t="shared" si="0"/>
        <v>759291</v>
      </c>
    </row>
    <row r="10" spans="1:14" ht="17.100000000000001" customHeight="1" x14ac:dyDescent="0.2">
      <c r="A10" s="56"/>
      <c r="B10" s="56">
        <v>18</v>
      </c>
      <c r="C10" s="55" t="s">
        <v>234</v>
      </c>
      <c r="D10" s="57">
        <f>'5.a'!E138</f>
        <v>0</v>
      </c>
      <c r="E10" s="57">
        <f>'5.a'!F138</f>
        <v>0</v>
      </c>
      <c r="F10" s="57">
        <f>'5.a'!G138</f>
        <v>3000</v>
      </c>
      <c r="G10" s="57">
        <f>'5.a'!H138</f>
        <v>76202</v>
      </c>
      <c r="H10" s="57">
        <f>'5.a'!I138</f>
        <v>0</v>
      </c>
      <c r="I10" s="57">
        <f>'5.a'!J138</f>
        <v>0</v>
      </c>
      <c r="J10" s="57">
        <f>'5.a'!K138</f>
        <v>0</v>
      </c>
      <c r="K10" s="57">
        <f>'5.a'!L138</f>
        <v>0</v>
      </c>
      <c r="L10" s="57">
        <f>'5.a'!M138</f>
        <v>0</v>
      </c>
      <c r="M10" s="57">
        <f>'5.a'!N138</f>
        <v>0</v>
      </c>
      <c r="N10" s="57">
        <f t="shared" si="0"/>
        <v>79202</v>
      </c>
    </row>
    <row r="11" spans="1:14" ht="17.100000000000001" customHeight="1" x14ac:dyDescent="0.2">
      <c r="A11" s="56"/>
      <c r="B11" s="56">
        <v>19</v>
      </c>
      <c r="C11" s="55" t="s">
        <v>120</v>
      </c>
      <c r="D11" s="57">
        <f>'5.a'!E175</f>
        <v>3565813</v>
      </c>
      <c r="E11" s="57">
        <f>'5.a'!F175</f>
        <v>18531</v>
      </c>
      <c r="F11" s="57">
        <f>'5.a'!G175</f>
        <v>5804000</v>
      </c>
      <c r="G11" s="57">
        <f>'5.a'!H175</f>
        <v>127085</v>
      </c>
      <c r="H11" s="57">
        <f>'5.a'!I175</f>
        <v>0</v>
      </c>
      <c r="I11" s="57">
        <f>'5.a'!J175</f>
        <v>5800</v>
      </c>
      <c r="J11" s="57">
        <f>'5.a'!K175</f>
        <v>500</v>
      </c>
      <c r="K11" s="57">
        <f>'5.a'!L175</f>
        <v>72812</v>
      </c>
      <c r="L11" s="57">
        <f>'5.a'!M175</f>
        <v>1332263</v>
      </c>
      <c r="M11" s="57">
        <f>'5.a'!N175</f>
        <v>12520967</v>
      </c>
      <c r="N11" s="57">
        <f t="shared" si="0"/>
        <v>23447771</v>
      </c>
    </row>
    <row r="12" spans="1:14" ht="17.100000000000001" customHeight="1" x14ac:dyDescent="0.2">
      <c r="A12" s="56"/>
      <c r="B12" s="56">
        <v>20</v>
      </c>
      <c r="C12" s="10" t="s">
        <v>13</v>
      </c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>
        <f t="shared" si="0"/>
        <v>0</v>
      </c>
    </row>
    <row r="13" spans="1:14" ht="17.100000000000001" customHeight="1" x14ac:dyDescent="0.2">
      <c r="A13" s="56"/>
      <c r="B13" s="56">
        <v>22</v>
      </c>
      <c r="C13" s="93" t="s">
        <v>18</v>
      </c>
      <c r="D13" s="57">
        <f>'5.a'!E187</f>
        <v>9460</v>
      </c>
      <c r="E13" s="57">
        <f>'5.a'!F187</f>
        <v>0</v>
      </c>
      <c r="F13" s="57">
        <f>'5.a'!G187</f>
        <v>0</v>
      </c>
      <c r="G13" s="57">
        <f>'5.a'!H187</f>
        <v>20000</v>
      </c>
      <c r="H13" s="57">
        <f>'5.a'!I187</f>
        <v>0</v>
      </c>
      <c r="I13" s="57">
        <f>'5.a'!J187</f>
        <v>150</v>
      </c>
      <c r="J13" s="57">
        <f>'5.a'!K187</f>
        <v>0</v>
      </c>
      <c r="K13" s="57">
        <f>'5.a'!L187</f>
        <v>0</v>
      </c>
      <c r="L13" s="57">
        <f>'5.a'!M187</f>
        <v>0</v>
      </c>
      <c r="M13" s="57">
        <f>'5.a'!N187</f>
        <v>0</v>
      </c>
      <c r="N13" s="57">
        <f t="shared" si="0"/>
        <v>29610</v>
      </c>
    </row>
    <row r="14" spans="1:14" ht="36" customHeight="1" x14ac:dyDescent="0.2">
      <c r="A14" s="58"/>
      <c r="B14" s="58"/>
      <c r="C14" s="90" t="s">
        <v>21</v>
      </c>
      <c r="D14" s="78">
        <f t="shared" ref="D14:M14" si="1">SUM(D4:D13)</f>
        <v>3743270</v>
      </c>
      <c r="E14" s="78">
        <f t="shared" si="1"/>
        <v>9766526</v>
      </c>
      <c r="F14" s="78">
        <f t="shared" si="1"/>
        <v>5807000</v>
      </c>
      <c r="G14" s="78">
        <f t="shared" si="1"/>
        <v>5926858</v>
      </c>
      <c r="H14" s="78">
        <f t="shared" si="1"/>
        <v>84363</v>
      </c>
      <c r="I14" s="78">
        <f t="shared" si="1"/>
        <v>24228</v>
      </c>
      <c r="J14" s="78">
        <f t="shared" si="1"/>
        <v>5000</v>
      </c>
      <c r="K14" s="78">
        <f t="shared" si="1"/>
        <v>150000</v>
      </c>
      <c r="L14" s="78">
        <f t="shared" si="1"/>
        <v>16716230</v>
      </c>
      <c r="M14" s="78">
        <f t="shared" si="1"/>
        <v>21121863</v>
      </c>
      <c r="N14" s="78">
        <f t="shared" si="0"/>
        <v>63345338</v>
      </c>
    </row>
    <row r="15" spans="1:14" ht="17.100000000000001" customHeight="1" x14ac:dyDescent="0.2">
      <c r="A15" s="60">
        <v>2</v>
      </c>
      <c r="B15" s="60"/>
      <c r="C15" s="55" t="s">
        <v>237</v>
      </c>
      <c r="D15" s="57">
        <f>'5.a'!E189</f>
        <v>1086641</v>
      </c>
      <c r="E15" s="57">
        <f>'5.a'!F189</f>
        <v>5560</v>
      </c>
      <c r="F15" s="57">
        <f>'5.a'!G189</f>
        <v>0</v>
      </c>
      <c r="G15" s="57">
        <f>'5.a'!H189</f>
        <v>1196620</v>
      </c>
      <c r="H15" s="57">
        <f>'5.a'!I189</f>
        <v>831</v>
      </c>
      <c r="I15" s="57">
        <f>'5.a'!J189</f>
        <v>450</v>
      </c>
      <c r="J15" s="57">
        <f>'5.a'!K189</f>
        <v>650</v>
      </c>
      <c r="K15" s="57"/>
      <c r="L15" s="57">
        <f>'5.a'!M189</f>
        <v>571197</v>
      </c>
      <c r="M15" s="133"/>
      <c r="N15" s="57">
        <f t="shared" si="0"/>
        <v>2861949</v>
      </c>
    </row>
    <row r="16" spans="1:14" ht="17.100000000000001" customHeight="1" x14ac:dyDescent="0.2">
      <c r="A16" s="58"/>
      <c r="B16" s="58"/>
      <c r="C16" s="59" t="s">
        <v>227</v>
      </c>
      <c r="D16" s="78">
        <f t="shared" ref="D16:M16" si="2">SUM(D14:D15)</f>
        <v>4829911</v>
      </c>
      <c r="E16" s="78">
        <f t="shared" si="2"/>
        <v>9772086</v>
      </c>
      <c r="F16" s="78">
        <f t="shared" si="2"/>
        <v>5807000</v>
      </c>
      <c r="G16" s="78">
        <f t="shared" si="2"/>
        <v>7123478</v>
      </c>
      <c r="H16" s="78">
        <f t="shared" si="2"/>
        <v>85194</v>
      </c>
      <c r="I16" s="78">
        <f t="shared" si="2"/>
        <v>24678</v>
      </c>
      <c r="J16" s="78">
        <f t="shared" si="2"/>
        <v>5650</v>
      </c>
      <c r="K16" s="78">
        <f t="shared" si="2"/>
        <v>150000</v>
      </c>
      <c r="L16" s="78">
        <f t="shared" si="2"/>
        <v>17287427</v>
      </c>
      <c r="M16" s="78">
        <f t="shared" si="2"/>
        <v>21121863</v>
      </c>
      <c r="N16" s="78">
        <f t="shared" si="0"/>
        <v>66207287</v>
      </c>
    </row>
    <row r="17" spans="3:13" ht="17.100000000000001" customHeight="1" x14ac:dyDescent="0.2">
      <c r="C17" s="26"/>
      <c r="D17" s="27"/>
      <c r="E17" s="27"/>
      <c r="F17" s="27"/>
      <c r="G17" s="27"/>
      <c r="H17" s="27"/>
      <c r="I17" s="27"/>
      <c r="J17" s="27"/>
      <c r="K17" s="27"/>
      <c r="L17" s="27"/>
      <c r="M17" s="27"/>
    </row>
    <row r="18" spans="3:13" ht="14.1" customHeight="1" x14ac:dyDescent="0.2">
      <c r="C18" s="26"/>
      <c r="D18" s="27"/>
      <c r="E18" s="27"/>
      <c r="F18" s="27"/>
      <c r="G18" s="27"/>
      <c r="H18" s="27"/>
      <c r="I18" s="27"/>
      <c r="J18" s="27"/>
      <c r="K18" s="27"/>
      <c r="L18" s="27"/>
    </row>
    <row r="19" spans="3:13" ht="14.1" customHeight="1" x14ac:dyDescent="0.2">
      <c r="D19" s="27"/>
      <c r="E19" s="27"/>
      <c r="F19" s="27"/>
      <c r="G19" s="27"/>
      <c r="H19" s="27"/>
      <c r="I19" s="27"/>
      <c r="J19" s="27"/>
      <c r="K19" s="27"/>
      <c r="L19" s="27"/>
    </row>
    <row r="20" spans="3:13" ht="14.1" customHeight="1" x14ac:dyDescent="0.2">
      <c r="D20" s="27"/>
      <c r="E20" s="27"/>
      <c r="F20" s="27"/>
      <c r="G20" s="27"/>
      <c r="H20" s="27"/>
      <c r="I20" s="27"/>
      <c r="J20" s="27"/>
      <c r="K20" s="27"/>
      <c r="L20" s="27"/>
    </row>
    <row r="21" spans="3:13" ht="14.1" customHeight="1" x14ac:dyDescent="0.2">
      <c r="D21" s="27"/>
      <c r="E21" s="27"/>
      <c r="F21" s="27"/>
      <c r="G21" s="27"/>
      <c r="H21" s="27"/>
      <c r="I21" s="27"/>
      <c r="J21" s="27"/>
      <c r="K21" s="27"/>
      <c r="L21" s="27"/>
    </row>
    <row r="22" spans="3:13" ht="14.1" customHeight="1" x14ac:dyDescent="0.2">
      <c r="D22" s="27"/>
      <c r="E22" s="27"/>
      <c r="F22" s="27"/>
      <c r="G22" s="27"/>
      <c r="H22" s="27"/>
      <c r="I22" s="27"/>
      <c r="J22" s="27"/>
      <c r="K22" s="27"/>
      <c r="L22" s="27"/>
    </row>
    <row r="23" spans="3:13" ht="14.1" customHeight="1" x14ac:dyDescent="0.2">
      <c r="D23" s="27"/>
      <c r="E23" s="27"/>
      <c r="F23" s="27"/>
      <c r="G23" s="27"/>
      <c r="H23" s="27"/>
      <c r="I23" s="27"/>
      <c r="J23" s="27"/>
      <c r="K23" s="27"/>
      <c r="L23" s="27"/>
    </row>
    <row r="24" spans="3:13" ht="14.1" customHeight="1" x14ac:dyDescent="0.2">
      <c r="D24" s="27"/>
      <c r="E24" s="27"/>
      <c r="F24" s="27"/>
      <c r="G24" s="27"/>
      <c r="H24" s="27"/>
      <c r="I24" s="27"/>
      <c r="J24" s="27"/>
      <c r="K24" s="27"/>
      <c r="L24" s="27"/>
    </row>
    <row r="25" spans="3:13" ht="14.1" customHeight="1" x14ac:dyDescent="0.2">
      <c r="D25" s="27"/>
      <c r="E25" s="27"/>
      <c r="F25" s="27"/>
      <c r="G25" s="27"/>
      <c r="H25" s="27"/>
      <c r="I25" s="27"/>
      <c r="J25" s="27"/>
      <c r="K25" s="27"/>
      <c r="L25" s="27"/>
    </row>
    <row r="26" spans="3:13" ht="14.1" customHeight="1" x14ac:dyDescent="0.2">
      <c r="D26" s="27"/>
      <c r="E26" s="27"/>
      <c r="F26" s="27"/>
      <c r="G26" s="27"/>
      <c r="H26" s="27"/>
      <c r="I26" s="27"/>
      <c r="J26" s="27"/>
      <c r="K26" s="27"/>
      <c r="L26" s="27"/>
    </row>
    <row r="27" spans="3:13" ht="14.1" customHeight="1" x14ac:dyDescent="0.2"/>
    <row r="28" spans="3:13" ht="14.1" customHeight="1" x14ac:dyDescent="0.2"/>
    <row r="29" spans="3:13" ht="14.1" customHeight="1" x14ac:dyDescent="0.2"/>
  </sheetData>
  <mergeCells count="6">
    <mergeCell ref="N1:N2"/>
    <mergeCell ref="K1:M1"/>
    <mergeCell ref="A1:A2"/>
    <mergeCell ref="B1:B2"/>
    <mergeCell ref="C1:C2"/>
    <mergeCell ref="D1:J1"/>
  </mergeCells>
  <phoneticPr fontId="0" type="noConversion"/>
  <printOptions horizontalCentered="1"/>
  <pageMargins left="0.19685039370078741" right="0.19685039370078741" top="1.6141732283464567" bottom="0.98425196850393704" header="0.86614173228346458" footer="0.51181102362204722"/>
  <pageSetup paperSize="9" scale="90" orientation="landscape" horizontalDpi="1200" verticalDpi="1200" r:id="rId1"/>
  <headerFooter alignWithMargins="0">
    <oddHeader>&amp;C&amp;"Times New Roman,Félkövér dőlt"ZALAEGERSZEG MEGYEI JOGÚ VÁROS ÖNKORMÁNYZATA 
2020.  ÉVI  BEVÉTELI ELŐIRÁNYZATAI CíMENKÉNTI BONTÁSBAN&amp;R&amp;"Times New Roman,Félkövér dőlt"5. melléklet
Adatok: ezer Ft-ban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96"/>
  <sheetViews>
    <sheetView zoomScale="96" zoomScaleNormal="96" workbookViewId="0">
      <pane ySplit="2" topLeftCell="A61" activePane="bottomLeft" state="frozen"/>
      <selection pane="bottomLeft" activeCell="C61" sqref="C61"/>
    </sheetView>
  </sheetViews>
  <sheetFormatPr defaultRowHeight="12.75" x14ac:dyDescent="0.2"/>
  <cols>
    <col min="1" max="1" width="5.33203125" style="154" customWidth="1"/>
    <col min="2" max="2" width="5.5" style="154" customWidth="1"/>
    <col min="3" max="3" width="40.83203125" style="154" customWidth="1"/>
    <col min="4" max="4" width="9.83203125" style="185" customWidth="1"/>
    <col min="5" max="5" width="13" style="154" customWidth="1"/>
    <col min="6" max="6" width="13.1640625" style="154" customWidth="1"/>
    <col min="7" max="7" width="12.33203125" style="154" customWidth="1"/>
    <col min="8" max="8" width="11.33203125" style="154" customWidth="1"/>
    <col min="9" max="9" width="11.83203125" style="154" customWidth="1"/>
    <col min="10" max="10" width="10.83203125" style="154" customWidth="1"/>
    <col min="11" max="11" width="13.1640625" style="154" customWidth="1"/>
    <col min="12" max="12" width="11.5" style="154" customWidth="1"/>
    <col min="13" max="14" width="12.33203125" style="154" customWidth="1"/>
    <col min="15" max="15" width="13.1640625" style="154" customWidth="1"/>
    <col min="16" max="16" width="7.33203125" style="154" customWidth="1"/>
    <col min="17" max="255" width="9.33203125" style="154"/>
    <col min="256" max="256" width="5.33203125" style="154" customWidth="1"/>
    <col min="257" max="257" width="5.5" style="154" customWidth="1"/>
    <col min="258" max="258" width="40.83203125" style="154" customWidth="1"/>
    <col min="259" max="259" width="9.83203125" style="154" customWidth="1"/>
    <col min="260" max="260" width="13" style="154" customWidth="1"/>
    <col min="261" max="261" width="13.1640625" style="154" customWidth="1"/>
    <col min="262" max="262" width="12.33203125" style="154" customWidth="1"/>
    <col min="263" max="263" width="11.33203125" style="154" customWidth="1"/>
    <col min="264" max="264" width="11.83203125" style="154" customWidth="1"/>
    <col min="265" max="265" width="10.83203125" style="154" customWidth="1"/>
    <col min="266" max="266" width="13.1640625" style="154" customWidth="1"/>
    <col min="267" max="267" width="11.5" style="154" customWidth="1"/>
    <col min="268" max="269" width="12.33203125" style="154" customWidth="1"/>
    <col min="270" max="270" width="13.1640625" style="154" customWidth="1"/>
    <col min="271" max="271" width="18.5" style="154" customWidth="1"/>
    <col min="272" max="272" width="7.33203125" style="154" customWidth="1"/>
    <col min="273" max="511" width="9.33203125" style="154"/>
    <col min="512" max="512" width="5.33203125" style="154" customWidth="1"/>
    <col min="513" max="513" width="5.5" style="154" customWidth="1"/>
    <col min="514" max="514" width="40.83203125" style="154" customWidth="1"/>
    <col min="515" max="515" width="9.83203125" style="154" customWidth="1"/>
    <col min="516" max="516" width="13" style="154" customWidth="1"/>
    <col min="517" max="517" width="13.1640625" style="154" customWidth="1"/>
    <col min="518" max="518" width="12.33203125" style="154" customWidth="1"/>
    <col min="519" max="519" width="11.33203125" style="154" customWidth="1"/>
    <col min="520" max="520" width="11.83203125" style="154" customWidth="1"/>
    <col min="521" max="521" width="10.83203125" style="154" customWidth="1"/>
    <col min="522" max="522" width="13.1640625" style="154" customWidth="1"/>
    <col min="523" max="523" width="11.5" style="154" customWidth="1"/>
    <col min="524" max="525" width="12.33203125" style="154" customWidth="1"/>
    <col min="526" max="526" width="13.1640625" style="154" customWidth="1"/>
    <col min="527" max="527" width="18.5" style="154" customWidth="1"/>
    <col min="528" max="528" width="7.33203125" style="154" customWidth="1"/>
    <col min="529" max="767" width="9.33203125" style="154"/>
    <col min="768" max="768" width="5.33203125" style="154" customWidth="1"/>
    <col min="769" max="769" width="5.5" style="154" customWidth="1"/>
    <col min="770" max="770" width="40.83203125" style="154" customWidth="1"/>
    <col min="771" max="771" width="9.83203125" style="154" customWidth="1"/>
    <col min="772" max="772" width="13" style="154" customWidth="1"/>
    <col min="773" max="773" width="13.1640625" style="154" customWidth="1"/>
    <col min="774" max="774" width="12.33203125" style="154" customWidth="1"/>
    <col min="775" max="775" width="11.33203125" style="154" customWidth="1"/>
    <col min="776" max="776" width="11.83203125" style="154" customWidth="1"/>
    <col min="777" max="777" width="10.83203125" style="154" customWidth="1"/>
    <col min="778" max="778" width="13.1640625" style="154" customWidth="1"/>
    <col min="779" max="779" width="11.5" style="154" customWidth="1"/>
    <col min="780" max="781" width="12.33203125" style="154" customWidth="1"/>
    <col min="782" max="782" width="13.1640625" style="154" customWidth="1"/>
    <col min="783" max="783" width="18.5" style="154" customWidth="1"/>
    <col min="784" max="784" width="7.33203125" style="154" customWidth="1"/>
    <col min="785" max="1023" width="9.33203125" style="154"/>
    <col min="1024" max="1024" width="5.33203125" style="154" customWidth="1"/>
    <col min="1025" max="1025" width="5.5" style="154" customWidth="1"/>
    <col min="1026" max="1026" width="40.83203125" style="154" customWidth="1"/>
    <col min="1027" max="1027" width="9.83203125" style="154" customWidth="1"/>
    <col min="1028" max="1028" width="13" style="154" customWidth="1"/>
    <col min="1029" max="1029" width="13.1640625" style="154" customWidth="1"/>
    <col min="1030" max="1030" width="12.33203125" style="154" customWidth="1"/>
    <col min="1031" max="1031" width="11.33203125" style="154" customWidth="1"/>
    <col min="1032" max="1032" width="11.83203125" style="154" customWidth="1"/>
    <col min="1033" max="1033" width="10.83203125" style="154" customWidth="1"/>
    <col min="1034" max="1034" width="13.1640625" style="154" customWidth="1"/>
    <col min="1035" max="1035" width="11.5" style="154" customWidth="1"/>
    <col min="1036" max="1037" width="12.33203125" style="154" customWidth="1"/>
    <col min="1038" max="1038" width="13.1640625" style="154" customWidth="1"/>
    <col min="1039" max="1039" width="18.5" style="154" customWidth="1"/>
    <col min="1040" max="1040" width="7.33203125" style="154" customWidth="1"/>
    <col min="1041" max="1279" width="9.33203125" style="154"/>
    <col min="1280" max="1280" width="5.33203125" style="154" customWidth="1"/>
    <col min="1281" max="1281" width="5.5" style="154" customWidth="1"/>
    <col min="1282" max="1282" width="40.83203125" style="154" customWidth="1"/>
    <col min="1283" max="1283" width="9.83203125" style="154" customWidth="1"/>
    <col min="1284" max="1284" width="13" style="154" customWidth="1"/>
    <col min="1285" max="1285" width="13.1640625" style="154" customWidth="1"/>
    <col min="1286" max="1286" width="12.33203125" style="154" customWidth="1"/>
    <col min="1287" max="1287" width="11.33203125" style="154" customWidth="1"/>
    <col min="1288" max="1288" width="11.83203125" style="154" customWidth="1"/>
    <col min="1289" max="1289" width="10.83203125" style="154" customWidth="1"/>
    <col min="1290" max="1290" width="13.1640625" style="154" customWidth="1"/>
    <col min="1291" max="1291" width="11.5" style="154" customWidth="1"/>
    <col min="1292" max="1293" width="12.33203125" style="154" customWidth="1"/>
    <col min="1294" max="1294" width="13.1640625" style="154" customWidth="1"/>
    <col min="1295" max="1295" width="18.5" style="154" customWidth="1"/>
    <col min="1296" max="1296" width="7.33203125" style="154" customWidth="1"/>
    <col min="1297" max="1535" width="9.33203125" style="154"/>
    <col min="1536" max="1536" width="5.33203125" style="154" customWidth="1"/>
    <col min="1537" max="1537" width="5.5" style="154" customWidth="1"/>
    <col min="1538" max="1538" width="40.83203125" style="154" customWidth="1"/>
    <col min="1539" max="1539" width="9.83203125" style="154" customWidth="1"/>
    <col min="1540" max="1540" width="13" style="154" customWidth="1"/>
    <col min="1541" max="1541" width="13.1640625" style="154" customWidth="1"/>
    <col min="1542" max="1542" width="12.33203125" style="154" customWidth="1"/>
    <col min="1543" max="1543" width="11.33203125" style="154" customWidth="1"/>
    <col min="1544" max="1544" width="11.83203125" style="154" customWidth="1"/>
    <col min="1545" max="1545" width="10.83203125" style="154" customWidth="1"/>
    <col min="1546" max="1546" width="13.1640625" style="154" customWidth="1"/>
    <col min="1547" max="1547" width="11.5" style="154" customWidth="1"/>
    <col min="1548" max="1549" width="12.33203125" style="154" customWidth="1"/>
    <col min="1550" max="1550" width="13.1640625" style="154" customWidth="1"/>
    <col min="1551" max="1551" width="18.5" style="154" customWidth="1"/>
    <col min="1552" max="1552" width="7.33203125" style="154" customWidth="1"/>
    <col min="1553" max="1791" width="9.33203125" style="154"/>
    <col min="1792" max="1792" width="5.33203125" style="154" customWidth="1"/>
    <col min="1793" max="1793" width="5.5" style="154" customWidth="1"/>
    <col min="1794" max="1794" width="40.83203125" style="154" customWidth="1"/>
    <col min="1795" max="1795" width="9.83203125" style="154" customWidth="1"/>
    <col min="1796" max="1796" width="13" style="154" customWidth="1"/>
    <col min="1797" max="1797" width="13.1640625" style="154" customWidth="1"/>
    <col min="1798" max="1798" width="12.33203125" style="154" customWidth="1"/>
    <col min="1799" max="1799" width="11.33203125" style="154" customWidth="1"/>
    <col min="1800" max="1800" width="11.83203125" style="154" customWidth="1"/>
    <col min="1801" max="1801" width="10.83203125" style="154" customWidth="1"/>
    <col min="1802" max="1802" width="13.1640625" style="154" customWidth="1"/>
    <col min="1803" max="1803" width="11.5" style="154" customWidth="1"/>
    <col min="1804" max="1805" width="12.33203125" style="154" customWidth="1"/>
    <col min="1806" max="1806" width="13.1640625" style="154" customWidth="1"/>
    <col min="1807" max="1807" width="18.5" style="154" customWidth="1"/>
    <col min="1808" max="1808" width="7.33203125" style="154" customWidth="1"/>
    <col min="1809" max="2047" width="9.33203125" style="154"/>
    <col min="2048" max="2048" width="5.33203125" style="154" customWidth="1"/>
    <col min="2049" max="2049" width="5.5" style="154" customWidth="1"/>
    <col min="2050" max="2050" width="40.83203125" style="154" customWidth="1"/>
    <col min="2051" max="2051" width="9.83203125" style="154" customWidth="1"/>
    <col min="2052" max="2052" width="13" style="154" customWidth="1"/>
    <col min="2053" max="2053" width="13.1640625" style="154" customWidth="1"/>
    <col min="2054" max="2054" width="12.33203125" style="154" customWidth="1"/>
    <col min="2055" max="2055" width="11.33203125" style="154" customWidth="1"/>
    <col min="2056" max="2056" width="11.83203125" style="154" customWidth="1"/>
    <col min="2057" max="2057" width="10.83203125" style="154" customWidth="1"/>
    <col min="2058" max="2058" width="13.1640625" style="154" customWidth="1"/>
    <col min="2059" max="2059" width="11.5" style="154" customWidth="1"/>
    <col min="2060" max="2061" width="12.33203125" style="154" customWidth="1"/>
    <col min="2062" max="2062" width="13.1640625" style="154" customWidth="1"/>
    <col min="2063" max="2063" width="18.5" style="154" customWidth="1"/>
    <col min="2064" max="2064" width="7.33203125" style="154" customWidth="1"/>
    <col min="2065" max="2303" width="9.33203125" style="154"/>
    <col min="2304" max="2304" width="5.33203125" style="154" customWidth="1"/>
    <col min="2305" max="2305" width="5.5" style="154" customWidth="1"/>
    <col min="2306" max="2306" width="40.83203125" style="154" customWidth="1"/>
    <col min="2307" max="2307" width="9.83203125" style="154" customWidth="1"/>
    <col min="2308" max="2308" width="13" style="154" customWidth="1"/>
    <col min="2309" max="2309" width="13.1640625" style="154" customWidth="1"/>
    <col min="2310" max="2310" width="12.33203125" style="154" customWidth="1"/>
    <col min="2311" max="2311" width="11.33203125" style="154" customWidth="1"/>
    <col min="2312" max="2312" width="11.83203125" style="154" customWidth="1"/>
    <col min="2313" max="2313" width="10.83203125" style="154" customWidth="1"/>
    <col min="2314" max="2314" width="13.1640625" style="154" customWidth="1"/>
    <col min="2315" max="2315" width="11.5" style="154" customWidth="1"/>
    <col min="2316" max="2317" width="12.33203125" style="154" customWidth="1"/>
    <col min="2318" max="2318" width="13.1640625" style="154" customWidth="1"/>
    <col min="2319" max="2319" width="18.5" style="154" customWidth="1"/>
    <col min="2320" max="2320" width="7.33203125" style="154" customWidth="1"/>
    <col min="2321" max="2559" width="9.33203125" style="154"/>
    <col min="2560" max="2560" width="5.33203125" style="154" customWidth="1"/>
    <col min="2561" max="2561" width="5.5" style="154" customWidth="1"/>
    <col min="2562" max="2562" width="40.83203125" style="154" customWidth="1"/>
    <col min="2563" max="2563" width="9.83203125" style="154" customWidth="1"/>
    <col min="2564" max="2564" width="13" style="154" customWidth="1"/>
    <col min="2565" max="2565" width="13.1640625" style="154" customWidth="1"/>
    <col min="2566" max="2566" width="12.33203125" style="154" customWidth="1"/>
    <col min="2567" max="2567" width="11.33203125" style="154" customWidth="1"/>
    <col min="2568" max="2568" width="11.83203125" style="154" customWidth="1"/>
    <col min="2569" max="2569" width="10.83203125" style="154" customWidth="1"/>
    <col min="2570" max="2570" width="13.1640625" style="154" customWidth="1"/>
    <col min="2571" max="2571" width="11.5" style="154" customWidth="1"/>
    <col min="2572" max="2573" width="12.33203125" style="154" customWidth="1"/>
    <col min="2574" max="2574" width="13.1640625" style="154" customWidth="1"/>
    <col min="2575" max="2575" width="18.5" style="154" customWidth="1"/>
    <col min="2576" max="2576" width="7.33203125" style="154" customWidth="1"/>
    <col min="2577" max="2815" width="9.33203125" style="154"/>
    <col min="2816" max="2816" width="5.33203125" style="154" customWidth="1"/>
    <col min="2817" max="2817" width="5.5" style="154" customWidth="1"/>
    <col min="2818" max="2818" width="40.83203125" style="154" customWidth="1"/>
    <col min="2819" max="2819" width="9.83203125" style="154" customWidth="1"/>
    <col min="2820" max="2820" width="13" style="154" customWidth="1"/>
    <col min="2821" max="2821" width="13.1640625" style="154" customWidth="1"/>
    <col min="2822" max="2822" width="12.33203125" style="154" customWidth="1"/>
    <col min="2823" max="2823" width="11.33203125" style="154" customWidth="1"/>
    <col min="2824" max="2824" width="11.83203125" style="154" customWidth="1"/>
    <col min="2825" max="2825" width="10.83203125" style="154" customWidth="1"/>
    <col min="2826" max="2826" width="13.1640625" style="154" customWidth="1"/>
    <col min="2827" max="2827" width="11.5" style="154" customWidth="1"/>
    <col min="2828" max="2829" width="12.33203125" style="154" customWidth="1"/>
    <col min="2830" max="2830" width="13.1640625" style="154" customWidth="1"/>
    <col min="2831" max="2831" width="18.5" style="154" customWidth="1"/>
    <col min="2832" max="2832" width="7.33203125" style="154" customWidth="1"/>
    <col min="2833" max="3071" width="9.33203125" style="154"/>
    <col min="3072" max="3072" width="5.33203125" style="154" customWidth="1"/>
    <col min="3073" max="3073" width="5.5" style="154" customWidth="1"/>
    <col min="3074" max="3074" width="40.83203125" style="154" customWidth="1"/>
    <col min="3075" max="3075" width="9.83203125" style="154" customWidth="1"/>
    <col min="3076" max="3076" width="13" style="154" customWidth="1"/>
    <col min="3077" max="3077" width="13.1640625" style="154" customWidth="1"/>
    <col min="3078" max="3078" width="12.33203125" style="154" customWidth="1"/>
    <col min="3079" max="3079" width="11.33203125" style="154" customWidth="1"/>
    <col min="3080" max="3080" width="11.83203125" style="154" customWidth="1"/>
    <col min="3081" max="3081" width="10.83203125" style="154" customWidth="1"/>
    <col min="3082" max="3082" width="13.1640625" style="154" customWidth="1"/>
    <col min="3083" max="3083" width="11.5" style="154" customWidth="1"/>
    <col min="3084" max="3085" width="12.33203125" style="154" customWidth="1"/>
    <col min="3086" max="3086" width="13.1640625" style="154" customWidth="1"/>
    <col min="3087" max="3087" width="18.5" style="154" customWidth="1"/>
    <col min="3088" max="3088" width="7.33203125" style="154" customWidth="1"/>
    <col min="3089" max="3327" width="9.33203125" style="154"/>
    <col min="3328" max="3328" width="5.33203125" style="154" customWidth="1"/>
    <col min="3329" max="3329" width="5.5" style="154" customWidth="1"/>
    <col min="3330" max="3330" width="40.83203125" style="154" customWidth="1"/>
    <col min="3331" max="3331" width="9.83203125" style="154" customWidth="1"/>
    <col min="3332" max="3332" width="13" style="154" customWidth="1"/>
    <col min="3333" max="3333" width="13.1640625" style="154" customWidth="1"/>
    <col min="3334" max="3334" width="12.33203125" style="154" customWidth="1"/>
    <col min="3335" max="3335" width="11.33203125" style="154" customWidth="1"/>
    <col min="3336" max="3336" width="11.83203125" style="154" customWidth="1"/>
    <col min="3337" max="3337" width="10.83203125" style="154" customWidth="1"/>
    <col min="3338" max="3338" width="13.1640625" style="154" customWidth="1"/>
    <col min="3339" max="3339" width="11.5" style="154" customWidth="1"/>
    <col min="3340" max="3341" width="12.33203125" style="154" customWidth="1"/>
    <col min="3342" max="3342" width="13.1640625" style="154" customWidth="1"/>
    <col min="3343" max="3343" width="18.5" style="154" customWidth="1"/>
    <col min="3344" max="3344" width="7.33203125" style="154" customWidth="1"/>
    <col min="3345" max="3583" width="9.33203125" style="154"/>
    <col min="3584" max="3584" width="5.33203125" style="154" customWidth="1"/>
    <col min="3585" max="3585" width="5.5" style="154" customWidth="1"/>
    <col min="3586" max="3586" width="40.83203125" style="154" customWidth="1"/>
    <col min="3587" max="3587" width="9.83203125" style="154" customWidth="1"/>
    <col min="3588" max="3588" width="13" style="154" customWidth="1"/>
    <col min="3589" max="3589" width="13.1640625" style="154" customWidth="1"/>
    <col min="3590" max="3590" width="12.33203125" style="154" customWidth="1"/>
    <col min="3591" max="3591" width="11.33203125" style="154" customWidth="1"/>
    <col min="3592" max="3592" width="11.83203125" style="154" customWidth="1"/>
    <col min="3593" max="3593" width="10.83203125" style="154" customWidth="1"/>
    <col min="3594" max="3594" width="13.1640625" style="154" customWidth="1"/>
    <col min="3595" max="3595" width="11.5" style="154" customWidth="1"/>
    <col min="3596" max="3597" width="12.33203125" style="154" customWidth="1"/>
    <col min="3598" max="3598" width="13.1640625" style="154" customWidth="1"/>
    <col min="3599" max="3599" width="18.5" style="154" customWidth="1"/>
    <col min="3600" max="3600" width="7.33203125" style="154" customWidth="1"/>
    <col min="3601" max="3839" width="9.33203125" style="154"/>
    <col min="3840" max="3840" width="5.33203125" style="154" customWidth="1"/>
    <col min="3841" max="3841" width="5.5" style="154" customWidth="1"/>
    <col min="3842" max="3842" width="40.83203125" style="154" customWidth="1"/>
    <col min="3843" max="3843" width="9.83203125" style="154" customWidth="1"/>
    <col min="3844" max="3844" width="13" style="154" customWidth="1"/>
    <col min="3845" max="3845" width="13.1640625" style="154" customWidth="1"/>
    <col min="3846" max="3846" width="12.33203125" style="154" customWidth="1"/>
    <col min="3847" max="3847" width="11.33203125" style="154" customWidth="1"/>
    <col min="3848" max="3848" width="11.83203125" style="154" customWidth="1"/>
    <col min="3849" max="3849" width="10.83203125" style="154" customWidth="1"/>
    <col min="3850" max="3850" width="13.1640625" style="154" customWidth="1"/>
    <col min="3851" max="3851" width="11.5" style="154" customWidth="1"/>
    <col min="3852" max="3853" width="12.33203125" style="154" customWidth="1"/>
    <col min="3854" max="3854" width="13.1640625" style="154" customWidth="1"/>
    <col min="3855" max="3855" width="18.5" style="154" customWidth="1"/>
    <col min="3856" max="3856" width="7.33203125" style="154" customWidth="1"/>
    <col min="3857" max="4095" width="9.33203125" style="154"/>
    <col min="4096" max="4096" width="5.33203125" style="154" customWidth="1"/>
    <col min="4097" max="4097" width="5.5" style="154" customWidth="1"/>
    <col min="4098" max="4098" width="40.83203125" style="154" customWidth="1"/>
    <col min="4099" max="4099" width="9.83203125" style="154" customWidth="1"/>
    <col min="4100" max="4100" width="13" style="154" customWidth="1"/>
    <col min="4101" max="4101" width="13.1640625" style="154" customWidth="1"/>
    <col min="4102" max="4102" width="12.33203125" style="154" customWidth="1"/>
    <col min="4103" max="4103" width="11.33203125" style="154" customWidth="1"/>
    <col min="4104" max="4104" width="11.83203125" style="154" customWidth="1"/>
    <col min="4105" max="4105" width="10.83203125" style="154" customWidth="1"/>
    <col min="4106" max="4106" width="13.1640625" style="154" customWidth="1"/>
    <col min="4107" max="4107" width="11.5" style="154" customWidth="1"/>
    <col min="4108" max="4109" width="12.33203125" style="154" customWidth="1"/>
    <col min="4110" max="4110" width="13.1640625" style="154" customWidth="1"/>
    <col min="4111" max="4111" width="18.5" style="154" customWidth="1"/>
    <col min="4112" max="4112" width="7.33203125" style="154" customWidth="1"/>
    <col min="4113" max="4351" width="9.33203125" style="154"/>
    <col min="4352" max="4352" width="5.33203125" style="154" customWidth="1"/>
    <col min="4353" max="4353" width="5.5" style="154" customWidth="1"/>
    <col min="4354" max="4354" width="40.83203125" style="154" customWidth="1"/>
    <col min="4355" max="4355" width="9.83203125" style="154" customWidth="1"/>
    <col min="4356" max="4356" width="13" style="154" customWidth="1"/>
    <col min="4357" max="4357" width="13.1640625" style="154" customWidth="1"/>
    <col min="4358" max="4358" width="12.33203125" style="154" customWidth="1"/>
    <col min="4359" max="4359" width="11.33203125" style="154" customWidth="1"/>
    <col min="4360" max="4360" width="11.83203125" style="154" customWidth="1"/>
    <col min="4361" max="4361" width="10.83203125" style="154" customWidth="1"/>
    <col min="4362" max="4362" width="13.1640625" style="154" customWidth="1"/>
    <col min="4363" max="4363" width="11.5" style="154" customWidth="1"/>
    <col min="4364" max="4365" width="12.33203125" style="154" customWidth="1"/>
    <col min="4366" max="4366" width="13.1640625" style="154" customWidth="1"/>
    <col min="4367" max="4367" width="18.5" style="154" customWidth="1"/>
    <col min="4368" max="4368" width="7.33203125" style="154" customWidth="1"/>
    <col min="4369" max="4607" width="9.33203125" style="154"/>
    <col min="4608" max="4608" width="5.33203125" style="154" customWidth="1"/>
    <col min="4609" max="4609" width="5.5" style="154" customWidth="1"/>
    <col min="4610" max="4610" width="40.83203125" style="154" customWidth="1"/>
    <col min="4611" max="4611" width="9.83203125" style="154" customWidth="1"/>
    <col min="4612" max="4612" width="13" style="154" customWidth="1"/>
    <col min="4613" max="4613" width="13.1640625" style="154" customWidth="1"/>
    <col min="4614" max="4614" width="12.33203125" style="154" customWidth="1"/>
    <col min="4615" max="4615" width="11.33203125" style="154" customWidth="1"/>
    <col min="4616" max="4616" width="11.83203125" style="154" customWidth="1"/>
    <col min="4617" max="4617" width="10.83203125" style="154" customWidth="1"/>
    <col min="4618" max="4618" width="13.1640625" style="154" customWidth="1"/>
    <col min="4619" max="4619" width="11.5" style="154" customWidth="1"/>
    <col min="4620" max="4621" width="12.33203125" style="154" customWidth="1"/>
    <col min="4622" max="4622" width="13.1640625" style="154" customWidth="1"/>
    <col min="4623" max="4623" width="18.5" style="154" customWidth="1"/>
    <col min="4624" max="4624" width="7.33203125" style="154" customWidth="1"/>
    <col min="4625" max="4863" width="9.33203125" style="154"/>
    <col min="4864" max="4864" width="5.33203125" style="154" customWidth="1"/>
    <col min="4865" max="4865" width="5.5" style="154" customWidth="1"/>
    <col min="4866" max="4866" width="40.83203125" style="154" customWidth="1"/>
    <col min="4867" max="4867" width="9.83203125" style="154" customWidth="1"/>
    <col min="4868" max="4868" width="13" style="154" customWidth="1"/>
    <col min="4869" max="4869" width="13.1640625" style="154" customWidth="1"/>
    <col min="4870" max="4870" width="12.33203125" style="154" customWidth="1"/>
    <col min="4871" max="4871" width="11.33203125" style="154" customWidth="1"/>
    <col min="4872" max="4872" width="11.83203125" style="154" customWidth="1"/>
    <col min="4873" max="4873" width="10.83203125" style="154" customWidth="1"/>
    <col min="4874" max="4874" width="13.1640625" style="154" customWidth="1"/>
    <col min="4875" max="4875" width="11.5" style="154" customWidth="1"/>
    <col min="4876" max="4877" width="12.33203125" style="154" customWidth="1"/>
    <col min="4878" max="4878" width="13.1640625" style="154" customWidth="1"/>
    <col min="4879" max="4879" width="18.5" style="154" customWidth="1"/>
    <col min="4880" max="4880" width="7.33203125" style="154" customWidth="1"/>
    <col min="4881" max="5119" width="9.33203125" style="154"/>
    <col min="5120" max="5120" width="5.33203125" style="154" customWidth="1"/>
    <col min="5121" max="5121" width="5.5" style="154" customWidth="1"/>
    <col min="5122" max="5122" width="40.83203125" style="154" customWidth="1"/>
    <col min="5123" max="5123" width="9.83203125" style="154" customWidth="1"/>
    <col min="5124" max="5124" width="13" style="154" customWidth="1"/>
    <col min="5125" max="5125" width="13.1640625" style="154" customWidth="1"/>
    <col min="5126" max="5126" width="12.33203125" style="154" customWidth="1"/>
    <col min="5127" max="5127" width="11.33203125" style="154" customWidth="1"/>
    <col min="5128" max="5128" width="11.83203125" style="154" customWidth="1"/>
    <col min="5129" max="5129" width="10.83203125" style="154" customWidth="1"/>
    <col min="5130" max="5130" width="13.1640625" style="154" customWidth="1"/>
    <col min="5131" max="5131" width="11.5" style="154" customWidth="1"/>
    <col min="5132" max="5133" width="12.33203125" style="154" customWidth="1"/>
    <col min="5134" max="5134" width="13.1640625" style="154" customWidth="1"/>
    <col min="5135" max="5135" width="18.5" style="154" customWidth="1"/>
    <col min="5136" max="5136" width="7.33203125" style="154" customWidth="1"/>
    <col min="5137" max="5375" width="9.33203125" style="154"/>
    <col min="5376" max="5376" width="5.33203125" style="154" customWidth="1"/>
    <col min="5377" max="5377" width="5.5" style="154" customWidth="1"/>
    <col min="5378" max="5378" width="40.83203125" style="154" customWidth="1"/>
    <col min="5379" max="5379" width="9.83203125" style="154" customWidth="1"/>
    <col min="5380" max="5380" width="13" style="154" customWidth="1"/>
    <col min="5381" max="5381" width="13.1640625" style="154" customWidth="1"/>
    <col min="5382" max="5382" width="12.33203125" style="154" customWidth="1"/>
    <col min="5383" max="5383" width="11.33203125" style="154" customWidth="1"/>
    <col min="5384" max="5384" width="11.83203125" style="154" customWidth="1"/>
    <col min="5385" max="5385" width="10.83203125" style="154" customWidth="1"/>
    <col min="5386" max="5386" width="13.1640625" style="154" customWidth="1"/>
    <col min="5387" max="5387" width="11.5" style="154" customWidth="1"/>
    <col min="5388" max="5389" width="12.33203125" style="154" customWidth="1"/>
    <col min="5390" max="5390" width="13.1640625" style="154" customWidth="1"/>
    <col min="5391" max="5391" width="18.5" style="154" customWidth="1"/>
    <col min="5392" max="5392" width="7.33203125" style="154" customWidth="1"/>
    <col min="5393" max="5631" width="9.33203125" style="154"/>
    <col min="5632" max="5632" width="5.33203125" style="154" customWidth="1"/>
    <col min="5633" max="5633" width="5.5" style="154" customWidth="1"/>
    <col min="5634" max="5634" width="40.83203125" style="154" customWidth="1"/>
    <col min="5635" max="5635" width="9.83203125" style="154" customWidth="1"/>
    <col min="5636" max="5636" width="13" style="154" customWidth="1"/>
    <col min="5637" max="5637" width="13.1640625" style="154" customWidth="1"/>
    <col min="5638" max="5638" width="12.33203125" style="154" customWidth="1"/>
    <col min="5639" max="5639" width="11.33203125" style="154" customWidth="1"/>
    <col min="5640" max="5640" width="11.83203125" style="154" customWidth="1"/>
    <col min="5641" max="5641" width="10.83203125" style="154" customWidth="1"/>
    <col min="5642" max="5642" width="13.1640625" style="154" customWidth="1"/>
    <col min="5643" max="5643" width="11.5" style="154" customWidth="1"/>
    <col min="5644" max="5645" width="12.33203125" style="154" customWidth="1"/>
    <col min="5646" max="5646" width="13.1640625" style="154" customWidth="1"/>
    <col min="5647" max="5647" width="18.5" style="154" customWidth="1"/>
    <col min="5648" max="5648" width="7.33203125" style="154" customWidth="1"/>
    <col min="5649" max="5887" width="9.33203125" style="154"/>
    <col min="5888" max="5888" width="5.33203125" style="154" customWidth="1"/>
    <col min="5889" max="5889" width="5.5" style="154" customWidth="1"/>
    <col min="5890" max="5890" width="40.83203125" style="154" customWidth="1"/>
    <col min="5891" max="5891" width="9.83203125" style="154" customWidth="1"/>
    <col min="5892" max="5892" width="13" style="154" customWidth="1"/>
    <col min="5893" max="5893" width="13.1640625" style="154" customWidth="1"/>
    <col min="5894" max="5894" width="12.33203125" style="154" customWidth="1"/>
    <col min="5895" max="5895" width="11.33203125" style="154" customWidth="1"/>
    <col min="5896" max="5896" width="11.83203125" style="154" customWidth="1"/>
    <col min="5897" max="5897" width="10.83203125" style="154" customWidth="1"/>
    <col min="5898" max="5898" width="13.1640625" style="154" customWidth="1"/>
    <col min="5899" max="5899" width="11.5" style="154" customWidth="1"/>
    <col min="5900" max="5901" width="12.33203125" style="154" customWidth="1"/>
    <col min="5902" max="5902" width="13.1640625" style="154" customWidth="1"/>
    <col min="5903" max="5903" width="18.5" style="154" customWidth="1"/>
    <col min="5904" max="5904" width="7.33203125" style="154" customWidth="1"/>
    <col min="5905" max="6143" width="9.33203125" style="154"/>
    <col min="6144" max="6144" width="5.33203125" style="154" customWidth="1"/>
    <col min="6145" max="6145" width="5.5" style="154" customWidth="1"/>
    <col min="6146" max="6146" width="40.83203125" style="154" customWidth="1"/>
    <col min="6147" max="6147" width="9.83203125" style="154" customWidth="1"/>
    <col min="6148" max="6148" width="13" style="154" customWidth="1"/>
    <col min="6149" max="6149" width="13.1640625" style="154" customWidth="1"/>
    <col min="6150" max="6150" width="12.33203125" style="154" customWidth="1"/>
    <col min="6151" max="6151" width="11.33203125" style="154" customWidth="1"/>
    <col min="6152" max="6152" width="11.83203125" style="154" customWidth="1"/>
    <col min="6153" max="6153" width="10.83203125" style="154" customWidth="1"/>
    <col min="6154" max="6154" width="13.1640625" style="154" customWidth="1"/>
    <col min="6155" max="6155" width="11.5" style="154" customWidth="1"/>
    <col min="6156" max="6157" width="12.33203125" style="154" customWidth="1"/>
    <col min="6158" max="6158" width="13.1640625" style="154" customWidth="1"/>
    <col min="6159" max="6159" width="18.5" style="154" customWidth="1"/>
    <col min="6160" max="6160" width="7.33203125" style="154" customWidth="1"/>
    <col min="6161" max="6399" width="9.33203125" style="154"/>
    <col min="6400" max="6400" width="5.33203125" style="154" customWidth="1"/>
    <col min="6401" max="6401" width="5.5" style="154" customWidth="1"/>
    <col min="6402" max="6402" width="40.83203125" style="154" customWidth="1"/>
    <col min="6403" max="6403" width="9.83203125" style="154" customWidth="1"/>
    <col min="6404" max="6404" width="13" style="154" customWidth="1"/>
    <col min="6405" max="6405" width="13.1640625" style="154" customWidth="1"/>
    <col min="6406" max="6406" width="12.33203125" style="154" customWidth="1"/>
    <col min="6407" max="6407" width="11.33203125" style="154" customWidth="1"/>
    <col min="6408" max="6408" width="11.83203125" style="154" customWidth="1"/>
    <col min="6409" max="6409" width="10.83203125" style="154" customWidth="1"/>
    <col min="6410" max="6410" width="13.1640625" style="154" customWidth="1"/>
    <col min="6411" max="6411" width="11.5" style="154" customWidth="1"/>
    <col min="6412" max="6413" width="12.33203125" style="154" customWidth="1"/>
    <col min="6414" max="6414" width="13.1640625" style="154" customWidth="1"/>
    <col min="6415" max="6415" width="18.5" style="154" customWidth="1"/>
    <col min="6416" max="6416" width="7.33203125" style="154" customWidth="1"/>
    <col min="6417" max="6655" width="9.33203125" style="154"/>
    <col min="6656" max="6656" width="5.33203125" style="154" customWidth="1"/>
    <col min="6657" max="6657" width="5.5" style="154" customWidth="1"/>
    <col min="6658" max="6658" width="40.83203125" style="154" customWidth="1"/>
    <col min="6659" max="6659" width="9.83203125" style="154" customWidth="1"/>
    <col min="6660" max="6660" width="13" style="154" customWidth="1"/>
    <col min="6661" max="6661" width="13.1640625" style="154" customWidth="1"/>
    <col min="6662" max="6662" width="12.33203125" style="154" customWidth="1"/>
    <col min="6663" max="6663" width="11.33203125" style="154" customWidth="1"/>
    <col min="6664" max="6664" width="11.83203125" style="154" customWidth="1"/>
    <col min="6665" max="6665" width="10.83203125" style="154" customWidth="1"/>
    <col min="6666" max="6666" width="13.1640625" style="154" customWidth="1"/>
    <col min="6667" max="6667" width="11.5" style="154" customWidth="1"/>
    <col min="6668" max="6669" width="12.33203125" style="154" customWidth="1"/>
    <col min="6670" max="6670" width="13.1640625" style="154" customWidth="1"/>
    <col min="6671" max="6671" width="18.5" style="154" customWidth="1"/>
    <col min="6672" max="6672" width="7.33203125" style="154" customWidth="1"/>
    <col min="6673" max="6911" width="9.33203125" style="154"/>
    <col min="6912" max="6912" width="5.33203125" style="154" customWidth="1"/>
    <col min="6913" max="6913" width="5.5" style="154" customWidth="1"/>
    <col min="6914" max="6914" width="40.83203125" style="154" customWidth="1"/>
    <col min="6915" max="6915" width="9.83203125" style="154" customWidth="1"/>
    <col min="6916" max="6916" width="13" style="154" customWidth="1"/>
    <col min="6917" max="6917" width="13.1640625" style="154" customWidth="1"/>
    <col min="6918" max="6918" width="12.33203125" style="154" customWidth="1"/>
    <col min="6919" max="6919" width="11.33203125" style="154" customWidth="1"/>
    <col min="6920" max="6920" width="11.83203125" style="154" customWidth="1"/>
    <col min="6921" max="6921" width="10.83203125" style="154" customWidth="1"/>
    <col min="6922" max="6922" width="13.1640625" style="154" customWidth="1"/>
    <col min="6923" max="6923" width="11.5" style="154" customWidth="1"/>
    <col min="6924" max="6925" width="12.33203125" style="154" customWidth="1"/>
    <col min="6926" max="6926" width="13.1640625" style="154" customWidth="1"/>
    <col min="6927" max="6927" width="18.5" style="154" customWidth="1"/>
    <col min="6928" max="6928" width="7.33203125" style="154" customWidth="1"/>
    <col min="6929" max="7167" width="9.33203125" style="154"/>
    <col min="7168" max="7168" width="5.33203125" style="154" customWidth="1"/>
    <col min="7169" max="7169" width="5.5" style="154" customWidth="1"/>
    <col min="7170" max="7170" width="40.83203125" style="154" customWidth="1"/>
    <col min="7171" max="7171" width="9.83203125" style="154" customWidth="1"/>
    <col min="7172" max="7172" width="13" style="154" customWidth="1"/>
    <col min="7173" max="7173" width="13.1640625" style="154" customWidth="1"/>
    <col min="7174" max="7174" width="12.33203125" style="154" customWidth="1"/>
    <col min="7175" max="7175" width="11.33203125" style="154" customWidth="1"/>
    <col min="7176" max="7176" width="11.83203125" style="154" customWidth="1"/>
    <col min="7177" max="7177" width="10.83203125" style="154" customWidth="1"/>
    <col min="7178" max="7178" width="13.1640625" style="154" customWidth="1"/>
    <col min="7179" max="7179" width="11.5" style="154" customWidth="1"/>
    <col min="7180" max="7181" width="12.33203125" style="154" customWidth="1"/>
    <col min="7182" max="7182" width="13.1640625" style="154" customWidth="1"/>
    <col min="7183" max="7183" width="18.5" style="154" customWidth="1"/>
    <col min="7184" max="7184" width="7.33203125" style="154" customWidth="1"/>
    <col min="7185" max="7423" width="9.33203125" style="154"/>
    <col min="7424" max="7424" width="5.33203125" style="154" customWidth="1"/>
    <col min="7425" max="7425" width="5.5" style="154" customWidth="1"/>
    <col min="7426" max="7426" width="40.83203125" style="154" customWidth="1"/>
    <col min="7427" max="7427" width="9.83203125" style="154" customWidth="1"/>
    <col min="7428" max="7428" width="13" style="154" customWidth="1"/>
    <col min="7429" max="7429" width="13.1640625" style="154" customWidth="1"/>
    <col min="7430" max="7430" width="12.33203125" style="154" customWidth="1"/>
    <col min="7431" max="7431" width="11.33203125" style="154" customWidth="1"/>
    <col min="7432" max="7432" width="11.83203125" style="154" customWidth="1"/>
    <col min="7433" max="7433" width="10.83203125" style="154" customWidth="1"/>
    <col min="7434" max="7434" width="13.1640625" style="154" customWidth="1"/>
    <col min="7435" max="7435" width="11.5" style="154" customWidth="1"/>
    <col min="7436" max="7437" width="12.33203125" style="154" customWidth="1"/>
    <col min="7438" max="7438" width="13.1640625" style="154" customWidth="1"/>
    <col min="7439" max="7439" width="18.5" style="154" customWidth="1"/>
    <col min="7440" max="7440" width="7.33203125" style="154" customWidth="1"/>
    <col min="7441" max="7679" width="9.33203125" style="154"/>
    <col min="7680" max="7680" width="5.33203125" style="154" customWidth="1"/>
    <col min="7681" max="7681" width="5.5" style="154" customWidth="1"/>
    <col min="7682" max="7682" width="40.83203125" style="154" customWidth="1"/>
    <col min="7683" max="7683" width="9.83203125" style="154" customWidth="1"/>
    <col min="7684" max="7684" width="13" style="154" customWidth="1"/>
    <col min="7685" max="7685" width="13.1640625" style="154" customWidth="1"/>
    <col min="7686" max="7686" width="12.33203125" style="154" customWidth="1"/>
    <col min="7687" max="7687" width="11.33203125" style="154" customWidth="1"/>
    <col min="7688" max="7688" width="11.83203125" style="154" customWidth="1"/>
    <col min="7689" max="7689" width="10.83203125" style="154" customWidth="1"/>
    <col min="7690" max="7690" width="13.1640625" style="154" customWidth="1"/>
    <col min="7691" max="7691" width="11.5" style="154" customWidth="1"/>
    <col min="7692" max="7693" width="12.33203125" style="154" customWidth="1"/>
    <col min="7694" max="7694" width="13.1640625" style="154" customWidth="1"/>
    <col min="7695" max="7695" width="18.5" style="154" customWidth="1"/>
    <col min="7696" max="7696" width="7.33203125" style="154" customWidth="1"/>
    <col min="7697" max="7935" width="9.33203125" style="154"/>
    <col min="7936" max="7936" width="5.33203125" style="154" customWidth="1"/>
    <col min="7937" max="7937" width="5.5" style="154" customWidth="1"/>
    <col min="7938" max="7938" width="40.83203125" style="154" customWidth="1"/>
    <col min="7939" max="7939" width="9.83203125" style="154" customWidth="1"/>
    <col min="7940" max="7940" width="13" style="154" customWidth="1"/>
    <col min="7941" max="7941" width="13.1640625" style="154" customWidth="1"/>
    <col min="7942" max="7942" width="12.33203125" style="154" customWidth="1"/>
    <col min="7943" max="7943" width="11.33203125" style="154" customWidth="1"/>
    <col min="7944" max="7944" width="11.83203125" style="154" customWidth="1"/>
    <col min="7945" max="7945" width="10.83203125" style="154" customWidth="1"/>
    <col min="7946" max="7946" width="13.1640625" style="154" customWidth="1"/>
    <col min="7947" max="7947" width="11.5" style="154" customWidth="1"/>
    <col min="7948" max="7949" width="12.33203125" style="154" customWidth="1"/>
    <col min="7950" max="7950" width="13.1640625" style="154" customWidth="1"/>
    <col min="7951" max="7951" width="18.5" style="154" customWidth="1"/>
    <col min="7952" max="7952" width="7.33203125" style="154" customWidth="1"/>
    <col min="7953" max="8191" width="9.33203125" style="154"/>
    <col min="8192" max="8192" width="5.33203125" style="154" customWidth="1"/>
    <col min="8193" max="8193" width="5.5" style="154" customWidth="1"/>
    <col min="8194" max="8194" width="40.83203125" style="154" customWidth="1"/>
    <col min="8195" max="8195" width="9.83203125" style="154" customWidth="1"/>
    <col min="8196" max="8196" width="13" style="154" customWidth="1"/>
    <col min="8197" max="8197" width="13.1640625" style="154" customWidth="1"/>
    <col min="8198" max="8198" width="12.33203125" style="154" customWidth="1"/>
    <col min="8199" max="8199" width="11.33203125" style="154" customWidth="1"/>
    <col min="8200" max="8200" width="11.83203125" style="154" customWidth="1"/>
    <col min="8201" max="8201" width="10.83203125" style="154" customWidth="1"/>
    <col min="8202" max="8202" width="13.1640625" style="154" customWidth="1"/>
    <col min="8203" max="8203" width="11.5" style="154" customWidth="1"/>
    <col min="8204" max="8205" width="12.33203125" style="154" customWidth="1"/>
    <col min="8206" max="8206" width="13.1640625" style="154" customWidth="1"/>
    <col min="8207" max="8207" width="18.5" style="154" customWidth="1"/>
    <col min="8208" max="8208" width="7.33203125" style="154" customWidth="1"/>
    <col min="8209" max="8447" width="9.33203125" style="154"/>
    <col min="8448" max="8448" width="5.33203125" style="154" customWidth="1"/>
    <col min="8449" max="8449" width="5.5" style="154" customWidth="1"/>
    <col min="8450" max="8450" width="40.83203125" style="154" customWidth="1"/>
    <col min="8451" max="8451" width="9.83203125" style="154" customWidth="1"/>
    <col min="8452" max="8452" width="13" style="154" customWidth="1"/>
    <col min="8453" max="8453" width="13.1640625" style="154" customWidth="1"/>
    <col min="8454" max="8454" width="12.33203125" style="154" customWidth="1"/>
    <col min="8455" max="8455" width="11.33203125" style="154" customWidth="1"/>
    <col min="8456" max="8456" width="11.83203125" style="154" customWidth="1"/>
    <col min="8457" max="8457" width="10.83203125" style="154" customWidth="1"/>
    <col min="8458" max="8458" width="13.1640625" style="154" customWidth="1"/>
    <col min="8459" max="8459" width="11.5" style="154" customWidth="1"/>
    <col min="8460" max="8461" width="12.33203125" style="154" customWidth="1"/>
    <col min="8462" max="8462" width="13.1640625" style="154" customWidth="1"/>
    <col min="8463" max="8463" width="18.5" style="154" customWidth="1"/>
    <col min="8464" max="8464" width="7.33203125" style="154" customWidth="1"/>
    <col min="8465" max="8703" width="9.33203125" style="154"/>
    <col min="8704" max="8704" width="5.33203125" style="154" customWidth="1"/>
    <col min="8705" max="8705" width="5.5" style="154" customWidth="1"/>
    <col min="8706" max="8706" width="40.83203125" style="154" customWidth="1"/>
    <col min="8707" max="8707" width="9.83203125" style="154" customWidth="1"/>
    <col min="8708" max="8708" width="13" style="154" customWidth="1"/>
    <col min="8709" max="8709" width="13.1640625" style="154" customWidth="1"/>
    <col min="8710" max="8710" width="12.33203125" style="154" customWidth="1"/>
    <col min="8711" max="8711" width="11.33203125" style="154" customWidth="1"/>
    <col min="8712" max="8712" width="11.83203125" style="154" customWidth="1"/>
    <col min="8713" max="8713" width="10.83203125" style="154" customWidth="1"/>
    <col min="8714" max="8714" width="13.1640625" style="154" customWidth="1"/>
    <col min="8715" max="8715" width="11.5" style="154" customWidth="1"/>
    <col min="8716" max="8717" width="12.33203125" style="154" customWidth="1"/>
    <col min="8718" max="8718" width="13.1640625" style="154" customWidth="1"/>
    <col min="8719" max="8719" width="18.5" style="154" customWidth="1"/>
    <col min="8720" max="8720" width="7.33203125" style="154" customWidth="1"/>
    <col min="8721" max="8959" width="9.33203125" style="154"/>
    <col min="8960" max="8960" width="5.33203125" style="154" customWidth="1"/>
    <col min="8961" max="8961" width="5.5" style="154" customWidth="1"/>
    <col min="8962" max="8962" width="40.83203125" style="154" customWidth="1"/>
    <col min="8963" max="8963" width="9.83203125" style="154" customWidth="1"/>
    <col min="8964" max="8964" width="13" style="154" customWidth="1"/>
    <col min="8965" max="8965" width="13.1640625" style="154" customWidth="1"/>
    <col min="8966" max="8966" width="12.33203125" style="154" customWidth="1"/>
    <col min="8967" max="8967" width="11.33203125" style="154" customWidth="1"/>
    <col min="8968" max="8968" width="11.83203125" style="154" customWidth="1"/>
    <col min="8969" max="8969" width="10.83203125" style="154" customWidth="1"/>
    <col min="8970" max="8970" width="13.1640625" style="154" customWidth="1"/>
    <col min="8971" max="8971" width="11.5" style="154" customWidth="1"/>
    <col min="8972" max="8973" width="12.33203125" style="154" customWidth="1"/>
    <col min="8974" max="8974" width="13.1640625" style="154" customWidth="1"/>
    <col min="8975" max="8975" width="18.5" style="154" customWidth="1"/>
    <col min="8976" max="8976" width="7.33203125" style="154" customWidth="1"/>
    <col min="8977" max="9215" width="9.33203125" style="154"/>
    <col min="9216" max="9216" width="5.33203125" style="154" customWidth="1"/>
    <col min="9217" max="9217" width="5.5" style="154" customWidth="1"/>
    <col min="9218" max="9218" width="40.83203125" style="154" customWidth="1"/>
    <col min="9219" max="9219" width="9.83203125" style="154" customWidth="1"/>
    <col min="9220" max="9220" width="13" style="154" customWidth="1"/>
    <col min="9221" max="9221" width="13.1640625" style="154" customWidth="1"/>
    <col min="9222" max="9222" width="12.33203125" style="154" customWidth="1"/>
    <col min="9223" max="9223" width="11.33203125" style="154" customWidth="1"/>
    <col min="9224" max="9224" width="11.83203125" style="154" customWidth="1"/>
    <col min="9225" max="9225" width="10.83203125" style="154" customWidth="1"/>
    <col min="9226" max="9226" width="13.1640625" style="154" customWidth="1"/>
    <col min="9227" max="9227" width="11.5" style="154" customWidth="1"/>
    <col min="9228" max="9229" width="12.33203125" style="154" customWidth="1"/>
    <col min="9230" max="9230" width="13.1640625" style="154" customWidth="1"/>
    <col min="9231" max="9231" width="18.5" style="154" customWidth="1"/>
    <col min="9232" max="9232" width="7.33203125" style="154" customWidth="1"/>
    <col min="9233" max="9471" width="9.33203125" style="154"/>
    <col min="9472" max="9472" width="5.33203125" style="154" customWidth="1"/>
    <col min="9473" max="9473" width="5.5" style="154" customWidth="1"/>
    <col min="9474" max="9474" width="40.83203125" style="154" customWidth="1"/>
    <col min="9475" max="9475" width="9.83203125" style="154" customWidth="1"/>
    <col min="9476" max="9476" width="13" style="154" customWidth="1"/>
    <col min="9477" max="9477" width="13.1640625" style="154" customWidth="1"/>
    <col min="9478" max="9478" width="12.33203125" style="154" customWidth="1"/>
    <col min="9479" max="9479" width="11.33203125" style="154" customWidth="1"/>
    <col min="9480" max="9480" width="11.83203125" style="154" customWidth="1"/>
    <col min="9481" max="9481" width="10.83203125" style="154" customWidth="1"/>
    <col min="9482" max="9482" width="13.1640625" style="154" customWidth="1"/>
    <col min="9483" max="9483" width="11.5" style="154" customWidth="1"/>
    <col min="9484" max="9485" width="12.33203125" style="154" customWidth="1"/>
    <col min="9486" max="9486" width="13.1640625" style="154" customWidth="1"/>
    <col min="9487" max="9487" width="18.5" style="154" customWidth="1"/>
    <col min="9488" max="9488" width="7.33203125" style="154" customWidth="1"/>
    <col min="9489" max="9727" width="9.33203125" style="154"/>
    <col min="9728" max="9728" width="5.33203125" style="154" customWidth="1"/>
    <col min="9729" max="9729" width="5.5" style="154" customWidth="1"/>
    <col min="9730" max="9730" width="40.83203125" style="154" customWidth="1"/>
    <col min="9731" max="9731" width="9.83203125" style="154" customWidth="1"/>
    <col min="9732" max="9732" width="13" style="154" customWidth="1"/>
    <col min="9733" max="9733" width="13.1640625" style="154" customWidth="1"/>
    <col min="9734" max="9734" width="12.33203125" style="154" customWidth="1"/>
    <col min="9735" max="9735" width="11.33203125" style="154" customWidth="1"/>
    <col min="9736" max="9736" width="11.83203125" style="154" customWidth="1"/>
    <col min="9737" max="9737" width="10.83203125" style="154" customWidth="1"/>
    <col min="9738" max="9738" width="13.1640625" style="154" customWidth="1"/>
    <col min="9739" max="9739" width="11.5" style="154" customWidth="1"/>
    <col min="9740" max="9741" width="12.33203125" style="154" customWidth="1"/>
    <col min="9742" max="9742" width="13.1640625" style="154" customWidth="1"/>
    <col min="9743" max="9743" width="18.5" style="154" customWidth="1"/>
    <col min="9744" max="9744" width="7.33203125" style="154" customWidth="1"/>
    <col min="9745" max="9983" width="9.33203125" style="154"/>
    <col min="9984" max="9984" width="5.33203125" style="154" customWidth="1"/>
    <col min="9985" max="9985" width="5.5" style="154" customWidth="1"/>
    <col min="9986" max="9986" width="40.83203125" style="154" customWidth="1"/>
    <col min="9987" max="9987" width="9.83203125" style="154" customWidth="1"/>
    <col min="9988" max="9988" width="13" style="154" customWidth="1"/>
    <col min="9989" max="9989" width="13.1640625" style="154" customWidth="1"/>
    <col min="9990" max="9990" width="12.33203125" style="154" customWidth="1"/>
    <col min="9991" max="9991" width="11.33203125" style="154" customWidth="1"/>
    <col min="9992" max="9992" width="11.83203125" style="154" customWidth="1"/>
    <col min="9993" max="9993" width="10.83203125" style="154" customWidth="1"/>
    <col min="9994" max="9994" width="13.1640625" style="154" customWidth="1"/>
    <col min="9995" max="9995" width="11.5" style="154" customWidth="1"/>
    <col min="9996" max="9997" width="12.33203125" style="154" customWidth="1"/>
    <col min="9998" max="9998" width="13.1640625" style="154" customWidth="1"/>
    <col min="9999" max="9999" width="18.5" style="154" customWidth="1"/>
    <col min="10000" max="10000" width="7.33203125" style="154" customWidth="1"/>
    <col min="10001" max="10239" width="9.33203125" style="154"/>
    <col min="10240" max="10240" width="5.33203125" style="154" customWidth="1"/>
    <col min="10241" max="10241" width="5.5" style="154" customWidth="1"/>
    <col min="10242" max="10242" width="40.83203125" style="154" customWidth="1"/>
    <col min="10243" max="10243" width="9.83203125" style="154" customWidth="1"/>
    <col min="10244" max="10244" width="13" style="154" customWidth="1"/>
    <col min="10245" max="10245" width="13.1640625" style="154" customWidth="1"/>
    <col min="10246" max="10246" width="12.33203125" style="154" customWidth="1"/>
    <col min="10247" max="10247" width="11.33203125" style="154" customWidth="1"/>
    <col min="10248" max="10248" width="11.83203125" style="154" customWidth="1"/>
    <col min="10249" max="10249" width="10.83203125" style="154" customWidth="1"/>
    <col min="10250" max="10250" width="13.1640625" style="154" customWidth="1"/>
    <col min="10251" max="10251" width="11.5" style="154" customWidth="1"/>
    <col min="10252" max="10253" width="12.33203125" style="154" customWidth="1"/>
    <col min="10254" max="10254" width="13.1640625" style="154" customWidth="1"/>
    <col min="10255" max="10255" width="18.5" style="154" customWidth="1"/>
    <col min="10256" max="10256" width="7.33203125" style="154" customWidth="1"/>
    <col min="10257" max="10495" width="9.33203125" style="154"/>
    <col min="10496" max="10496" width="5.33203125" style="154" customWidth="1"/>
    <col min="10497" max="10497" width="5.5" style="154" customWidth="1"/>
    <col min="10498" max="10498" width="40.83203125" style="154" customWidth="1"/>
    <col min="10499" max="10499" width="9.83203125" style="154" customWidth="1"/>
    <col min="10500" max="10500" width="13" style="154" customWidth="1"/>
    <col min="10501" max="10501" width="13.1640625" style="154" customWidth="1"/>
    <col min="10502" max="10502" width="12.33203125" style="154" customWidth="1"/>
    <col min="10503" max="10503" width="11.33203125" style="154" customWidth="1"/>
    <col min="10504" max="10504" width="11.83203125" style="154" customWidth="1"/>
    <col min="10505" max="10505" width="10.83203125" style="154" customWidth="1"/>
    <col min="10506" max="10506" width="13.1640625" style="154" customWidth="1"/>
    <col min="10507" max="10507" width="11.5" style="154" customWidth="1"/>
    <col min="10508" max="10509" width="12.33203125" style="154" customWidth="1"/>
    <col min="10510" max="10510" width="13.1640625" style="154" customWidth="1"/>
    <col min="10511" max="10511" width="18.5" style="154" customWidth="1"/>
    <col min="10512" max="10512" width="7.33203125" style="154" customWidth="1"/>
    <col min="10513" max="10751" width="9.33203125" style="154"/>
    <col min="10752" max="10752" width="5.33203125" style="154" customWidth="1"/>
    <col min="10753" max="10753" width="5.5" style="154" customWidth="1"/>
    <col min="10754" max="10754" width="40.83203125" style="154" customWidth="1"/>
    <col min="10755" max="10755" width="9.83203125" style="154" customWidth="1"/>
    <col min="10756" max="10756" width="13" style="154" customWidth="1"/>
    <col min="10757" max="10757" width="13.1640625" style="154" customWidth="1"/>
    <col min="10758" max="10758" width="12.33203125" style="154" customWidth="1"/>
    <col min="10759" max="10759" width="11.33203125" style="154" customWidth="1"/>
    <col min="10760" max="10760" width="11.83203125" style="154" customWidth="1"/>
    <col min="10761" max="10761" width="10.83203125" style="154" customWidth="1"/>
    <col min="10762" max="10762" width="13.1640625" style="154" customWidth="1"/>
    <col min="10763" max="10763" width="11.5" style="154" customWidth="1"/>
    <col min="10764" max="10765" width="12.33203125" style="154" customWidth="1"/>
    <col min="10766" max="10766" width="13.1640625" style="154" customWidth="1"/>
    <col min="10767" max="10767" width="18.5" style="154" customWidth="1"/>
    <col min="10768" max="10768" width="7.33203125" style="154" customWidth="1"/>
    <col min="10769" max="11007" width="9.33203125" style="154"/>
    <col min="11008" max="11008" width="5.33203125" style="154" customWidth="1"/>
    <col min="11009" max="11009" width="5.5" style="154" customWidth="1"/>
    <col min="11010" max="11010" width="40.83203125" style="154" customWidth="1"/>
    <col min="11011" max="11011" width="9.83203125" style="154" customWidth="1"/>
    <col min="11012" max="11012" width="13" style="154" customWidth="1"/>
    <col min="11013" max="11013" width="13.1640625" style="154" customWidth="1"/>
    <col min="11014" max="11014" width="12.33203125" style="154" customWidth="1"/>
    <col min="11015" max="11015" width="11.33203125" style="154" customWidth="1"/>
    <col min="11016" max="11016" width="11.83203125" style="154" customWidth="1"/>
    <col min="11017" max="11017" width="10.83203125" style="154" customWidth="1"/>
    <col min="11018" max="11018" width="13.1640625" style="154" customWidth="1"/>
    <col min="11019" max="11019" width="11.5" style="154" customWidth="1"/>
    <col min="11020" max="11021" width="12.33203125" style="154" customWidth="1"/>
    <col min="11022" max="11022" width="13.1640625" style="154" customWidth="1"/>
    <col min="11023" max="11023" width="18.5" style="154" customWidth="1"/>
    <col min="11024" max="11024" width="7.33203125" style="154" customWidth="1"/>
    <col min="11025" max="11263" width="9.33203125" style="154"/>
    <col min="11264" max="11264" width="5.33203125" style="154" customWidth="1"/>
    <col min="11265" max="11265" width="5.5" style="154" customWidth="1"/>
    <col min="11266" max="11266" width="40.83203125" style="154" customWidth="1"/>
    <col min="11267" max="11267" width="9.83203125" style="154" customWidth="1"/>
    <col min="11268" max="11268" width="13" style="154" customWidth="1"/>
    <col min="11269" max="11269" width="13.1640625" style="154" customWidth="1"/>
    <col min="11270" max="11270" width="12.33203125" style="154" customWidth="1"/>
    <col min="11271" max="11271" width="11.33203125" style="154" customWidth="1"/>
    <col min="11272" max="11272" width="11.83203125" style="154" customWidth="1"/>
    <col min="11273" max="11273" width="10.83203125" style="154" customWidth="1"/>
    <col min="11274" max="11274" width="13.1640625" style="154" customWidth="1"/>
    <col min="11275" max="11275" width="11.5" style="154" customWidth="1"/>
    <col min="11276" max="11277" width="12.33203125" style="154" customWidth="1"/>
    <col min="11278" max="11278" width="13.1640625" style="154" customWidth="1"/>
    <col min="11279" max="11279" width="18.5" style="154" customWidth="1"/>
    <col min="11280" max="11280" width="7.33203125" style="154" customWidth="1"/>
    <col min="11281" max="11519" width="9.33203125" style="154"/>
    <col min="11520" max="11520" width="5.33203125" style="154" customWidth="1"/>
    <col min="11521" max="11521" width="5.5" style="154" customWidth="1"/>
    <col min="11522" max="11522" width="40.83203125" style="154" customWidth="1"/>
    <col min="11523" max="11523" width="9.83203125" style="154" customWidth="1"/>
    <col min="11524" max="11524" width="13" style="154" customWidth="1"/>
    <col min="11525" max="11525" width="13.1640625" style="154" customWidth="1"/>
    <col min="11526" max="11526" width="12.33203125" style="154" customWidth="1"/>
    <col min="11527" max="11527" width="11.33203125" style="154" customWidth="1"/>
    <col min="11528" max="11528" width="11.83203125" style="154" customWidth="1"/>
    <col min="11529" max="11529" width="10.83203125" style="154" customWidth="1"/>
    <col min="11530" max="11530" width="13.1640625" style="154" customWidth="1"/>
    <col min="11531" max="11531" width="11.5" style="154" customWidth="1"/>
    <col min="11532" max="11533" width="12.33203125" style="154" customWidth="1"/>
    <col min="11534" max="11534" width="13.1640625" style="154" customWidth="1"/>
    <col min="11535" max="11535" width="18.5" style="154" customWidth="1"/>
    <col min="11536" max="11536" width="7.33203125" style="154" customWidth="1"/>
    <col min="11537" max="11775" width="9.33203125" style="154"/>
    <col min="11776" max="11776" width="5.33203125" style="154" customWidth="1"/>
    <col min="11777" max="11777" width="5.5" style="154" customWidth="1"/>
    <col min="11778" max="11778" width="40.83203125" style="154" customWidth="1"/>
    <col min="11779" max="11779" width="9.83203125" style="154" customWidth="1"/>
    <col min="11780" max="11780" width="13" style="154" customWidth="1"/>
    <col min="11781" max="11781" width="13.1640625" style="154" customWidth="1"/>
    <col min="11782" max="11782" width="12.33203125" style="154" customWidth="1"/>
    <col min="11783" max="11783" width="11.33203125" style="154" customWidth="1"/>
    <col min="11784" max="11784" width="11.83203125" style="154" customWidth="1"/>
    <col min="11785" max="11785" width="10.83203125" style="154" customWidth="1"/>
    <col min="11786" max="11786" width="13.1640625" style="154" customWidth="1"/>
    <col min="11787" max="11787" width="11.5" style="154" customWidth="1"/>
    <col min="11788" max="11789" width="12.33203125" style="154" customWidth="1"/>
    <col min="11790" max="11790" width="13.1640625" style="154" customWidth="1"/>
    <col min="11791" max="11791" width="18.5" style="154" customWidth="1"/>
    <col min="11792" max="11792" width="7.33203125" style="154" customWidth="1"/>
    <col min="11793" max="12031" width="9.33203125" style="154"/>
    <col min="12032" max="12032" width="5.33203125" style="154" customWidth="1"/>
    <col min="12033" max="12033" width="5.5" style="154" customWidth="1"/>
    <col min="12034" max="12034" width="40.83203125" style="154" customWidth="1"/>
    <col min="12035" max="12035" width="9.83203125" style="154" customWidth="1"/>
    <col min="12036" max="12036" width="13" style="154" customWidth="1"/>
    <col min="12037" max="12037" width="13.1640625" style="154" customWidth="1"/>
    <col min="12038" max="12038" width="12.33203125" style="154" customWidth="1"/>
    <col min="12039" max="12039" width="11.33203125" style="154" customWidth="1"/>
    <col min="12040" max="12040" width="11.83203125" style="154" customWidth="1"/>
    <col min="12041" max="12041" width="10.83203125" style="154" customWidth="1"/>
    <col min="12042" max="12042" width="13.1640625" style="154" customWidth="1"/>
    <col min="12043" max="12043" width="11.5" style="154" customWidth="1"/>
    <col min="12044" max="12045" width="12.33203125" style="154" customWidth="1"/>
    <col min="12046" max="12046" width="13.1640625" style="154" customWidth="1"/>
    <col min="12047" max="12047" width="18.5" style="154" customWidth="1"/>
    <col min="12048" max="12048" width="7.33203125" style="154" customWidth="1"/>
    <col min="12049" max="12287" width="9.33203125" style="154"/>
    <col min="12288" max="12288" width="5.33203125" style="154" customWidth="1"/>
    <col min="12289" max="12289" width="5.5" style="154" customWidth="1"/>
    <col min="12290" max="12290" width="40.83203125" style="154" customWidth="1"/>
    <col min="12291" max="12291" width="9.83203125" style="154" customWidth="1"/>
    <col min="12292" max="12292" width="13" style="154" customWidth="1"/>
    <col min="12293" max="12293" width="13.1640625" style="154" customWidth="1"/>
    <col min="12294" max="12294" width="12.33203125" style="154" customWidth="1"/>
    <col min="12295" max="12295" width="11.33203125" style="154" customWidth="1"/>
    <col min="12296" max="12296" width="11.83203125" style="154" customWidth="1"/>
    <col min="12297" max="12297" width="10.83203125" style="154" customWidth="1"/>
    <col min="12298" max="12298" width="13.1640625" style="154" customWidth="1"/>
    <col min="12299" max="12299" width="11.5" style="154" customWidth="1"/>
    <col min="12300" max="12301" width="12.33203125" style="154" customWidth="1"/>
    <col min="12302" max="12302" width="13.1640625" style="154" customWidth="1"/>
    <col min="12303" max="12303" width="18.5" style="154" customWidth="1"/>
    <col min="12304" max="12304" width="7.33203125" style="154" customWidth="1"/>
    <col min="12305" max="12543" width="9.33203125" style="154"/>
    <col min="12544" max="12544" width="5.33203125" style="154" customWidth="1"/>
    <col min="12545" max="12545" width="5.5" style="154" customWidth="1"/>
    <col min="12546" max="12546" width="40.83203125" style="154" customWidth="1"/>
    <col min="12547" max="12547" width="9.83203125" style="154" customWidth="1"/>
    <col min="12548" max="12548" width="13" style="154" customWidth="1"/>
    <col min="12549" max="12549" width="13.1640625" style="154" customWidth="1"/>
    <col min="12550" max="12550" width="12.33203125" style="154" customWidth="1"/>
    <col min="12551" max="12551" width="11.33203125" style="154" customWidth="1"/>
    <col min="12552" max="12552" width="11.83203125" style="154" customWidth="1"/>
    <col min="12553" max="12553" width="10.83203125" style="154" customWidth="1"/>
    <col min="12554" max="12554" width="13.1640625" style="154" customWidth="1"/>
    <col min="12555" max="12555" width="11.5" style="154" customWidth="1"/>
    <col min="12556" max="12557" width="12.33203125" style="154" customWidth="1"/>
    <col min="12558" max="12558" width="13.1640625" style="154" customWidth="1"/>
    <col min="12559" max="12559" width="18.5" style="154" customWidth="1"/>
    <col min="12560" max="12560" width="7.33203125" style="154" customWidth="1"/>
    <col min="12561" max="12799" width="9.33203125" style="154"/>
    <col min="12800" max="12800" width="5.33203125" style="154" customWidth="1"/>
    <col min="12801" max="12801" width="5.5" style="154" customWidth="1"/>
    <col min="12802" max="12802" width="40.83203125" style="154" customWidth="1"/>
    <col min="12803" max="12803" width="9.83203125" style="154" customWidth="1"/>
    <col min="12804" max="12804" width="13" style="154" customWidth="1"/>
    <col min="12805" max="12805" width="13.1640625" style="154" customWidth="1"/>
    <col min="12806" max="12806" width="12.33203125" style="154" customWidth="1"/>
    <col min="12807" max="12807" width="11.33203125" style="154" customWidth="1"/>
    <col min="12808" max="12808" width="11.83203125" style="154" customWidth="1"/>
    <col min="12809" max="12809" width="10.83203125" style="154" customWidth="1"/>
    <col min="12810" max="12810" width="13.1640625" style="154" customWidth="1"/>
    <col min="12811" max="12811" width="11.5" style="154" customWidth="1"/>
    <col min="12812" max="12813" width="12.33203125" style="154" customWidth="1"/>
    <col min="12814" max="12814" width="13.1640625" style="154" customWidth="1"/>
    <col min="12815" max="12815" width="18.5" style="154" customWidth="1"/>
    <col min="12816" max="12816" width="7.33203125" style="154" customWidth="1"/>
    <col min="12817" max="13055" width="9.33203125" style="154"/>
    <col min="13056" max="13056" width="5.33203125" style="154" customWidth="1"/>
    <col min="13057" max="13057" width="5.5" style="154" customWidth="1"/>
    <col min="13058" max="13058" width="40.83203125" style="154" customWidth="1"/>
    <col min="13059" max="13059" width="9.83203125" style="154" customWidth="1"/>
    <col min="13060" max="13060" width="13" style="154" customWidth="1"/>
    <col min="13061" max="13061" width="13.1640625" style="154" customWidth="1"/>
    <col min="13062" max="13062" width="12.33203125" style="154" customWidth="1"/>
    <col min="13063" max="13063" width="11.33203125" style="154" customWidth="1"/>
    <col min="13064" max="13064" width="11.83203125" style="154" customWidth="1"/>
    <col min="13065" max="13065" width="10.83203125" style="154" customWidth="1"/>
    <col min="13066" max="13066" width="13.1640625" style="154" customWidth="1"/>
    <col min="13067" max="13067" width="11.5" style="154" customWidth="1"/>
    <col min="13068" max="13069" width="12.33203125" style="154" customWidth="1"/>
    <col min="13070" max="13070" width="13.1640625" style="154" customWidth="1"/>
    <col min="13071" max="13071" width="18.5" style="154" customWidth="1"/>
    <col min="13072" max="13072" width="7.33203125" style="154" customWidth="1"/>
    <col min="13073" max="13311" width="9.33203125" style="154"/>
    <col min="13312" max="13312" width="5.33203125" style="154" customWidth="1"/>
    <col min="13313" max="13313" width="5.5" style="154" customWidth="1"/>
    <col min="13314" max="13314" width="40.83203125" style="154" customWidth="1"/>
    <col min="13315" max="13315" width="9.83203125" style="154" customWidth="1"/>
    <col min="13316" max="13316" width="13" style="154" customWidth="1"/>
    <col min="13317" max="13317" width="13.1640625" style="154" customWidth="1"/>
    <col min="13318" max="13318" width="12.33203125" style="154" customWidth="1"/>
    <col min="13319" max="13319" width="11.33203125" style="154" customWidth="1"/>
    <col min="13320" max="13320" width="11.83203125" style="154" customWidth="1"/>
    <col min="13321" max="13321" width="10.83203125" style="154" customWidth="1"/>
    <col min="13322" max="13322" width="13.1640625" style="154" customWidth="1"/>
    <col min="13323" max="13323" width="11.5" style="154" customWidth="1"/>
    <col min="13324" max="13325" width="12.33203125" style="154" customWidth="1"/>
    <col min="13326" max="13326" width="13.1640625" style="154" customWidth="1"/>
    <col min="13327" max="13327" width="18.5" style="154" customWidth="1"/>
    <col min="13328" max="13328" width="7.33203125" style="154" customWidth="1"/>
    <col min="13329" max="13567" width="9.33203125" style="154"/>
    <col min="13568" max="13568" width="5.33203125" style="154" customWidth="1"/>
    <col min="13569" max="13569" width="5.5" style="154" customWidth="1"/>
    <col min="13570" max="13570" width="40.83203125" style="154" customWidth="1"/>
    <col min="13571" max="13571" width="9.83203125" style="154" customWidth="1"/>
    <col min="13572" max="13572" width="13" style="154" customWidth="1"/>
    <col min="13573" max="13573" width="13.1640625" style="154" customWidth="1"/>
    <col min="13574" max="13574" width="12.33203125" style="154" customWidth="1"/>
    <col min="13575" max="13575" width="11.33203125" style="154" customWidth="1"/>
    <col min="13576" max="13576" width="11.83203125" style="154" customWidth="1"/>
    <col min="13577" max="13577" width="10.83203125" style="154" customWidth="1"/>
    <col min="13578" max="13578" width="13.1640625" style="154" customWidth="1"/>
    <col min="13579" max="13579" width="11.5" style="154" customWidth="1"/>
    <col min="13580" max="13581" width="12.33203125" style="154" customWidth="1"/>
    <col min="13582" max="13582" width="13.1640625" style="154" customWidth="1"/>
    <col min="13583" max="13583" width="18.5" style="154" customWidth="1"/>
    <col min="13584" max="13584" width="7.33203125" style="154" customWidth="1"/>
    <col min="13585" max="13823" width="9.33203125" style="154"/>
    <col min="13824" max="13824" width="5.33203125" style="154" customWidth="1"/>
    <col min="13825" max="13825" width="5.5" style="154" customWidth="1"/>
    <col min="13826" max="13826" width="40.83203125" style="154" customWidth="1"/>
    <col min="13827" max="13827" width="9.83203125" style="154" customWidth="1"/>
    <col min="13828" max="13828" width="13" style="154" customWidth="1"/>
    <col min="13829" max="13829" width="13.1640625" style="154" customWidth="1"/>
    <col min="13830" max="13830" width="12.33203125" style="154" customWidth="1"/>
    <col min="13831" max="13831" width="11.33203125" style="154" customWidth="1"/>
    <col min="13832" max="13832" width="11.83203125" style="154" customWidth="1"/>
    <col min="13833" max="13833" width="10.83203125" style="154" customWidth="1"/>
    <col min="13834" max="13834" width="13.1640625" style="154" customWidth="1"/>
    <col min="13835" max="13835" width="11.5" style="154" customWidth="1"/>
    <col min="13836" max="13837" width="12.33203125" style="154" customWidth="1"/>
    <col min="13838" max="13838" width="13.1640625" style="154" customWidth="1"/>
    <col min="13839" max="13839" width="18.5" style="154" customWidth="1"/>
    <col min="13840" max="13840" width="7.33203125" style="154" customWidth="1"/>
    <col min="13841" max="14079" width="9.33203125" style="154"/>
    <col min="14080" max="14080" width="5.33203125" style="154" customWidth="1"/>
    <col min="14081" max="14081" width="5.5" style="154" customWidth="1"/>
    <col min="14082" max="14082" width="40.83203125" style="154" customWidth="1"/>
    <col min="14083" max="14083" width="9.83203125" style="154" customWidth="1"/>
    <col min="14084" max="14084" width="13" style="154" customWidth="1"/>
    <col min="14085" max="14085" width="13.1640625" style="154" customWidth="1"/>
    <col min="14086" max="14086" width="12.33203125" style="154" customWidth="1"/>
    <col min="14087" max="14087" width="11.33203125" style="154" customWidth="1"/>
    <col min="14088" max="14088" width="11.83203125" style="154" customWidth="1"/>
    <col min="14089" max="14089" width="10.83203125" style="154" customWidth="1"/>
    <col min="14090" max="14090" width="13.1640625" style="154" customWidth="1"/>
    <col min="14091" max="14091" width="11.5" style="154" customWidth="1"/>
    <col min="14092" max="14093" width="12.33203125" style="154" customWidth="1"/>
    <col min="14094" max="14094" width="13.1640625" style="154" customWidth="1"/>
    <col min="14095" max="14095" width="18.5" style="154" customWidth="1"/>
    <col min="14096" max="14096" width="7.33203125" style="154" customWidth="1"/>
    <col min="14097" max="14335" width="9.33203125" style="154"/>
    <col min="14336" max="14336" width="5.33203125" style="154" customWidth="1"/>
    <col min="14337" max="14337" width="5.5" style="154" customWidth="1"/>
    <col min="14338" max="14338" width="40.83203125" style="154" customWidth="1"/>
    <col min="14339" max="14339" width="9.83203125" style="154" customWidth="1"/>
    <col min="14340" max="14340" width="13" style="154" customWidth="1"/>
    <col min="14341" max="14341" width="13.1640625" style="154" customWidth="1"/>
    <col min="14342" max="14342" width="12.33203125" style="154" customWidth="1"/>
    <col min="14343" max="14343" width="11.33203125" style="154" customWidth="1"/>
    <col min="14344" max="14344" width="11.83203125" style="154" customWidth="1"/>
    <col min="14345" max="14345" width="10.83203125" style="154" customWidth="1"/>
    <col min="14346" max="14346" width="13.1640625" style="154" customWidth="1"/>
    <col min="14347" max="14347" width="11.5" style="154" customWidth="1"/>
    <col min="14348" max="14349" width="12.33203125" style="154" customWidth="1"/>
    <col min="14350" max="14350" width="13.1640625" style="154" customWidth="1"/>
    <col min="14351" max="14351" width="18.5" style="154" customWidth="1"/>
    <col min="14352" max="14352" width="7.33203125" style="154" customWidth="1"/>
    <col min="14353" max="14591" width="9.33203125" style="154"/>
    <col min="14592" max="14592" width="5.33203125" style="154" customWidth="1"/>
    <col min="14593" max="14593" width="5.5" style="154" customWidth="1"/>
    <col min="14594" max="14594" width="40.83203125" style="154" customWidth="1"/>
    <col min="14595" max="14595" width="9.83203125" style="154" customWidth="1"/>
    <col min="14596" max="14596" width="13" style="154" customWidth="1"/>
    <col min="14597" max="14597" width="13.1640625" style="154" customWidth="1"/>
    <col min="14598" max="14598" width="12.33203125" style="154" customWidth="1"/>
    <col min="14599" max="14599" width="11.33203125" style="154" customWidth="1"/>
    <col min="14600" max="14600" width="11.83203125" style="154" customWidth="1"/>
    <col min="14601" max="14601" width="10.83203125" style="154" customWidth="1"/>
    <col min="14602" max="14602" width="13.1640625" style="154" customWidth="1"/>
    <col min="14603" max="14603" width="11.5" style="154" customWidth="1"/>
    <col min="14604" max="14605" width="12.33203125" style="154" customWidth="1"/>
    <col min="14606" max="14606" width="13.1640625" style="154" customWidth="1"/>
    <col min="14607" max="14607" width="18.5" style="154" customWidth="1"/>
    <col min="14608" max="14608" width="7.33203125" style="154" customWidth="1"/>
    <col min="14609" max="14847" width="9.33203125" style="154"/>
    <col min="14848" max="14848" width="5.33203125" style="154" customWidth="1"/>
    <col min="14849" max="14849" width="5.5" style="154" customWidth="1"/>
    <col min="14850" max="14850" width="40.83203125" style="154" customWidth="1"/>
    <col min="14851" max="14851" width="9.83203125" style="154" customWidth="1"/>
    <col min="14852" max="14852" width="13" style="154" customWidth="1"/>
    <col min="14853" max="14853" width="13.1640625" style="154" customWidth="1"/>
    <col min="14854" max="14854" width="12.33203125" style="154" customWidth="1"/>
    <col min="14855" max="14855" width="11.33203125" style="154" customWidth="1"/>
    <col min="14856" max="14856" width="11.83203125" style="154" customWidth="1"/>
    <col min="14857" max="14857" width="10.83203125" style="154" customWidth="1"/>
    <col min="14858" max="14858" width="13.1640625" style="154" customWidth="1"/>
    <col min="14859" max="14859" width="11.5" style="154" customWidth="1"/>
    <col min="14860" max="14861" width="12.33203125" style="154" customWidth="1"/>
    <col min="14862" max="14862" width="13.1640625" style="154" customWidth="1"/>
    <col min="14863" max="14863" width="18.5" style="154" customWidth="1"/>
    <col min="14864" max="14864" width="7.33203125" style="154" customWidth="1"/>
    <col min="14865" max="15103" width="9.33203125" style="154"/>
    <col min="15104" max="15104" width="5.33203125" style="154" customWidth="1"/>
    <col min="15105" max="15105" width="5.5" style="154" customWidth="1"/>
    <col min="15106" max="15106" width="40.83203125" style="154" customWidth="1"/>
    <col min="15107" max="15107" width="9.83203125" style="154" customWidth="1"/>
    <col min="15108" max="15108" width="13" style="154" customWidth="1"/>
    <col min="15109" max="15109" width="13.1640625" style="154" customWidth="1"/>
    <col min="15110" max="15110" width="12.33203125" style="154" customWidth="1"/>
    <col min="15111" max="15111" width="11.33203125" style="154" customWidth="1"/>
    <col min="15112" max="15112" width="11.83203125" style="154" customWidth="1"/>
    <col min="15113" max="15113" width="10.83203125" style="154" customWidth="1"/>
    <col min="15114" max="15114" width="13.1640625" style="154" customWidth="1"/>
    <col min="15115" max="15115" width="11.5" style="154" customWidth="1"/>
    <col min="15116" max="15117" width="12.33203125" style="154" customWidth="1"/>
    <col min="15118" max="15118" width="13.1640625" style="154" customWidth="1"/>
    <col min="15119" max="15119" width="18.5" style="154" customWidth="1"/>
    <col min="15120" max="15120" width="7.33203125" style="154" customWidth="1"/>
    <col min="15121" max="15359" width="9.33203125" style="154"/>
    <col min="15360" max="15360" width="5.33203125" style="154" customWidth="1"/>
    <col min="15361" max="15361" width="5.5" style="154" customWidth="1"/>
    <col min="15362" max="15362" width="40.83203125" style="154" customWidth="1"/>
    <col min="15363" max="15363" width="9.83203125" style="154" customWidth="1"/>
    <col min="15364" max="15364" width="13" style="154" customWidth="1"/>
    <col min="15365" max="15365" width="13.1640625" style="154" customWidth="1"/>
    <col min="15366" max="15366" width="12.33203125" style="154" customWidth="1"/>
    <col min="15367" max="15367" width="11.33203125" style="154" customWidth="1"/>
    <col min="15368" max="15368" width="11.83203125" style="154" customWidth="1"/>
    <col min="15369" max="15369" width="10.83203125" style="154" customWidth="1"/>
    <col min="15370" max="15370" width="13.1640625" style="154" customWidth="1"/>
    <col min="15371" max="15371" width="11.5" style="154" customWidth="1"/>
    <col min="15372" max="15373" width="12.33203125" style="154" customWidth="1"/>
    <col min="15374" max="15374" width="13.1640625" style="154" customWidth="1"/>
    <col min="15375" max="15375" width="18.5" style="154" customWidth="1"/>
    <col min="15376" max="15376" width="7.33203125" style="154" customWidth="1"/>
    <col min="15377" max="15615" width="9.33203125" style="154"/>
    <col min="15616" max="15616" width="5.33203125" style="154" customWidth="1"/>
    <col min="15617" max="15617" width="5.5" style="154" customWidth="1"/>
    <col min="15618" max="15618" width="40.83203125" style="154" customWidth="1"/>
    <col min="15619" max="15619" width="9.83203125" style="154" customWidth="1"/>
    <col min="15620" max="15620" width="13" style="154" customWidth="1"/>
    <col min="15621" max="15621" width="13.1640625" style="154" customWidth="1"/>
    <col min="15622" max="15622" width="12.33203125" style="154" customWidth="1"/>
    <col min="15623" max="15623" width="11.33203125" style="154" customWidth="1"/>
    <col min="15624" max="15624" width="11.83203125" style="154" customWidth="1"/>
    <col min="15625" max="15625" width="10.83203125" style="154" customWidth="1"/>
    <col min="15626" max="15626" width="13.1640625" style="154" customWidth="1"/>
    <col min="15627" max="15627" width="11.5" style="154" customWidth="1"/>
    <col min="15628" max="15629" width="12.33203125" style="154" customWidth="1"/>
    <col min="15630" max="15630" width="13.1640625" style="154" customWidth="1"/>
    <col min="15631" max="15631" width="18.5" style="154" customWidth="1"/>
    <col min="15632" max="15632" width="7.33203125" style="154" customWidth="1"/>
    <col min="15633" max="15871" width="9.33203125" style="154"/>
    <col min="15872" max="15872" width="5.33203125" style="154" customWidth="1"/>
    <col min="15873" max="15873" width="5.5" style="154" customWidth="1"/>
    <col min="15874" max="15874" width="40.83203125" style="154" customWidth="1"/>
    <col min="15875" max="15875" width="9.83203125" style="154" customWidth="1"/>
    <col min="15876" max="15876" width="13" style="154" customWidth="1"/>
    <col min="15877" max="15877" width="13.1640625" style="154" customWidth="1"/>
    <col min="15878" max="15878" width="12.33203125" style="154" customWidth="1"/>
    <col min="15879" max="15879" width="11.33203125" style="154" customWidth="1"/>
    <col min="15880" max="15880" width="11.83203125" style="154" customWidth="1"/>
    <col min="15881" max="15881" width="10.83203125" style="154" customWidth="1"/>
    <col min="15882" max="15882" width="13.1640625" style="154" customWidth="1"/>
    <col min="15883" max="15883" width="11.5" style="154" customWidth="1"/>
    <col min="15884" max="15885" width="12.33203125" style="154" customWidth="1"/>
    <col min="15886" max="15886" width="13.1640625" style="154" customWidth="1"/>
    <col min="15887" max="15887" width="18.5" style="154" customWidth="1"/>
    <col min="15888" max="15888" width="7.33203125" style="154" customWidth="1"/>
    <col min="15889" max="16127" width="9.33203125" style="154"/>
    <col min="16128" max="16128" width="5.33203125" style="154" customWidth="1"/>
    <col min="16129" max="16129" width="5.5" style="154" customWidth="1"/>
    <col min="16130" max="16130" width="40.83203125" style="154" customWidth="1"/>
    <col min="16131" max="16131" width="9.83203125" style="154" customWidth="1"/>
    <col min="16132" max="16132" width="13" style="154" customWidth="1"/>
    <col min="16133" max="16133" width="13.1640625" style="154" customWidth="1"/>
    <col min="16134" max="16134" width="12.33203125" style="154" customWidth="1"/>
    <col min="16135" max="16135" width="11.33203125" style="154" customWidth="1"/>
    <col min="16136" max="16136" width="11.83203125" style="154" customWidth="1"/>
    <col min="16137" max="16137" width="10.83203125" style="154" customWidth="1"/>
    <col min="16138" max="16138" width="13.1640625" style="154" customWidth="1"/>
    <col min="16139" max="16139" width="11.5" style="154" customWidth="1"/>
    <col min="16140" max="16141" width="12.33203125" style="154" customWidth="1"/>
    <col min="16142" max="16142" width="13.1640625" style="154" customWidth="1"/>
    <col min="16143" max="16143" width="18.5" style="154" customWidth="1"/>
    <col min="16144" max="16144" width="7.33203125" style="154" customWidth="1"/>
    <col min="16145" max="16384" width="9.33203125" style="154"/>
  </cols>
  <sheetData>
    <row r="1" spans="1:15" ht="13.5" x14ac:dyDescent="0.25">
      <c r="A1" s="936" t="s">
        <v>122</v>
      </c>
      <c r="B1" s="936" t="s">
        <v>123</v>
      </c>
      <c r="C1" s="934" t="s">
        <v>176</v>
      </c>
      <c r="D1" s="936" t="s">
        <v>332</v>
      </c>
      <c r="E1" s="938" t="s">
        <v>183</v>
      </c>
      <c r="F1" s="938"/>
      <c r="G1" s="938"/>
      <c r="H1" s="938"/>
      <c r="I1" s="938"/>
      <c r="J1" s="938"/>
      <c r="K1" s="938"/>
      <c r="L1" s="939" t="s">
        <v>254</v>
      </c>
      <c r="M1" s="939"/>
      <c r="N1" s="939"/>
      <c r="O1" s="934" t="s">
        <v>22</v>
      </c>
    </row>
    <row r="2" spans="1:15" s="158" customFormat="1" ht="69" customHeight="1" x14ac:dyDescent="0.2">
      <c r="A2" s="936"/>
      <c r="B2" s="936"/>
      <c r="C2" s="934"/>
      <c r="D2" s="937"/>
      <c r="E2" s="155" t="s">
        <v>23</v>
      </c>
      <c r="F2" s="155" t="s">
        <v>24</v>
      </c>
      <c r="G2" s="156" t="s">
        <v>25</v>
      </c>
      <c r="H2" s="157" t="s">
        <v>250</v>
      </c>
      <c r="I2" s="156" t="s">
        <v>251</v>
      </c>
      <c r="J2" s="156" t="s">
        <v>252</v>
      </c>
      <c r="K2" s="156" t="s">
        <v>253</v>
      </c>
      <c r="L2" s="156" t="s">
        <v>184</v>
      </c>
      <c r="M2" s="156" t="s">
        <v>185</v>
      </c>
      <c r="N2" s="156" t="s">
        <v>187</v>
      </c>
      <c r="O2" s="934"/>
    </row>
    <row r="3" spans="1:15" s="158" customFormat="1" ht="12.95" customHeight="1" x14ac:dyDescent="0.2">
      <c r="A3" s="159">
        <v>1</v>
      </c>
      <c r="B3" s="159"/>
      <c r="C3" s="465" t="s">
        <v>236</v>
      </c>
      <c r="D3" s="466"/>
      <c r="E3" s="467"/>
      <c r="F3" s="467"/>
      <c r="G3" s="467"/>
      <c r="H3" s="467"/>
      <c r="I3" s="467"/>
      <c r="J3" s="467"/>
      <c r="K3" s="467"/>
      <c r="L3" s="467"/>
      <c r="M3" s="467"/>
      <c r="N3" s="467"/>
      <c r="O3" s="467"/>
    </row>
    <row r="4" spans="1:15" s="158" customFormat="1" ht="12.95" customHeight="1" x14ac:dyDescent="0.2">
      <c r="A4" s="160">
        <v>1</v>
      </c>
      <c r="B4" s="160">
        <v>1</v>
      </c>
      <c r="C4" s="468" t="s">
        <v>12</v>
      </c>
      <c r="D4" s="469"/>
      <c r="E4" s="470"/>
      <c r="F4" s="470"/>
      <c r="G4" s="470"/>
      <c r="H4" s="470"/>
      <c r="I4" s="470"/>
      <c r="J4" s="470"/>
      <c r="K4" s="470"/>
      <c r="L4" s="470"/>
      <c r="M4" s="470"/>
      <c r="N4" s="470"/>
      <c r="O4" s="470"/>
    </row>
    <row r="5" spans="1:15" s="163" customFormat="1" ht="13.5" customHeight="1" x14ac:dyDescent="0.2">
      <c r="A5" s="162">
        <v>1</v>
      </c>
      <c r="B5" s="162">
        <v>12</v>
      </c>
      <c r="C5" s="471" t="s">
        <v>143</v>
      </c>
      <c r="D5" s="472"/>
      <c r="E5" s="473"/>
      <c r="F5" s="473"/>
      <c r="G5" s="474"/>
      <c r="H5" s="474"/>
      <c r="I5" s="474"/>
      <c r="J5" s="474"/>
      <c r="K5" s="474"/>
      <c r="L5" s="474"/>
      <c r="M5" s="474"/>
      <c r="N5" s="474"/>
      <c r="O5" s="474"/>
    </row>
    <row r="6" spans="1:15" s="163" customFormat="1" ht="24.95" customHeight="1" x14ac:dyDescent="0.2">
      <c r="A6" s="162"/>
      <c r="B6" s="162"/>
      <c r="C6" s="475" t="s">
        <v>333</v>
      </c>
      <c r="D6" s="476"/>
      <c r="E6" s="473"/>
      <c r="F6" s="473"/>
      <c r="G6" s="474"/>
      <c r="H6" s="474"/>
      <c r="I6" s="474"/>
      <c r="J6" s="474"/>
      <c r="K6" s="474"/>
      <c r="L6" s="474"/>
      <c r="M6" s="474"/>
      <c r="N6" s="474"/>
      <c r="O6" s="474"/>
    </row>
    <row r="7" spans="1:15" s="163" customFormat="1" ht="17.100000000000001" customHeight="1" x14ac:dyDescent="0.2">
      <c r="A7" s="160"/>
      <c r="B7" s="160"/>
      <c r="C7" s="477" t="s">
        <v>334</v>
      </c>
      <c r="D7" s="478" t="s">
        <v>335</v>
      </c>
      <c r="E7" s="474">
        <f>0+táj.1!E7</f>
        <v>0</v>
      </c>
      <c r="F7" s="474">
        <f>0+táj.1!F7</f>
        <v>0</v>
      </c>
      <c r="G7" s="474">
        <f>0+táj.1!G7</f>
        <v>0</v>
      </c>
      <c r="H7" s="474">
        <f>9906+táj.1!H7</f>
        <v>9906</v>
      </c>
      <c r="I7" s="474">
        <f>0+táj.1!I7</f>
        <v>0</v>
      </c>
      <c r="J7" s="474">
        <f>0+táj.1!J7</f>
        <v>0</v>
      </c>
      <c r="K7" s="474">
        <f>0+táj.1!K7</f>
        <v>0</v>
      </c>
      <c r="L7" s="474">
        <f>0+táj.1!L7</f>
        <v>0</v>
      </c>
      <c r="M7" s="474">
        <f>0+táj.1!M7</f>
        <v>0</v>
      </c>
      <c r="N7" s="474">
        <f>0+táj.1!N7</f>
        <v>0</v>
      </c>
      <c r="O7" s="474">
        <f>SUM(H7:N7)</f>
        <v>9906</v>
      </c>
    </row>
    <row r="8" spans="1:15" s="163" customFormat="1" ht="13.5" customHeight="1" x14ac:dyDescent="0.2">
      <c r="A8" s="164"/>
      <c r="B8" s="164"/>
      <c r="C8" s="479" t="s">
        <v>336</v>
      </c>
      <c r="D8" s="480"/>
      <c r="E8" s="480">
        <f t="shared" ref="E8:K8" si="0">SUM(E5:E7)</f>
        <v>0</v>
      </c>
      <c r="F8" s="480">
        <f t="shared" si="0"/>
        <v>0</v>
      </c>
      <c r="G8" s="480">
        <f t="shared" si="0"/>
        <v>0</v>
      </c>
      <c r="H8" s="480">
        <f t="shared" si="0"/>
        <v>9906</v>
      </c>
      <c r="I8" s="480">
        <f t="shared" si="0"/>
        <v>0</v>
      </c>
      <c r="J8" s="480">
        <f t="shared" si="0"/>
        <v>0</v>
      </c>
      <c r="K8" s="480">
        <f t="shared" si="0"/>
        <v>0</v>
      </c>
      <c r="L8" s="480"/>
      <c r="M8" s="480"/>
      <c r="N8" s="480">
        <f>SUM(N7:N7)</f>
        <v>0</v>
      </c>
      <c r="O8" s="480">
        <f>SUM(O7:O7)</f>
        <v>9906</v>
      </c>
    </row>
    <row r="9" spans="1:15" s="163" customFormat="1" ht="13.5" customHeight="1" x14ac:dyDescent="0.2">
      <c r="A9" s="161">
        <v>1</v>
      </c>
      <c r="B9" s="161">
        <v>13</v>
      </c>
      <c r="C9" s="471" t="s">
        <v>144</v>
      </c>
      <c r="D9" s="478"/>
      <c r="E9" s="481"/>
      <c r="F9" s="482"/>
      <c r="G9" s="482"/>
      <c r="H9" s="482"/>
      <c r="I9" s="482"/>
      <c r="J9" s="482"/>
      <c r="K9" s="482"/>
      <c r="L9" s="482"/>
      <c r="M9" s="482"/>
      <c r="N9" s="482"/>
      <c r="O9" s="482"/>
    </row>
    <row r="10" spans="1:15" s="163" customFormat="1" ht="13.5" customHeight="1" x14ac:dyDescent="0.2">
      <c r="A10" s="161"/>
      <c r="B10" s="161"/>
      <c r="C10" s="475" t="s">
        <v>337</v>
      </c>
      <c r="D10" s="478"/>
      <c r="E10" s="474"/>
      <c r="F10" s="474"/>
      <c r="G10" s="474"/>
      <c r="H10" s="474"/>
      <c r="I10" s="474"/>
      <c r="J10" s="474"/>
      <c r="K10" s="474"/>
      <c r="L10" s="474"/>
      <c r="M10" s="474"/>
      <c r="N10" s="474"/>
      <c r="O10" s="474"/>
    </row>
    <row r="11" spans="1:15" s="163" customFormat="1" ht="24.95" customHeight="1" x14ac:dyDescent="0.2">
      <c r="A11" s="161"/>
      <c r="B11" s="161"/>
      <c r="C11" s="475" t="s">
        <v>338</v>
      </c>
      <c r="D11" s="657">
        <v>131705</v>
      </c>
      <c r="E11" s="474">
        <f>41101+táj.1!E11</f>
        <v>41101</v>
      </c>
      <c r="F11" s="474">
        <f>0+táj.1!F11</f>
        <v>0</v>
      </c>
      <c r="G11" s="474">
        <f>0+táj.1!G11</f>
        <v>0</v>
      </c>
      <c r="H11" s="474">
        <f>0+táj.1!H11</f>
        <v>0</v>
      </c>
      <c r="I11" s="474">
        <f>0+táj.1!I11</f>
        <v>0</v>
      </c>
      <c r="J11" s="474">
        <f>0+táj.1!J11</f>
        <v>0</v>
      </c>
      <c r="K11" s="474">
        <f>0+táj.1!K11</f>
        <v>0</v>
      </c>
      <c r="L11" s="474">
        <f>0+táj.1!L11</f>
        <v>0</v>
      </c>
      <c r="M11" s="474">
        <f>0+táj.1!M11</f>
        <v>0</v>
      </c>
      <c r="N11" s="474">
        <f>0+táj.1!N11</f>
        <v>0</v>
      </c>
      <c r="O11" s="474">
        <f>SUM(E11:N11)</f>
        <v>41101</v>
      </c>
    </row>
    <row r="12" spans="1:15" s="163" customFormat="1" ht="24.95" customHeight="1" x14ac:dyDescent="0.2">
      <c r="A12" s="161"/>
      <c r="B12" s="161"/>
      <c r="C12" s="483" t="s">
        <v>339</v>
      </c>
      <c r="D12" s="478" t="s">
        <v>121</v>
      </c>
      <c r="E12" s="474"/>
      <c r="F12" s="474"/>
      <c r="G12" s="474"/>
      <c r="H12" s="474"/>
      <c r="I12" s="474"/>
      <c r="J12" s="474"/>
      <c r="K12" s="474"/>
      <c r="L12" s="474"/>
      <c r="M12" s="474"/>
      <c r="N12" s="474"/>
      <c r="O12" s="484"/>
    </row>
    <row r="13" spans="1:15" s="163" customFormat="1" ht="24.95" customHeight="1" x14ac:dyDescent="0.2">
      <c r="A13" s="161"/>
      <c r="B13" s="161"/>
      <c r="C13" s="483" t="s">
        <v>340</v>
      </c>
      <c r="D13" s="657">
        <v>131703</v>
      </c>
      <c r="E13" s="474">
        <f>0+táj.1!E13</f>
        <v>0</v>
      </c>
      <c r="F13" s="474">
        <f>0+táj.1!F13</f>
        <v>0</v>
      </c>
      <c r="G13" s="474">
        <f>0+táj.1!G13</f>
        <v>0</v>
      </c>
      <c r="H13" s="474">
        <f>5715+táj.1!H13</f>
        <v>5715</v>
      </c>
      <c r="I13" s="474">
        <f>0+táj.1!I13</f>
        <v>0</v>
      </c>
      <c r="J13" s="474">
        <f>0+táj.1!J13</f>
        <v>0</v>
      </c>
      <c r="K13" s="474">
        <f>0+táj.1!K13</f>
        <v>0</v>
      </c>
      <c r="L13" s="474">
        <f>0+táj.1!L13</f>
        <v>0</v>
      </c>
      <c r="M13" s="474">
        <f>0+táj.1!M13</f>
        <v>0</v>
      </c>
      <c r="N13" s="474">
        <f>0+táj.1!N13</f>
        <v>0</v>
      </c>
      <c r="O13" s="474">
        <f>SUM(E13:N13)</f>
        <v>5715</v>
      </c>
    </row>
    <row r="14" spans="1:15" s="163" customFormat="1" ht="24.95" customHeight="1" x14ac:dyDescent="0.2">
      <c r="A14" s="704"/>
      <c r="B14" s="704"/>
      <c r="C14" s="710" t="s">
        <v>1437</v>
      </c>
      <c r="D14" s="785"/>
      <c r="E14" s="474"/>
      <c r="F14" s="700"/>
      <c r="G14" s="700"/>
      <c r="H14" s="700"/>
      <c r="I14" s="700"/>
      <c r="J14" s="700"/>
      <c r="K14" s="700"/>
      <c r="L14" s="700"/>
      <c r="M14" s="700"/>
      <c r="N14" s="700"/>
      <c r="O14" s="474"/>
    </row>
    <row r="15" spans="1:15" s="163" customFormat="1" ht="24.95" customHeight="1" x14ac:dyDescent="0.2">
      <c r="A15" s="704"/>
      <c r="B15" s="704"/>
      <c r="C15" s="710" t="s">
        <v>1414</v>
      </c>
      <c r="D15" s="786">
        <v>131716</v>
      </c>
      <c r="E15" s="474">
        <f>0+táj.1!E15</f>
        <v>0</v>
      </c>
      <c r="F15" s="474">
        <f>0+táj.1!F15</f>
        <v>0</v>
      </c>
      <c r="G15" s="474">
        <f>0+táj.1!G15</f>
        <v>0</v>
      </c>
      <c r="H15" s="474">
        <f>0+táj.1!H15</f>
        <v>0</v>
      </c>
      <c r="I15" s="474">
        <f>0+táj.1!I15</f>
        <v>0</v>
      </c>
      <c r="J15" s="474">
        <f>15922+táj.1!J15</f>
        <v>15922</v>
      </c>
      <c r="K15" s="474">
        <f>0+táj.1!K15</f>
        <v>0</v>
      </c>
      <c r="L15" s="474">
        <f>0+táj.1!L15</f>
        <v>0</v>
      </c>
      <c r="M15" s="474">
        <f>0+táj.1!M15</f>
        <v>0</v>
      </c>
      <c r="N15" s="474">
        <f>0+táj.1!N15</f>
        <v>0</v>
      </c>
      <c r="O15" s="474">
        <f>SUM(E15:N15)</f>
        <v>15922</v>
      </c>
    </row>
    <row r="16" spans="1:15" s="163" customFormat="1" ht="24.95" customHeight="1" x14ac:dyDescent="0.2">
      <c r="A16" s="704"/>
      <c r="B16" s="704"/>
      <c r="C16" s="710" t="s">
        <v>486</v>
      </c>
      <c r="D16" s="785"/>
      <c r="E16" s="474"/>
      <c r="F16" s="700"/>
      <c r="G16" s="700"/>
      <c r="H16" s="700"/>
      <c r="I16" s="700"/>
      <c r="J16" s="700"/>
      <c r="K16" s="700"/>
      <c r="L16" s="700"/>
      <c r="M16" s="700"/>
      <c r="N16" s="700"/>
      <c r="O16" s="474"/>
    </row>
    <row r="17" spans="1:15" s="163" customFormat="1" ht="24.95" customHeight="1" x14ac:dyDescent="0.2">
      <c r="A17" s="704"/>
      <c r="B17" s="704"/>
      <c r="C17" s="784" t="s">
        <v>1438</v>
      </c>
      <c r="D17" s="787">
        <v>131845</v>
      </c>
      <c r="E17" s="474">
        <f>0+táj.1!E17</f>
        <v>0</v>
      </c>
      <c r="F17" s="474">
        <f>0+táj.1!F17</f>
        <v>0</v>
      </c>
      <c r="G17" s="474">
        <f>0+táj.1!G17</f>
        <v>0</v>
      </c>
      <c r="H17" s="474">
        <f>0+táj.1!H17</f>
        <v>0</v>
      </c>
      <c r="I17" s="474">
        <f>0+táj.1!I17</f>
        <v>0</v>
      </c>
      <c r="J17" s="474">
        <f>2000+táj.1!J17</f>
        <v>2000</v>
      </c>
      <c r="K17" s="474">
        <f>0+táj.1!K17</f>
        <v>0</v>
      </c>
      <c r="L17" s="474">
        <f>0+táj.1!L17</f>
        <v>0</v>
      </c>
      <c r="M17" s="474">
        <f>0+táj.1!M17</f>
        <v>0</v>
      </c>
      <c r="N17" s="474">
        <f>0+táj.1!N17</f>
        <v>0</v>
      </c>
      <c r="O17" s="474">
        <f>SUM(E17:N17)</f>
        <v>2000</v>
      </c>
    </row>
    <row r="18" spans="1:15" s="163" customFormat="1" ht="24.95" customHeight="1" x14ac:dyDescent="0.2">
      <c r="A18" s="828"/>
      <c r="B18" s="828"/>
      <c r="C18" s="832" t="s">
        <v>570</v>
      </c>
      <c r="D18" s="829"/>
      <c r="E18" s="474"/>
      <c r="F18" s="830"/>
      <c r="G18" s="830"/>
      <c r="H18" s="830"/>
      <c r="I18" s="830"/>
      <c r="J18" s="830"/>
      <c r="K18" s="830"/>
      <c r="L18" s="830"/>
      <c r="M18" s="830"/>
      <c r="N18" s="830"/>
      <c r="O18" s="474"/>
    </row>
    <row r="19" spans="1:15" s="163" customFormat="1" ht="16.5" customHeight="1" x14ac:dyDescent="0.2">
      <c r="A19" s="828"/>
      <c r="B19" s="828"/>
      <c r="C19" s="831" t="s">
        <v>571</v>
      </c>
      <c r="D19" s="829">
        <v>131803</v>
      </c>
      <c r="E19" s="474">
        <f>0+táj.1!E19</f>
        <v>0</v>
      </c>
      <c r="F19" s="474">
        <f>0+táj.1!F19</f>
        <v>0</v>
      </c>
      <c r="G19" s="474">
        <f>0+táj.1!G19</f>
        <v>0</v>
      </c>
      <c r="H19" s="474">
        <f>0+táj.1!H19</f>
        <v>0</v>
      </c>
      <c r="I19" s="474">
        <f>0+táj.1!I19</f>
        <v>0</v>
      </c>
      <c r="J19" s="474">
        <f>0+táj.1!J19</f>
        <v>356</v>
      </c>
      <c r="K19" s="474">
        <f>0+táj.1!K19</f>
        <v>0</v>
      </c>
      <c r="L19" s="474">
        <f>0+táj.1!L19</f>
        <v>0</v>
      </c>
      <c r="M19" s="474">
        <f>0+táj.1!M19</f>
        <v>0</v>
      </c>
      <c r="N19" s="474">
        <f>0+táj.1!N19</f>
        <v>0</v>
      </c>
      <c r="O19" s="474">
        <f t="shared" ref="O19" si="1">SUM(E19:N19)</f>
        <v>356</v>
      </c>
    </row>
    <row r="20" spans="1:15" s="163" customFormat="1" ht="13.5" customHeight="1" x14ac:dyDescent="0.2">
      <c r="A20" s="164"/>
      <c r="B20" s="164"/>
      <c r="C20" s="479" t="s">
        <v>341</v>
      </c>
      <c r="D20" s="485"/>
      <c r="E20" s="480">
        <f>SUM(E11:E19)</f>
        <v>41101</v>
      </c>
      <c r="F20" s="480">
        <f t="shared" ref="F20:O20" si="2">SUM(F11:F19)</f>
        <v>0</v>
      </c>
      <c r="G20" s="480">
        <f t="shared" si="2"/>
        <v>0</v>
      </c>
      <c r="H20" s="480">
        <f t="shared" si="2"/>
        <v>5715</v>
      </c>
      <c r="I20" s="480">
        <f t="shared" si="2"/>
        <v>0</v>
      </c>
      <c r="J20" s="480">
        <f t="shared" si="2"/>
        <v>18278</v>
      </c>
      <c r="K20" s="480">
        <f t="shared" si="2"/>
        <v>0</v>
      </c>
      <c r="L20" s="480">
        <f t="shared" si="2"/>
        <v>0</v>
      </c>
      <c r="M20" s="480">
        <f t="shared" si="2"/>
        <v>0</v>
      </c>
      <c r="N20" s="480">
        <f t="shared" si="2"/>
        <v>0</v>
      </c>
      <c r="O20" s="480">
        <f t="shared" si="2"/>
        <v>65094</v>
      </c>
    </row>
    <row r="21" spans="1:15" s="163" customFormat="1" ht="13.5" customHeight="1" x14ac:dyDescent="0.2">
      <c r="A21" s="166">
        <v>1</v>
      </c>
      <c r="B21" s="166">
        <v>14</v>
      </c>
      <c r="C21" s="486" t="s">
        <v>238</v>
      </c>
      <c r="D21" s="487"/>
      <c r="E21" s="482"/>
      <c r="F21" s="482"/>
      <c r="G21" s="482"/>
      <c r="H21" s="482"/>
      <c r="I21" s="482"/>
      <c r="J21" s="482"/>
      <c r="K21" s="482"/>
      <c r="L21" s="482"/>
      <c r="M21" s="482"/>
      <c r="N21" s="482"/>
      <c r="O21" s="482"/>
    </row>
    <row r="22" spans="1:15" s="163" customFormat="1" ht="26.25" customHeight="1" x14ac:dyDescent="0.2">
      <c r="A22" s="161"/>
      <c r="B22" s="161"/>
      <c r="C22" s="488" t="s">
        <v>342</v>
      </c>
      <c r="D22" s="489"/>
      <c r="E22" s="482"/>
      <c r="F22" s="482"/>
      <c r="G22" s="482"/>
      <c r="H22" s="482"/>
      <c r="I22" s="482"/>
      <c r="J22" s="482"/>
      <c r="K22" s="482"/>
      <c r="L22" s="482"/>
      <c r="M22" s="482"/>
      <c r="N22" s="482"/>
      <c r="O22" s="482"/>
    </row>
    <row r="23" spans="1:15" s="163" customFormat="1" ht="27" customHeight="1" x14ac:dyDescent="0.2">
      <c r="A23" s="161"/>
      <c r="B23" s="161"/>
      <c r="C23" s="490" t="s">
        <v>343</v>
      </c>
      <c r="D23" s="491">
        <v>171967</v>
      </c>
      <c r="E23" s="666">
        <f>0+táj.1!E23</f>
        <v>0</v>
      </c>
      <c r="F23" s="666">
        <f>0+táj.1!F23</f>
        <v>0</v>
      </c>
      <c r="G23" s="666">
        <f>0+táj.1!G23</f>
        <v>0</v>
      </c>
      <c r="H23" s="666">
        <f>5080+táj.1!H23</f>
        <v>5080</v>
      </c>
      <c r="I23" s="666">
        <f>0+táj.1!I23</f>
        <v>0</v>
      </c>
      <c r="J23" s="666">
        <f>0+táj.1!J23</f>
        <v>0</v>
      </c>
      <c r="K23" s="666">
        <f>0+táj.1!K23</f>
        <v>0</v>
      </c>
      <c r="L23" s="666">
        <f>0+táj.1!L23</f>
        <v>0</v>
      </c>
      <c r="M23" s="666">
        <f>0+táj.1!M23</f>
        <v>0</v>
      </c>
      <c r="N23" s="666">
        <f>0+táj.1!N23</f>
        <v>0</v>
      </c>
      <c r="O23" s="474">
        <f>SUM(E23:N23)</f>
        <v>5080</v>
      </c>
    </row>
    <row r="24" spans="1:15" s="163" customFormat="1" ht="13.5" customHeight="1" x14ac:dyDescent="0.2">
      <c r="A24" s="164"/>
      <c r="B24" s="164"/>
      <c r="C24" s="479" t="s">
        <v>344</v>
      </c>
      <c r="D24" s="485"/>
      <c r="E24" s="480"/>
      <c r="F24" s="480"/>
      <c r="G24" s="480"/>
      <c r="H24" s="480">
        <f>SUM(H23:H23)</f>
        <v>5080</v>
      </c>
      <c r="I24" s="480"/>
      <c r="J24" s="480"/>
      <c r="K24" s="480"/>
      <c r="L24" s="480"/>
      <c r="M24" s="480"/>
      <c r="N24" s="480"/>
      <c r="O24" s="480">
        <f>SUM(O23:O23)</f>
        <v>5080</v>
      </c>
    </row>
    <row r="25" spans="1:15" s="158" customFormat="1" ht="13.5" customHeight="1" x14ac:dyDescent="0.2">
      <c r="A25" s="160">
        <v>1</v>
      </c>
      <c r="B25" s="160">
        <v>15</v>
      </c>
      <c r="C25" s="468" t="s">
        <v>179</v>
      </c>
      <c r="D25" s="492"/>
      <c r="E25" s="474"/>
      <c r="F25" s="474"/>
      <c r="G25" s="474"/>
      <c r="H25" s="474"/>
      <c r="I25" s="474"/>
      <c r="J25" s="474"/>
      <c r="K25" s="474"/>
      <c r="L25" s="474"/>
      <c r="M25" s="474"/>
      <c r="N25" s="474"/>
      <c r="O25" s="474"/>
    </row>
    <row r="26" spans="1:15" s="158" customFormat="1" ht="24.95" customHeight="1" x14ac:dyDescent="0.2">
      <c r="A26" s="160"/>
      <c r="B26" s="160"/>
      <c r="C26" s="493" t="s">
        <v>345</v>
      </c>
      <c r="D26" s="494"/>
      <c r="E26" s="481"/>
      <c r="F26" s="474"/>
      <c r="G26" s="474"/>
      <c r="H26" s="474"/>
      <c r="I26" s="474"/>
      <c r="J26" s="474"/>
      <c r="K26" s="474"/>
      <c r="L26" s="474"/>
      <c r="M26" s="474"/>
      <c r="N26" s="474"/>
      <c r="O26" s="474"/>
    </row>
    <row r="27" spans="1:15" s="671" customFormat="1" ht="24.95" customHeight="1" x14ac:dyDescent="0.2">
      <c r="A27" s="667"/>
      <c r="B27" s="667"/>
      <c r="C27" s="668" t="s">
        <v>346</v>
      </c>
      <c r="D27" s="669">
        <v>151906</v>
      </c>
      <c r="E27" s="670">
        <f>0+táj.1!E27</f>
        <v>0</v>
      </c>
      <c r="F27" s="670">
        <f>0+táj.1!F27</f>
        <v>0</v>
      </c>
      <c r="G27" s="670">
        <f>0+táj.1!G27</f>
        <v>0</v>
      </c>
      <c r="H27" s="670">
        <f>36251+táj.1!H27</f>
        <v>36251</v>
      </c>
      <c r="I27" s="670">
        <f>0+táj.1!I27</f>
        <v>0</v>
      </c>
      <c r="J27" s="670">
        <f>0+táj.1!J27</f>
        <v>0</v>
      </c>
      <c r="K27" s="670">
        <f>0+táj.1!K27</f>
        <v>0</v>
      </c>
      <c r="L27" s="670">
        <f>0+táj.1!L27</f>
        <v>0</v>
      </c>
      <c r="M27" s="670">
        <f>0+táj.1!M27</f>
        <v>0</v>
      </c>
      <c r="N27" s="670">
        <f>0+táj.1!N27</f>
        <v>0</v>
      </c>
      <c r="O27" s="670">
        <f>SUM(E27:N27)</f>
        <v>36251</v>
      </c>
    </row>
    <row r="28" spans="1:15" s="158" customFormat="1" ht="15" customHeight="1" x14ac:dyDescent="0.2">
      <c r="A28" s="160"/>
      <c r="B28" s="160"/>
      <c r="C28" s="477" t="s">
        <v>347</v>
      </c>
      <c r="D28" s="495" t="s">
        <v>348</v>
      </c>
      <c r="E28" s="670">
        <f>0+táj.1!E28</f>
        <v>0</v>
      </c>
      <c r="F28" s="670">
        <f>0+táj.1!F28</f>
        <v>0</v>
      </c>
      <c r="G28" s="670">
        <f>0+táj.1!G28</f>
        <v>0</v>
      </c>
      <c r="H28" s="670">
        <f>175260+táj.1!H28</f>
        <v>165100</v>
      </c>
      <c r="I28" s="670">
        <f>0+táj.1!I28</f>
        <v>0</v>
      </c>
      <c r="J28" s="670">
        <f>0+táj.1!J28</f>
        <v>0</v>
      </c>
      <c r="K28" s="670">
        <f>0+táj.1!K28</f>
        <v>0</v>
      </c>
      <c r="L28" s="670">
        <f>0+táj.1!L28</f>
        <v>0</v>
      </c>
      <c r="M28" s="670">
        <f>0+táj.1!M28</f>
        <v>0</v>
      </c>
      <c r="N28" s="670">
        <f>0+táj.1!N28</f>
        <v>0</v>
      </c>
      <c r="O28" s="474">
        <f>SUM(E28:N28)</f>
        <v>165100</v>
      </c>
    </row>
    <row r="29" spans="1:15" s="158" customFormat="1" ht="15" customHeight="1" x14ac:dyDescent="0.2">
      <c r="A29" s="160"/>
      <c r="B29" s="160"/>
      <c r="C29" s="477" t="s">
        <v>349</v>
      </c>
      <c r="D29" s="495" t="s">
        <v>350</v>
      </c>
      <c r="E29" s="670">
        <f>0+táj.1!E29</f>
        <v>0</v>
      </c>
      <c r="F29" s="670">
        <f>0+táj.1!F29</f>
        <v>0</v>
      </c>
      <c r="G29" s="670">
        <f>0+táj.1!G29</f>
        <v>0</v>
      </c>
      <c r="H29" s="670">
        <f>2667+táj.1!H29</f>
        <v>2667</v>
      </c>
      <c r="I29" s="670">
        <f>0+táj.1!I29</f>
        <v>0</v>
      </c>
      <c r="J29" s="670">
        <f>0+táj.1!J29</f>
        <v>0</v>
      </c>
      <c r="K29" s="670">
        <f>0+táj.1!K29</f>
        <v>0</v>
      </c>
      <c r="L29" s="670">
        <f>0+táj.1!L29</f>
        <v>0</v>
      </c>
      <c r="M29" s="670">
        <f>0+táj.1!M29</f>
        <v>0</v>
      </c>
      <c r="N29" s="670">
        <f>0+táj.1!N29</f>
        <v>0</v>
      </c>
      <c r="O29" s="474">
        <f>SUM(E29:N29)</f>
        <v>2667</v>
      </c>
    </row>
    <row r="30" spans="1:15" s="158" customFormat="1" ht="15" customHeight="1" x14ac:dyDescent="0.2">
      <c r="A30" s="160"/>
      <c r="B30" s="160"/>
      <c r="C30" s="496" t="s">
        <v>351</v>
      </c>
      <c r="D30" s="497"/>
      <c r="E30" s="670"/>
      <c r="F30" s="670"/>
      <c r="G30" s="670"/>
      <c r="H30" s="670"/>
      <c r="I30" s="670"/>
      <c r="J30" s="670"/>
      <c r="K30" s="670"/>
      <c r="L30" s="670"/>
      <c r="M30" s="670"/>
      <c r="N30" s="670"/>
      <c r="O30" s="474"/>
    </row>
    <row r="31" spans="1:15" s="158" customFormat="1" ht="15" customHeight="1" x14ac:dyDescent="0.2">
      <c r="A31" s="160"/>
      <c r="B31" s="160"/>
      <c r="C31" s="477" t="s">
        <v>352</v>
      </c>
      <c r="D31" s="495" t="s">
        <v>353</v>
      </c>
      <c r="E31" s="670">
        <f>0+táj.1!E31</f>
        <v>0</v>
      </c>
      <c r="F31" s="670">
        <f>0+táj.1!F31</f>
        <v>0</v>
      </c>
      <c r="G31" s="670">
        <f>0+táj.1!G31</f>
        <v>0</v>
      </c>
      <c r="H31" s="670">
        <f>16802+táj.1!H31</f>
        <v>19643</v>
      </c>
      <c r="I31" s="670">
        <f>0+táj.1!I31</f>
        <v>0</v>
      </c>
      <c r="J31" s="670">
        <f>0+táj.1!J31</f>
        <v>0</v>
      </c>
      <c r="K31" s="670">
        <f>0+táj.1!K31</f>
        <v>0</v>
      </c>
      <c r="L31" s="670">
        <f>0+táj.1!L31</f>
        <v>0</v>
      </c>
      <c r="M31" s="670">
        <f>0+táj.1!M31</f>
        <v>0</v>
      </c>
      <c r="N31" s="670">
        <f>0+táj.1!N31</f>
        <v>0</v>
      </c>
      <c r="O31" s="474">
        <f>SUM(E31:N31)</f>
        <v>19643</v>
      </c>
    </row>
    <row r="32" spans="1:15" s="158" customFormat="1" ht="15" customHeight="1" x14ac:dyDescent="0.2">
      <c r="A32" s="160"/>
      <c r="B32" s="160"/>
      <c r="C32" s="498" t="s">
        <v>354</v>
      </c>
      <c r="D32" s="495" t="s">
        <v>355</v>
      </c>
      <c r="E32" s="670">
        <f>0+táj.1!E32</f>
        <v>0</v>
      </c>
      <c r="F32" s="670">
        <f>0+táj.1!F32</f>
        <v>0</v>
      </c>
      <c r="G32" s="670">
        <f>0+táj.1!G32</f>
        <v>0</v>
      </c>
      <c r="H32" s="670">
        <f>2540+táj.1!H32</f>
        <v>2540</v>
      </c>
      <c r="I32" s="670">
        <f>0+táj.1!I32</f>
        <v>0</v>
      </c>
      <c r="J32" s="670">
        <f>0+táj.1!J32</f>
        <v>0</v>
      </c>
      <c r="K32" s="670">
        <f>0+táj.1!K32</f>
        <v>0</v>
      </c>
      <c r="L32" s="670">
        <f>0+táj.1!L32</f>
        <v>0</v>
      </c>
      <c r="M32" s="670">
        <f>0+táj.1!M32</f>
        <v>0</v>
      </c>
      <c r="N32" s="670">
        <f>0+táj.1!N32</f>
        <v>0</v>
      </c>
      <c r="O32" s="474">
        <f>SUM(E32:N32)</f>
        <v>2540</v>
      </c>
    </row>
    <row r="33" spans="1:15" s="158" customFormat="1" ht="26.25" customHeight="1" x14ac:dyDescent="0.2">
      <c r="A33" s="833"/>
      <c r="B33" s="833"/>
      <c r="C33" s="835" t="s">
        <v>705</v>
      </c>
      <c r="D33" s="836" t="s">
        <v>1463</v>
      </c>
      <c r="E33" s="670">
        <f>0+táj.1!E33</f>
        <v>0</v>
      </c>
      <c r="F33" s="670">
        <f>0+táj.1!F33</f>
        <v>0</v>
      </c>
      <c r="G33" s="670">
        <f>0+táj.1!G33</f>
        <v>0</v>
      </c>
      <c r="H33" s="670">
        <f>0+táj.1!H33</f>
        <v>21336</v>
      </c>
      <c r="I33" s="670">
        <f>0+táj.1!I33</f>
        <v>0</v>
      </c>
      <c r="J33" s="670">
        <f>0+táj.1!J33</f>
        <v>0</v>
      </c>
      <c r="K33" s="670">
        <f>0+táj.1!K33</f>
        <v>0</v>
      </c>
      <c r="L33" s="670">
        <f>0+táj.1!L33</f>
        <v>0</v>
      </c>
      <c r="M33" s="670">
        <f>0+táj.1!M33</f>
        <v>0</v>
      </c>
      <c r="N33" s="670">
        <f>0+táj.1!N33</f>
        <v>0</v>
      </c>
      <c r="O33" s="474">
        <f>SUM(E33:N33)</f>
        <v>21336</v>
      </c>
    </row>
    <row r="34" spans="1:15" s="158" customFormat="1" ht="24.95" customHeight="1" x14ac:dyDescent="0.2">
      <c r="A34" s="160"/>
      <c r="B34" s="160"/>
      <c r="C34" s="493" t="s">
        <v>356</v>
      </c>
      <c r="D34" s="499"/>
      <c r="E34" s="670"/>
      <c r="F34" s="670"/>
      <c r="G34" s="670"/>
      <c r="H34" s="670"/>
      <c r="I34" s="670"/>
      <c r="J34" s="670"/>
      <c r="K34" s="670"/>
      <c r="L34" s="670"/>
      <c r="M34" s="670"/>
      <c r="N34" s="670"/>
      <c r="O34" s="474"/>
    </row>
    <row r="35" spans="1:15" s="158" customFormat="1" ht="27" customHeight="1" x14ac:dyDescent="0.2">
      <c r="A35" s="160"/>
      <c r="B35" s="160"/>
      <c r="C35" s="490" t="s">
        <v>357</v>
      </c>
      <c r="D35" s="501">
        <v>151701</v>
      </c>
      <c r="E35" s="670">
        <f>0+táj.1!E35</f>
        <v>0</v>
      </c>
      <c r="F35" s="670">
        <f>0+táj.1!F35</f>
        <v>0</v>
      </c>
      <c r="G35" s="670">
        <f>0+táj.1!G35</f>
        <v>0</v>
      </c>
      <c r="H35" s="670">
        <f>4318+táj.1!H35</f>
        <v>4318</v>
      </c>
      <c r="I35" s="670">
        <f>0+táj.1!I35</f>
        <v>0</v>
      </c>
      <c r="J35" s="670">
        <f>0+táj.1!J35</f>
        <v>0</v>
      </c>
      <c r="K35" s="670">
        <f>0+táj.1!K35</f>
        <v>0</v>
      </c>
      <c r="L35" s="670">
        <f>0+táj.1!L35</f>
        <v>0</v>
      </c>
      <c r="M35" s="670">
        <f>0+táj.1!M35</f>
        <v>0</v>
      </c>
      <c r="N35" s="670">
        <f>0+táj.1!N35</f>
        <v>0</v>
      </c>
      <c r="O35" s="474">
        <f>SUM(E35:N35)</f>
        <v>4318</v>
      </c>
    </row>
    <row r="36" spans="1:15" s="158" customFormat="1" ht="27" customHeight="1" x14ac:dyDescent="0.2">
      <c r="A36" s="160"/>
      <c r="B36" s="160"/>
      <c r="C36" s="500" t="s">
        <v>358</v>
      </c>
      <c r="D36" s="501" t="s">
        <v>359</v>
      </c>
      <c r="E36" s="670">
        <f>0+táj.1!E36</f>
        <v>0</v>
      </c>
      <c r="F36" s="670">
        <f>2499+táj.1!F36</f>
        <v>2499</v>
      </c>
      <c r="G36" s="670">
        <f>0+táj.1!G36</f>
        <v>0</v>
      </c>
      <c r="H36" s="670">
        <f>0+táj.1!H36</f>
        <v>0</v>
      </c>
      <c r="I36" s="670">
        <f>0+táj.1!I36</f>
        <v>0</v>
      </c>
      <c r="J36" s="670">
        <f>0+táj.1!J36</f>
        <v>0</v>
      </c>
      <c r="K36" s="670">
        <f>0+táj.1!K36</f>
        <v>0</v>
      </c>
      <c r="L36" s="670">
        <f>0+táj.1!L36</f>
        <v>0</v>
      </c>
      <c r="M36" s="670">
        <f>0+táj.1!M36</f>
        <v>0</v>
      </c>
      <c r="N36" s="670">
        <f>0+táj.1!N36</f>
        <v>0</v>
      </c>
      <c r="O36" s="474">
        <f>SUM(E36:N36)</f>
        <v>2499</v>
      </c>
    </row>
    <row r="37" spans="1:15" s="158" customFormat="1" ht="27" customHeight="1" x14ac:dyDescent="0.2">
      <c r="A37" s="901"/>
      <c r="B37" s="901"/>
      <c r="C37" s="903" t="s">
        <v>1488</v>
      </c>
      <c r="D37" s="606">
        <v>152572</v>
      </c>
      <c r="E37" s="670">
        <f>0+táj.1!E37</f>
        <v>0</v>
      </c>
      <c r="F37" s="670">
        <f>0+táj.1!F37</f>
        <v>7000</v>
      </c>
      <c r="G37" s="670">
        <f>0+táj.1!G37</f>
        <v>0</v>
      </c>
      <c r="H37" s="670">
        <f>0+táj.1!H37</f>
        <v>0</v>
      </c>
      <c r="I37" s="670">
        <f>0+táj.1!I37</f>
        <v>0</v>
      </c>
      <c r="J37" s="670">
        <f>0+táj.1!J37</f>
        <v>0</v>
      </c>
      <c r="K37" s="670">
        <f>0+táj.1!K37</f>
        <v>0</v>
      </c>
      <c r="L37" s="670">
        <f>0+táj.1!L37</f>
        <v>0</v>
      </c>
      <c r="M37" s="670">
        <f>0+táj.1!M37</f>
        <v>0</v>
      </c>
      <c r="N37" s="670">
        <f>0+táj.1!N37</f>
        <v>0</v>
      </c>
      <c r="O37" s="474">
        <f>SUM(E37:N37)</f>
        <v>7000</v>
      </c>
    </row>
    <row r="38" spans="1:15" s="158" customFormat="1" ht="21" customHeight="1" x14ac:dyDescent="0.2">
      <c r="A38" s="833"/>
      <c r="B38" s="833"/>
      <c r="C38" s="912" t="s">
        <v>1493</v>
      </c>
      <c r="D38" s="913" t="s">
        <v>1494</v>
      </c>
      <c r="E38" s="670">
        <f>0+táj.1!E38</f>
        <v>0</v>
      </c>
      <c r="F38" s="670">
        <f>0+táj.1!F38</f>
        <v>0</v>
      </c>
      <c r="G38" s="670">
        <f>0+táj.1!G38</f>
        <v>0</v>
      </c>
      <c r="H38" s="670">
        <f>0+táj.1!H38</f>
        <v>8255</v>
      </c>
      <c r="I38" s="670">
        <f>0+táj.1!I38</f>
        <v>0</v>
      </c>
      <c r="J38" s="670">
        <f>0+táj.1!J38</f>
        <v>0</v>
      </c>
      <c r="K38" s="670">
        <f>0+táj.1!K38</f>
        <v>0</v>
      </c>
      <c r="L38" s="670">
        <f>0+táj.1!L38</f>
        <v>0</v>
      </c>
      <c r="M38" s="670">
        <f>0+táj.1!M38</f>
        <v>0</v>
      </c>
      <c r="N38" s="670">
        <f>0+táj.1!N38</f>
        <v>0</v>
      </c>
      <c r="O38" s="474">
        <f>SUM(E38:N38)</f>
        <v>8255</v>
      </c>
    </row>
    <row r="39" spans="1:15" s="158" customFormat="1" ht="26.25" customHeight="1" x14ac:dyDescent="0.2">
      <c r="A39" s="160"/>
      <c r="B39" s="160"/>
      <c r="C39" s="490" t="s">
        <v>360</v>
      </c>
      <c r="D39" s="501"/>
      <c r="E39" s="670"/>
      <c r="F39" s="670"/>
      <c r="G39" s="670"/>
      <c r="H39" s="670"/>
      <c r="I39" s="670"/>
      <c r="J39" s="670"/>
      <c r="K39" s="670"/>
      <c r="L39" s="670"/>
      <c r="M39" s="670"/>
      <c r="N39" s="670"/>
      <c r="O39" s="474"/>
    </row>
    <row r="40" spans="1:15" s="158" customFormat="1" ht="24.95" customHeight="1" x14ac:dyDescent="0.2">
      <c r="A40" s="160"/>
      <c r="B40" s="160"/>
      <c r="C40" s="475" t="s">
        <v>361</v>
      </c>
      <c r="D40" s="499" t="s">
        <v>362</v>
      </c>
      <c r="E40" s="670">
        <f>0+táj.1!E40</f>
        <v>0</v>
      </c>
      <c r="F40" s="670">
        <f>0+táj.1!F40</f>
        <v>0</v>
      </c>
      <c r="G40" s="670">
        <f>0+táj.1!G40</f>
        <v>0</v>
      </c>
      <c r="H40" s="670">
        <f>312022+táj.1!H40</f>
        <v>312022</v>
      </c>
      <c r="I40" s="670">
        <f>0+táj.1!I40</f>
        <v>0</v>
      </c>
      <c r="J40" s="670">
        <f>0+táj.1!J40</f>
        <v>0</v>
      </c>
      <c r="K40" s="474"/>
      <c r="L40" s="670">
        <f>0+táj.1!L40</f>
        <v>0</v>
      </c>
      <c r="M40" s="670">
        <f>0+táj.1!M40</f>
        <v>0</v>
      </c>
      <c r="N40" s="670">
        <f>0+táj.1!N40</f>
        <v>0</v>
      </c>
      <c r="O40" s="474">
        <f>SUM(E40:N40)</f>
        <v>312022</v>
      </c>
    </row>
    <row r="41" spans="1:15" s="158" customFormat="1" ht="17.25" customHeight="1" x14ac:dyDescent="0.2">
      <c r="A41" s="833"/>
      <c r="B41" s="833"/>
      <c r="C41" s="837" t="s">
        <v>724</v>
      </c>
      <c r="D41" s="838"/>
      <c r="E41" s="670"/>
      <c r="F41" s="834"/>
      <c r="G41" s="834"/>
      <c r="H41" s="834"/>
      <c r="I41" s="834"/>
      <c r="J41" s="834"/>
      <c r="K41" s="830"/>
      <c r="L41" s="834"/>
      <c r="M41" s="834"/>
      <c r="N41" s="834"/>
      <c r="O41" s="474"/>
    </row>
    <row r="42" spans="1:15" s="158" customFormat="1" ht="16.5" customHeight="1" x14ac:dyDescent="0.2">
      <c r="A42" s="833"/>
      <c r="B42" s="833"/>
      <c r="C42" s="837" t="s">
        <v>726</v>
      </c>
      <c r="D42" s="838" t="s">
        <v>1464</v>
      </c>
      <c r="E42" s="670">
        <f>0+táj.1!E42</f>
        <v>0</v>
      </c>
      <c r="F42" s="670">
        <f>0+táj.1!F42</f>
        <v>0</v>
      </c>
      <c r="G42" s="670">
        <f>0+táj.1!G42</f>
        <v>0</v>
      </c>
      <c r="H42" s="670">
        <f>0+táj.1!H42</f>
        <v>83</v>
      </c>
      <c r="I42" s="670">
        <f>0+táj.1!I42</f>
        <v>0</v>
      </c>
      <c r="J42" s="670">
        <f>0+táj.1!J42</f>
        <v>0</v>
      </c>
      <c r="K42" s="670">
        <f>0+táj.1!K42</f>
        <v>0</v>
      </c>
      <c r="L42" s="670">
        <f>0+táj.1!L42</f>
        <v>0</v>
      </c>
      <c r="M42" s="670">
        <f>0+táj.1!M42</f>
        <v>0</v>
      </c>
      <c r="N42" s="670">
        <f>0+táj.1!N50</f>
        <v>0</v>
      </c>
      <c r="O42" s="474">
        <f t="shared" ref="O42:O48" si="3">SUM(E42:N42)</f>
        <v>83</v>
      </c>
    </row>
    <row r="43" spans="1:15" s="158" customFormat="1" ht="16.5" customHeight="1" x14ac:dyDescent="0.2">
      <c r="A43" s="833"/>
      <c r="B43" s="833"/>
      <c r="C43" s="839" t="s">
        <v>1465</v>
      </c>
      <c r="D43" s="838" t="s">
        <v>1466</v>
      </c>
      <c r="E43" s="670">
        <f>0+táj.1!E43</f>
        <v>0</v>
      </c>
      <c r="F43" s="670">
        <f>0+táj.1!F43</f>
        <v>0</v>
      </c>
      <c r="G43" s="670">
        <f>0+táj.1!G43</f>
        <v>0</v>
      </c>
      <c r="H43" s="670">
        <f>0+táj.1!H43</f>
        <v>0</v>
      </c>
      <c r="I43" s="670">
        <f>0+táj.1!I43</f>
        <v>0</v>
      </c>
      <c r="J43" s="670">
        <f>0+táj.1!J43</f>
        <v>0</v>
      </c>
      <c r="K43" s="670">
        <f>0+táj.1!K43</f>
        <v>500</v>
      </c>
      <c r="L43" s="670">
        <f>0+táj.1!L43</f>
        <v>0</v>
      </c>
      <c r="M43" s="670">
        <f>0+táj.1!M43</f>
        <v>0</v>
      </c>
      <c r="N43" s="670">
        <f>0+táj.1!N43</f>
        <v>0</v>
      </c>
      <c r="O43" s="474">
        <f t="shared" si="3"/>
        <v>500</v>
      </c>
    </row>
    <row r="44" spans="1:15" s="158" customFormat="1" ht="24.95" customHeight="1" x14ac:dyDescent="0.2">
      <c r="A44" s="833"/>
      <c r="B44" s="833"/>
      <c r="C44" s="840" t="s">
        <v>1049</v>
      </c>
      <c r="D44" s="838" t="s">
        <v>1467</v>
      </c>
      <c r="E44" s="670">
        <f>0+táj.1!E44</f>
        <v>0</v>
      </c>
      <c r="F44" s="670">
        <f>0+táj.1!F44</f>
        <v>0</v>
      </c>
      <c r="G44" s="670">
        <f>0+táj.1!G44</f>
        <v>0</v>
      </c>
      <c r="H44" s="670">
        <f>0+táj.1!H44</f>
        <v>3302</v>
      </c>
      <c r="I44" s="670">
        <f>0+táj.1!I44</f>
        <v>0</v>
      </c>
      <c r="J44" s="670">
        <f>0+táj.1!J44</f>
        <v>0</v>
      </c>
      <c r="K44" s="670">
        <f>0+táj.1!K44</f>
        <v>0</v>
      </c>
      <c r="L44" s="670">
        <f>0+táj.1!L44</f>
        <v>0</v>
      </c>
      <c r="M44" s="670">
        <f>0+táj.1!M44</f>
        <v>0</v>
      </c>
      <c r="N44" s="670">
        <f>0+táj.1!N44</f>
        <v>0</v>
      </c>
      <c r="O44" s="474">
        <f t="shared" si="3"/>
        <v>3302</v>
      </c>
    </row>
    <row r="45" spans="1:15" s="158" customFormat="1" ht="16.5" customHeight="1" x14ac:dyDescent="0.2">
      <c r="A45" s="833"/>
      <c r="B45" s="833"/>
      <c r="C45" s="841" t="s">
        <v>790</v>
      </c>
      <c r="D45" s="838"/>
      <c r="E45" s="670"/>
      <c r="F45" s="834"/>
      <c r="G45" s="834"/>
      <c r="H45" s="834"/>
      <c r="I45" s="834"/>
      <c r="J45" s="834"/>
      <c r="K45" s="830"/>
      <c r="L45" s="834"/>
      <c r="M45" s="834"/>
      <c r="N45" s="834"/>
      <c r="O45" s="474"/>
    </row>
    <row r="46" spans="1:15" s="158" customFormat="1" ht="17.25" customHeight="1" x14ac:dyDescent="0.2">
      <c r="A46" s="833"/>
      <c r="B46" s="833"/>
      <c r="C46" s="841" t="s">
        <v>791</v>
      </c>
      <c r="D46" s="838" t="s">
        <v>1468</v>
      </c>
      <c r="E46" s="670">
        <f>0+táj.1!E46</f>
        <v>0</v>
      </c>
      <c r="F46" s="670">
        <f>0+táj.1!F46</f>
        <v>0</v>
      </c>
      <c r="G46" s="670">
        <f>0+táj.1!G46</f>
        <v>0</v>
      </c>
      <c r="H46" s="670">
        <f>0+táj.1!H46</f>
        <v>265</v>
      </c>
      <c r="I46" s="670">
        <f>0+táj.1!I46</f>
        <v>0</v>
      </c>
      <c r="J46" s="670">
        <f>0+táj.1!J46</f>
        <v>0</v>
      </c>
      <c r="K46" s="670">
        <f>0+táj.1!K46</f>
        <v>0</v>
      </c>
      <c r="L46" s="670">
        <f>0+táj.1!L46</f>
        <v>0</v>
      </c>
      <c r="M46" s="670">
        <f>0+táj.1!M46</f>
        <v>0</v>
      </c>
      <c r="N46" s="670">
        <f>0+táj.1!N46</f>
        <v>0</v>
      </c>
      <c r="O46" s="474">
        <f t="shared" si="3"/>
        <v>265</v>
      </c>
    </row>
    <row r="47" spans="1:15" s="158" customFormat="1" ht="17.25" customHeight="1" x14ac:dyDescent="0.2">
      <c r="A47" s="833"/>
      <c r="B47" s="833"/>
      <c r="C47" s="841" t="s">
        <v>793</v>
      </c>
      <c r="D47" s="838" t="s">
        <v>1469</v>
      </c>
      <c r="E47" s="670">
        <f>0+táj.1!E47</f>
        <v>0</v>
      </c>
      <c r="F47" s="670">
        <f>0+táj.1!F47</f>
        <v>0</v>
      </c>
      <c r="G47" s="670">
        <f>0+táj.1!G47</f>
        <v>0</v>
      </c>
      <c r="H47" s="670">
        <f>0+táj.1!H47</f>
        <v>608</v>
      </c>
      <c r="I47" s="670">
        <f>0+táj.1!I47</f>
        <v>0</v>
      </c>
      <c r="J47" s="670">
        <f>0+táj.1!J47</f>
        <v>0</v>
      </c>
      <c r="K47" s="670">
        <f>0+táj.1!K47</f>
        <v>0</v>
      </c>
      <c r="L47" s="670">
        <f>0+táj.1!L47</f>
        <v>0</v>
      </c>
      <c r="M47" s="670">
        <f>0+táj.1!M47</f>
        <v>0</v>
      </c>
      <c r="N47" s="670">
        <f>0+táj.1!N47</f>
        <v>0</v>
      </c>
      <c r="O47" s="474">
        <f t="shared" si="3"/>
        <v>608</v>
      </c>
    </row>
    <row r="48" spans="1:15" s="158" customFormat="1" ht="16.5" customHeight="1" x14ac:dyDescent="0.2">
      <c r="A48" s="833"/>
      <c r="B48" s="833"/>
      <c r="C48" s="841" t="s">
        <v>796</v>
      </c>
      <c r="D48" s="838" t="s">
        <v>1470</v>
      </c>
      <c r="E48" s="670">
        <f>0+táj.1!E48</f>
        <v>0</v>
      </c>
      <c r="F48" s="670">
        <f>0+táj.1!F48</f>
        <v>0</v>
      </c>
      <c r="G48" s="670">
        <f>0+táj.1!G48</f>
        <v>0</v>
      </c>
      <c r="H48" s="670">
        <f>0+táj.1!H48</f>
        <v>772</v>
      </c>
      <c r="I48" s="670">
        <f>0+táj.1!I48</f>
        <v>0</v>
      </c>
      <c r="J48" s="670">
        <f>0+táj.1!J48</f>
        <v>0</v>
      </c>
      <c r="K48" s="670">
        <f>0+táj.1!K48</f>
        <v>0</v>
      </c>
      <c r="L48" s="670">
        <f>0+táj.1!L48</f>
        <v>0</v>
      </c>
      <c r="M48" s="670">
        <f>0+táj.1!M48</f>
        <v>0</v>
      </c>
      <c r="N48" s="670">
        <f>0+táj.1!N48</f>
        <v>0</v>
      </c>
      <c r="O48" s="474">
        <f t="shared" si="3"/>
        <v>772</v>
      </c>
    </row>
    <row r="49" spans="1:15" s="158" customFormat="1" ht="12.95" customHeight="1" x14ac:dyDescent="0.2">
      <c r="A49" s="164"/>
      <c r="B49" s="164"/>
      <c r="C49" s="503" t="s">
        <v>363</v>
      </c>
      <c r="D49" s="504"/>
      <c r="E49" s="480">
        <f>SUM(E26:E48)</f>
        <v>0</v>
      </c>
      <c r="F49" s="480">
        <f t="shared" ref="F49:O49" si="4">SUM(F26:F48)</f>
        <v>9499</v>
      </c>
      <c r="G49" s="480">
        <f t="shared" si="4"/>
        <v>0</v>
      </c>
      <c r="H49" s="480">
        <f t="shared" si="4"/>
        <v>577162</v>
      </c>
      <c r="I49" s="480">
        <f t="shared" si="4"/>
        <v>0</v>
      </c>
      <c r="J49" s="480">
        <f t="shared" si="4"/>
        <v>0</v>
      </c>
      <c r="K49" s="480">
        <f t="shared" si="4"/>
        <v>500</v>
      </c>
      <c r="L49" s="480">
        <f t="shared" si="4"/>
        <v>0</v>
      </c>
      <c r="M49" s="480">
        <f t="shared" si="4"/>
        <v>0</v>
      </c>
      <c r="N49" s="480">
        <f t="shared" si="4"/>
        <v>0</v>
      </c>
      <c r="O49" s="480">
        <f t="shared" si="4"/>
        <v>587161</v>
      </c>
    </row>
    <row r="50" spans="1:15" s="158" customFormat="1" ht="12.95" customHeight="1" x14ac:dyDescent="0.2">
      <c r="A50" s="160">
        <v>1</v>
      </c>
      <c r="B50" s="160" t="s">
        <v>119</v>
      </c>
      <c r="C50" s="468" t="s">
        <v>164</v>
      </c>
      <c r="D50" s="469"/>
      <c r="E50" s="474"/>
      <c r="F50" s="474"/>
      <c r="G50" s="474"/>
      <c r="H50" s="474"/>
      <c r="I50" s="474"/>
      <c r="J50" s="474"/>
      <c r="K50" s="474"/>
      <c r="L50" s="474"/>
      <c r="M50" s="474"/>
      <c r="N50" s="474"/>
      <c r="O50" s="474"/>
    </row>
    <row r="51" spans="1:15" s="158" customFormat="1" ht="27" customHeight="1" x14ac:dyDescent="0.2">
      <c r="A51" s="160"/>
      <c r="B51" s="160"/>
      <c r="C51" s="490" t="s">
        <v>364</v>
      </c>
      <c r="D51" s="505"/>
      <c r="E51" s="506"/>
      <c r="F51" s="474"/>
      <c r="G51" s="474"/>
      <c r="H51" s="474"/>
      <c r="I51" s="474"/>
      <c r="J51" s="474"/>
      <c r="K51" s="474"/>
      <c r="L51" s="474"/>
      <c r="M51" s="474"/>
      <c r="N51" s="474"/>
      <c r="O51" s="474"/>
    </row>
    <row r="52" spans="1:15" s="158" customFormat="1" ht="26.25" customHeight="1" x14ac:dyDescent="0.2">
      <c r="A52" s="160"/>
      <c r="B52" s="160"/>
      <c r="C52" s="475" t="s">
        <v>1384</v>
      </c>
      <c r="D52" s="507">
        <v>161909</v>
      </c>
      <c r="E52" s="502">
        <f>0+táj.1!E52</f>
        <v>0</v>
      </c>
      <c r="F52" s="502">
        <f>0+táj.1!F52</f>
        <v>0</v>
      </c>
      <c r="G52" s="502">
        <f>0+táj.1!G52</f>
        <v>0</v>
      </c>
      <c r="H52" s="502">
        <f>34882+táj.1!H52</f>
        <v>71595</v>
      </c>
      <c r="I52" s="502">
        <f>0+táj.1!I52</f>
        <v>0</v>
      </c>
      <c r="J52" s="502">
        <f>0+táj.1!J52</f>
        <v>0</v>
      </c>
      <c r="K52" s="502">
        <f>0+táj.1!K52</f>
        <v>0</v>
      </c>
      <c r="L52" s="502">
        <f>0+táj.1!L52</f>
        <v>0</v>
      </c>
      <c r="M52" s="502">
        <f>0+táj.1!M52</f>
        <v>0</v>
      </c>
      <c r="N52" s="502">
        <f>0+táj.1!N52</f>
        <v>0</v>
      </c>
      <c r="O52" s="474">
        <f>SUM(E52:N52)</f>
        <v>71595</v>
      </c>
    </row>
    <row r="53" spans="1:15" s="158" customFormat="1" ht="23.25" customHeight="1" x14ac:dyDescent="0.2">
      <c r="A53" s="160"/>
      <c r="B53" s="160"/>
      <c r="C53" s="475" t="s">
        <v>1357</v>
      </c>
      <c r="D53" s="507">
        <v>164106</v>
      </c>
      <c r="E53" s="502">
        <f>0+táj.1!E53</f>
        <v>0</v>
      </c>
      <c r="F53" s="502">
        <f>0+táj.1!F53</f>
        <v>0</v>
      </c>
      <c r="G53" s="502">
        <f>0+táj.1!G53</f>
        <v>0</v>
      </c>
      <c r="H53" s="502">
        <f>524254+táj.1!H53</f>
        <v>524254</v>
      </c>
      <c r="I53" s="502">
        <f>0+táj.1!I53</f>
        <v>0</v>
      </c>
      <c r="J53" s="502">
        <f>0+táj.1!J53</f>
        <v>0</v>
      </c>
      <c r="K53" s="502">
        <f>0+táj.1!K53</f>
        <v>0</v>
      </c>
      <c r="L53" s="502">
        <f>0+táj.1!L53</f>
        <v>0</v>
      </c>
      <c r="M53" s="502">
        <f>86593+táj.1!M53</f>
        <v>86593</v>
      </c>
      <c r="N53" s="502">
        <f>0+táj.1!N53</f>
        <v>0</v>
      </c>
      <c r="O53" s="474">
        <f>SUM(E53:N53)</f>
        <v>610847</v>
      </c>
    </row>
    <row r="54" spans="1:15" s="158" customFormat="1" ht="24" customHeight="1" x14ac:dyDescent="0.2">
      <c r="A54" s="160"/>
      <c r="B54" s="160"/>
      <c r="C54" s="475" t="s">
        <v>1358</v>
      </c>
      <c r="D54" s="507">
        <v>164204</v>
      </c>
      <c r="E54" s="502">
        <f>0+táj.1!E54</f>
        <v>0</v>
      </c>
      <c r="F54" s="502">
        <f>0+táj.1!F54</f>
        <v>0</v>
      </c>
      <c r="G54" s="502">
        <f>0+táj.1!G54</f>
        <v>0</v>
      </c>
      <c r="H54" s="502">
        <f>207602+táj.1!H54</f>
        <v>207602</v>
      </c>
      <c r="I54" s="502">
        <f>0+táj.1!I54</f>
        <v>0</v>
      </c>
      <c r="J54" s="502">
        <f>0+táj.1!J54</f>
        <v>0</v>
      </c>
      <c r="K54" s="502">
        <f>0+táj.1!K54</f>
        <v>0</v>
      </c>
      <c r="L54" s="502">
        <f>0+táj.1!L54</f>
        <v>0</v>
      </c>
      <c r="M54" s="502">
        <f>95703+táj.1!M54</f>
        <v>95703</v>
      </c>
      <c r="N54" s="502">
        <f>0+táj.1!N54</f>
        <v>0</v>
      </c>
      <c r="O54" s="474">
        <f>SUM(E54:N54)</f>
        <v>303305</v>
      </c>
    </row>
    <row r="55" spans="1:15" s="158" customFormat="1" ht="35.25" customHeight="1" x14ac:dyDescent="0.2">
      <c r="A55" s="160"/>
      <c r="B55" s="160"/>
      <c r="C55" s="508" t="s">
        <v>365</v>
      </c>
      <c r="D55" s="507">
        <v>164205</v>
      </c>
      <c r="E55" s="502">
        <f>0+táj.1!E55</f>
        <v>0</v>
      </c>
      <c r="F55" s="502">
        <f>1324735+táj.1!F55</f>
        <v>1324735</v>
      </c>
      <c r="G55" s="502">
        <f>0+táj.1!G55</f>
        <v>0</v>
      </c>
      <c r="H55" s="502">
        <f>527999+táj.1!H55</f>
        <v>527999</v>
      </c>
      <c r="I55" s="502">
        <f>0+táj.1!I55</f>
        <v>0</v>
      </c>
      <c r="J55" s="502">
        <f>0+táj.1!J55</f>
        <v>0</v>
      </c>
      <c r="K55" s="502">
        <f>0+táj.1!K55</f>
        <v>0</v>
      </c>
      <c r="L55" s="502">
        <f>0+táj.1!L55</f>
        <v>0</v>
      </c>
      <c r="M55" s="502">
        <f>618493+táj.1!M55</f>
        <v>618493</v>
      </c>
      <c r="N55" s="502">
        <f>0+táj.1!N55</f>
        <v>0</v>
      </c>
      <c r="O55" s="474">
        <f>SUM(E55:N55)</f>
        <v>2471227</v>
      </c>
    </row>
    <row r="56" spans="1:15" s="158" customFormat="1" ht="35.25" customHeight="1" x14ac:dyDescent="0.2">
      <c r="A56" s="160"/>
      <c r="B56" s="160"/>
      <c r="C56" s="508" t="s">
        <v>366</v>
      </c>
      <c r="D56" s="507">
        <v>164206</v>
      </c>
      <c r="E56" s="502">
        <f>0+táj.1!E56</f>
        <v>0</v>
      </c>
      <c r="F56" s="502">
        <f>153815+táj.1!F56</f>
        <v>153815</v>
      </c>
      <c r="G56" s="502">
        <f>0+táj.1!G56</f>
        <v>0</v>
      </c>
      <c r="H56" s="502">
        <f>41530+táj.1!H56</f>
        <v>41530</v>
      </c>
      <c r="I56" s="502">
        <f>0+táj.1!I56</f>
        <v>0</v>
      </c>
      <c r="J56" s="502">
        <f>0+táj.1!J56</f>
        <v>0</v>
      </c>
      <c r="K56" s="502">
        <f>0+táj.1!K56</f>
        <v>0</v>
      </c>
      <c r="L56" s="502">
        <f>0+táj.1!L56</f>
        <v>0</v>
      </c>
      <c r="M56" s="502">
        <f>0+táj.1!M56</f>
        <v>0</v>
      </c>
      <c r="N56" s="502">
        <f>0+táj.1!N56</f>
        <v>0</v>
      </c>
      <c r="O56" s="474">
        <f>SUM(E56:N56)</f>
        <v>195345</v>
      </c>
    </row>
    <row r="57" spans="1:15" s="158" customFormat="1" ht="27" customHeight="1" x14ac:dyDescent="0.2">
      <c r="A57" s="160"/>
      <c r="B57" s="160"/>
      <c r="C57" s="496" t="s">
        <v>367</v>
      </c>
      <c r="D57" s="509"/>
      <c r="E57" s="502"/>
      <c r="F57" s="502"/>
      <c r="G57" s="502"/>
      <c r="H57" s="502"/>
      <c r="I57" s="502"/>
      <c r="J57" s="502"/>
      <c r="K57" s="502"/>
      <c r="L57" s="502"/>
      <c r="M57" s="502"/>
      <c r="N57" s="502"/>
      <c r="O57" s="474"/>
    </row>
    <row r="58" spans="1:15" s="158" customFormat="1" ht="27" customHeight="1" x14ac:dyDescent="0.2">
      <c r="A58" s="160"/>
      <c r="B58" s="160"/>
      <c r="C58" s="496" t="s">
        <v>368</v>
      </c>
      <c r="D58" s="672">
        <v>163700</v>
      </c>
      <c r="E58" s="502">
        <f>26873+táj.1!E58</f>
        <v>26873</v>
      </c>
      <c r="F58" s="502">
        <f>0+táj.1!F58</f>
        <v>0</v>
      </c>
      <c r="G58" s="502">
        <f>0+táj.1!G58</f>
        <v>0</v>
      </c>
      <c r="H58" s="502">
        <f>0+táj.1!H58</f>
        <v>0</v>
      </c>
      <c r="I58" s="502">
        <f>0+táj.1!I58</f>
        <v>0</v>
      </c>
      <c r="J58" s="502">
        <f>0+táj.1!J58</f>
        <v>0</v>
      </c>
      <c r="K58" s="502">
        <f>0+táj.1!K58</f>
        <v>0</v>
      </c>
      <c r="L58" s="502">
        <f>0+táj.1!L58</f>
        <v>0</v>
      </c>
      <c r="M58" s="502">
        <f>9113+táj.1!M58</f>
        <v>9113</v>
      </c>
      <c r="N58" s="502">
        <f>0+táj.1!N58</f>
        <v>0</v>
      </c>
      <c r="O58" s="474">
        <f>SUM(E58:N58)</f>
        <v>35986</v>
      </c>
    </row>
    <row r="59" spans="1:15" s="158" customFormat="1" ht="30" customHeight="1" x14ac:dyDescent="0.2">
      <c r="A59" s="160"/>
      <c r="B59" s="160"/>
      <c r="C59" s="490" t="s">
        <v>369</v>
      </c>
      <c r="D59" s="673"/>
      <c r="E59" s="502"/>
      <c r="F59" s="502"/>
      <c r="G59" s="502"/>
      <c r="H59" s="502"/>
      <c r="I59" s="502"/>
      <c r="J59" s="502"/>
      <c r="K59" s="502"/>
      <c r="L59" s="502"/>
      <c r="M59" s="502"/>
      <c r="N59" s="502"/>
      <c r="O59" s="474"/>
    </row>
    <row r="60" spans="1:15" s="158" customFormat="1" ht="25.5" customHeight="1" x14ac:dyDescent="0.2">
      <c r="A60" s="160"/>
      <c r="B60" s="160"/>
      <c r="C60" s="496" t="s">
        <v>370</v>
      </c>
      <c r="D60" s="672">
        <v>162695</v>
      </c>
      <c r="E60" s="502">
        <f>5193+táj.1!E60</f>
        <v>5193</v>
      </c>
      <c r="F60" s="502">
        <f>0+táj.1!F60</f>
        <v>0</v>
      </c>
      <c r="G60" s="502">
        <f>0+táj.1!G60</f>
        <v>0</v>
      </c>
      <c r="H60" s="502">
        <f>0+táj.1!H60</f>
        <v>0</v>
      </c>
      <c r="I60" s="502">
        <f>0+táj.1!I60</f>
        <v>0</v>
      </c>
      <c r="J60" s="502">
        <f>0+táj.1!J60</f>
        <v>0</v>
      </c>
      <c r="K60" s="502">
        <f>0+táj.1!K60</f>
        <v>0</v>
      </c>
      <c r="L60" s="502">
        <f>0+táj.1!L60</f>
        <v>0</v>
      </c>
      <c r="M60" s="502">
        <f>0+táj.1!M60</f>
        <v>0</v>
      </c>
      <c r="N60" s="502">
        <f>0+táj.1!N60</f>
        <v>0</v>
      </c>
      <c r="O60" s="474">
        <f t="shared" ref="O60:O103" si="5">SUM(E60:N60)</f>
        <v>5193</v>
      </c>
    </row>
    <row r="61" spans="1:15" s="158" customFormat="1" ht="19.5" customHeight="1" x14ac:dyDescent="0.2">
      <c r="A61" s="160"/>
      <c r="B61" s="160"/>
      <c r="C61" s="511" t="s">
        <v>371</v>
      </c>
      <c r="D61" s="674">
        <v>162607</v>
      </c>
      <c r="E61" s="502">
        <f>0+táj.1!E61</f>
        <v>0</v>
      </c>
      <c r="F61" s="502">
        <f>0+táj.1!F61</f>
        <v>0</v>
      </c>
      <c r="G61" s="502">
        <f>0+táj.1!G61</f>
        <v>0</v>
      </c>
      <c r="H61" s="502">
        <f>0+táj.1!H61</f>
        <v>0</v>
      </c>
      <c r="I61" s="502">
        <f>0+táj.1!I61</f>
        <v>0</v>
      </c>
      <c r="J61" s="502">
        <f>0+táj.1!J61</f>
        <v>0</v>
      </c>
      <c r="K61" s="502">
        <f>0+táj.1!K61</f>
        <v>0</v>
      </c>
      <c r="L61" s="502">
        <f>0+táj.1!L61</f>
        <v>0</v>
      </c>
      <c r="M61" s="502">
        <f>5334+táj.1!M61</f>
        <v>5334</v>
      </c>
      <c r="N61" s="502">
        <f>0+táj.1!N61</f>
        <v>0</v>
      </c>
      <c r="O61" s="514">
        <f t="shared" si="5"/>
        <v>5334</v>
      </c>
    </row>
    <row r="62" spans="1:15" s="158" customFormat="1" ht="25.5" customHeight="1" x14ac:dyDescent="0.2">
      <c r="A62" s="168"/>
      <c r="B62" s="168"/>
      <c r="C62" s="515" t="s">
        <v>372</v>
      </c>
      <c r="D62" s="674">
        <v>162640</v>
      </c>
      <c r="E62" s="502">
        <f>0+táj.1!E62</f>
        <v>0</v>
      </c>
      <c r="F62" s="502">
        <f>0+táj.1!F62</f>
        <v>0</v>
      </c>
      <c r="G62" s="502">
        <f>0+táj.1!G62</f>
        <v>0</v>
      </c>
      <c r="H62" s="502">
        <f>0+táj.1!H62</f>
        <v>0</v>
      </c>
      <c r="I62" s="502">
        <f>0+táj.1!I62</f>
        <v>0</v>
      </c>
      <c r="J62" s="502">
        <f>0+táj.1!J62</f>
        <v>0</v>
      </c>
      <c r="K62" s="502">
        <f>0+táj.1!K62</f>
        <v>0</v>
      </c>
      <c r="L62" s="502">
        <f>0+táj.1!L62</f>
        <v>0</v>
      </c>
      <c r="M62" s="502">
        <f>183429+táj.1!M62</f>
        <v>183429</v>
      </c>
      <c r="N62" s="502">
        <f>0+táj.1!N62</f>
        <v>0</v>
      </c>
      <c r="O62" s="514">
        <f t="shared" si="5"/>
        <v>183429</v>
      </c>
    </row>
    <row r="63" spans="1:15" s="158" customFormat="1" ht="37.5" customHeight="1" x14ac:dyDescent="0.2">
      <c r="A63" s="168"/>
      <c r="B63" s="168"/>
      <c r="C63" s="516" t="s">
        <v>373</v>
      </c>
      <c r="D63" s="674">
        <v>163636</v>
      </c>
      <c r="E63" s="502">
        <f>0+táj.1!E63</f>
        <v>0</v>
      </c>
      <c r="F63" s="502">
        <f>492+táj.1!F63</f>
        <v>492</v>
      </c>
      <c r="G63" s="502">
        <f>0+táj.1!G63</f>
        <v>0</v>
      </c>
      <c r="H63" s="502">
        <f>0+táj.1!H63</f>
        <v>0</v>
      </c>
      <c r="I63" s="502">
        <f>0+táj.1!I63</f>
        <v>0</v>
      </c>
      <c r="J63" s="502">
        <f>0+táj.1!J63</f>
        <v>0</v>
      </c>
      <c r="K63" s="502">
        <f>0+táj.1!K63</f>
        <v>0</v>
      </c>
      <c r="L63" s="502">
        <f>31188+táj.1!L63</f>
        <v>31188</v>
      </c>
      <c r="M63" s="502">
        <f>93720+táj.1!M63</f>
        <v>93720</v>
      </c>
      <c r="N63" s="502">
        <f>0+táj.1!N63</f>
        <v>0</v>
      </c>
      <c r="O63" s="514">
        <f t="shared" si="5"/>
        <v>125400</v>
      </c>
    </row>
    <row r="64" spans="1:15" s="158" customFormat="1" ht="37.5" customHeight="1" x14ac:dyDescent="0.2">
      <c r="A64" s="168"/>
      <c r="B64" s="168"/>
      <c r="C64" s="517" t="s">
        <v>374</v>
      </c>
      <c r="D64" s="423">
        <v>163601</v>
      </c>
      <c r="E64" s="502">
        <f>0+táj.1!E64</f>
        <v>0</v>
      </c>
      <c r="F64" s="502">
        <f>0+táj.1!F64</f>
        <v>0</v>
      </c>
      <c r="G64" s="502">
        <f>0+táj.1!G64</f>
        <v>0</v>
      </c>
      <c r="H64" s="502">
        <f>0+táj.1!H64</f>
        <v>0</v>
      </c>
      <c r="I64" s="502">
        <f>0+táj.1!I64</f>
        <v>0</v>
      </c>
      <c r="J64" s="502">
        <f>0+táj.1!J64</f>
        <v>0</v>
      </c>
      <c r="K64" s="502">
        <f>0+táj.1!K64</f>
        <v>0</v>
      </c>
      <c r="L64" s="502">
        <f>0+táj.1!L64</f>
        <v>0</v>
      </c>
      <c r="M64" s="502">
        <f>2597+táj.1!M64</f>
        <v>2597</v>
      </c>
      <c r="N64" s="502">
        <f>0+táj.1!N64</f>
        <v>0</v>
      </c>
      <c r="O64" s="514">
        <f t="shared" si="5"/>
        <v>2597</v>
      </c>
    </row>
    <row r="65" spans="1:15" s="158" customFormat="1" ht="37.5" customHeight="1" x14ac:dyDescent="0.2">
      <c r="A65" s="168"/>
      <c r="B65" s="168"/>
      <c r="C65" s="517" t="s">
        <v>375</v>
      </c>
      <c r="D65" s="423">
        <v>163603</v>
      </c>
      <c r="E65" s="502">
        <f>0+táj.1!E65</f>
        <v>0</v>
      </c>
      <c r="F65" s="502">
        <f>0+táj.1!F65</f>
        <v>0</v>
      </c>
      <c r="G65" s="502">
        <f>0+táj.1!G65</f>
        <v>0</v>
      </c>
      <c r="H65" s="502">
        <f>0+táj.1!H65</f>
        <v>0</v>
      </c>
      <c r="I65" s="502">
        <f>0+táj.1!I65</f>
        <v>0</v>
      </c>
      <c r="J65" s="502">
        <f>0+táj.1!J65</f>
        <v>0</v>
      </c>
      <c r="K65" s="502">
        <f>0+táj.1!K65</f>
        <v>0</v>
      </c>
      <c r="L65" s="502">
        <f>0+táj.1!L65</f>
        <v>0</v>
      </c>
      <c r="M65" s="502">
        <f>10113+táj.1!M65</f>
        <v>10113</v>
      </c>
      <c r="N65" s="502">
        <f>0+táj.1!N65</f>
        <v>0</v>
      </c>
      <c r="O65" s="514">
        <f t="shared" si="5"/>
        <v>10113</v>
      </c>
    </row>
    <row r="66" spans="1:15" s="158" customFormat="1" ht="37.5" customHeight="1" x14ac:dyDescent="0.2">
      <c r="A66" s="168"/>
      <c r="B66" s="168"/>
      <c r="C66" s="518" t="s">
        <v>376</v>
      </c>
      <c r="D66" s="423">
        <v>163604</v>
      </c>
      <c r="E66" s="502">
        <f>0+táj.1!E66</f>
        <v>0</v>
      </c>
      <c r="F66" s="502">
        <f>0+táj.1!F66</f>
        <v>0</v>
      </c>
      <c r="G66" s="502">
        <f>0+táj.1!G66</f>
        <v>0</v>
      </c>
      <c r="H66" s="502">
        <f>0+táj.1!H66</f>
        <v>0</v>
      </c>
      <c r="I66" s="502">
        <f>0+táj.1!I66</f>
        <v>0</v>
      </c>
      <c r="J66" s="502">
        <f>0+táj.1!J66</f>
        <v>0</v>
      </c>
      <c r="K66" s="502">
        <f>0+táj.1!K66</f>
        <v>0</v>
      </c>
      <c r="L66" s="502">
        <f>0+táj.1!L66</f>
        <v>0</v>
      </c>
      <c r="M66" s="502">
        <f>4106+táj.1!M66</f>
        <v>4106</v>
      </c>
      <c r="N66" s="502">
        <f>0+táj.1!N66</f>
        <v>0</v>
      </c>
      <c r="O66" s="514">
        <f t="shared" si="5"/>
        <v>4106</v>
      </c>
    </row>
    <row r="67" spans="1:15" s="158" customFormat="1" ht="37.5" customHeight="1" x14ac:dyDescent="0.2">
      <c r="A67" s="168"/>
      <c r="B67" s="168"/>
      <c r="C67" s="518" t="s">
        <v>377</v>
      </c>
      <c r="D67" s="423">
        <v>163606</v>
      </c>
      <c r="E67" s="502">
        <f>0+táj.1!E67</f>
        <v>0</v>
      </c>
      <c r="F67" s="502">
        <f>0+táj.1!F67</f>
        <v>0</v>
      </c>
      <c r="G67" s="502">
        <f>0+táj.1!G67</f>
        <v>0</v>
      </c>
      <c r="H67" s="502">
        <f>0+táj.1!H67</f>
        <v>0</v>
      </c>
      <c r="I67" s="502">
        <f>0+táj.1!I67</f>
        <v>0</v>
      </c>
      <c r="J67" s="502">
        <f>0+táj.1!J67</f>
        <v>0</v>
      </c>
      <c r="K67" s="502">
        <f>0+táj.1!K67</f>
        <v>0</v>
      </c>
      <c r="L67" s="502">
        <f>0+táj.1!L67</f>
        <v>0</v>
      </c>
      <c r="M67" s="502">
        <f>146134+táj.1!M67</f>
        <v>146134</v>
      </c>
      <c r="N67" s="502">
        <f>0+táj.1!N67</f>
        <v>0</v>
      </c>
      <c r="O67" s="514">
        <f t="shared" si="5"/>
        <v>146134</v>
      </c>
    </row>
    <row r="68" spans="1:15" s="158" customFormat="1" ht="77.25" customHeight="1" x14ac:dyDescent="0.2">
      <c r="A68" s="168"/>
      <c r="B68" s="168"/>
      <c r="C68" s="517" t="s">
        <v>378</v>
      </c>
      <c r="D68" s="423">
        <v>163607</v>
      </c>
      <c r="E68" s="502">
        <f>0+táj.1!E68</f>
        <v>0</v>
      </c>
      <c r="F68" s="502">
        <f>0+táj.1!F68</f>
        <v>0</v>
      </c>
      <c r="G68" s="502">
        <f>0+táj.1!G68</f>
        <v>0</v>
      </c>
      <c r="H68" s="502">
        <f>0+táj.1!H68</f>
        <v>0</v>
      </c>
      <c r="I68" s="502">
        <f>0+táj.1!I68</f>
        <v>0</v>
      </c>
      <c r="J68" s="502">
        <f>0+táj.1!J68</f>
        <v>0</v>
      </c>
      <c r="K68" s="502">
        <f>0+táj.1!K68</f>
        <v>0</v>
      </c>
      <c r="L68" s="502">
        <f>0+táj.1!L68</f>
        <v>0</v>
      </c>
      <c r="M68" s="502">
        <f>948842+táj.1!M68</f>
        <v>948842</v>
      </c>
      <c r="N68" s="502">
        <f>0+táj.1!N68</f>
        <v>0</v>
      </c>
      <c r="O68" s="514">
        <f t="shared" si="5"/>
        <v>948842</v>
      </c>
    </row>
    <row r="69" spans="1:15" s="158" customFormat="1" ht="37.5" customHeight="1" x14ac:dyDescent="0.2">
      <c r="A69" s="168"/>
      <c r="B69" s="168"/>
      <c r="C69" s="517" t="s">
        <v>379</v>
      </c>
      <c r="D69" s="423">
        <v>163608</v>
      </c>
      <c r="E69" s="502">
        <f>0+táj.1!E69</f>
        <v>0</v>
      </c>
      <c r="F69" s="502">
        <f>0+táj.1!F69</f>
        <v>0</v>
      </c>
      <c r="G69" s="502">
        <f>0+táj.1!G69</f>
        <v>0</v>
      </c>
      <c r="H69" s="502">
        <f>0+táj.1!H69</f>
        <v>0</v>
      </c>
      <c r="I69" s="502">
        <f>0+táj.1!I69</f>
        <v>0</v>
      </c>
      <c r="J69" s="502">
        <f>0+táj.1!J69</f>
        <v>0</v>
      </c>
      <c r="K69" s="502">
        <f>0+táj.1!K69</f>
        <v>0</v>
      </c>
      <c r="L69" s="502">
        <f>0+táj.1!L69</f>
        <v>0</v>
      </c>
      <c r="M69" s="502">
        <f>488326+táj.1!M69</f>
        <v>488326</v>
      </c>
      <c r="N69" s="502">
        <f>0+táj.1!N69</f>
        <v>0</v>
      </c>
      <c r="O69" s="514">
        <f t="shared" si="5"/>
        <v>488326</v>
      </c>
    </row>
    <row r="70" spans="1:15" s="158" customFormat="1" ht="37.5" customHeight="1" x14ac:dyDescent="0.2">
      <c r="A70" s="168"/>
      <c r="B70" s="168"/>
      <c r="C70" s="517" t="s">
        <v>380</v>
      </c>
      <c r="D70" s="423">
        <v>163609</v>
      </c>
      <c r="E70" s="502">
        <f>0+táj.1!E70</f>
        <v>0</v>
      </c>
      <c r="F70" s="502">
        <f>0+táj.1!F70</f>
        <v>0</v>
      </c>
      <c r="G70" s="502">
        <f>0+táj.1!G70</f>
        <v>0</v>
      </c>
      <c r="H70" s="502">
        <f>0+táj.1!H70</f>
        <v>0</v>
      </c>
      <c r="I70" s="502">
        <f>0+táj.1!I70</f>
        <v>0</v>
      </c>
      <c r="J70" s="502">
        <f>0+táj.1!J70</f>
        <v>0</v>
      </c>
      <c r="K70" s="502">
        <f>0+táj.1!K70</f>
        <v>0</v>
      </c>
      <c r="L70" s="502">
        <f>0+táj.1!L70</f>
        <v>0</v>
      </c>
      <c r="M70" s="502">
        <f>390916+táj.1!M70</f>
        <v>390916</v>
      </c>
      <c r="N70" s="502">
        <f>0+táj.1!N70</f>
        <v>0</v>
      </c>
      <c r="O70" s="514">
        <f t="shared" si="5"/>
        <v>390916</v>
      </c>
    </row>
    <row r="71" spans="1:15" s="158" customFormat="1" ht="37.5" customHeight="1" x14ac:dyDescent="0.2">
      <c r="A71" s="168"/>
      <c r="B71" s="168"/>
      <c r="C71" s="519" t="s">
        <v>381</v>
      </c>
      <c r="D71" s="423">
        <v>163611</v>
      </c>
      <c r="E71" s="502">
        <f>0+táj.1!E71</f>
        <v>0</v>
      </c>
      <c r="F71" s="502">
        <f>0+táj.1!F71</f>
        <v>0</v>
      </c>
      <c r="G71" s="502">
        <f>0+táj.1!G71</f>
        <v>0</v>
      </c>
      <c r="H71" s="502">
        <f>0+táj.1!H71</f>
        <v>0</v>
      </c>
      <c r="I71" s="502">
        <f>0+táj.1!I71</f>
        <v>0</v>
      </c>
      <c r="J71" s="502">
        <f>0+táj.1!J71</f>
        <v>0</v>
      </c>
      <c r="K71" s="502">
        <f>0+táj.1!K71</f>
        <v>0</v>
      </c>
      <c r="L71" s="502">
        <f>0+táj.1!L71</f>
        <v>0</v>
      </c>
      <c r="M71" s="502">
        <f>365340+táj.1!M71</f>
        <v>365340</v>
      </c>
      <c r="N71" s="502">
        <f>0+táj.1!N71</f>
        <v>0</v>
      </c>
      <c r="O71" s="514">
        <f t="shared" si="5"/>
        <v>365340</v>
      </c>
    </row>
    <row r="72" spans="1:15" s="158" customFormat="1" ht="37.5" customHeight="1" x14ac:dyDescent="0.2">
      <c r="A72" s="168"/>
      <c r="B72" s="168"/>
      <c r="C72" s="520" t="s">
        <v>382</v>
      </c>
      <c r="D72" s="423">
        <v>163612</v>
      </c>
      <c r="E72" s="502">
        <f>0+táj.1!E72</f>
        <v>0</v>
      </c>
      <c r="F72" s="502">
        <f>0+táj.1!F72</f>
        <v>0</v>
      </c>
      <c r="G72" s="502">
        <f>0+táj.1!G72</f>
        <v>0</v>
      </c>
      <c r="H72" s="502">
        <f>45800+táj.1!H72</f>
        <v>50877</v>
      </c>
      <c r="I72" s="502">
        <f>0+táj.1!I72</f>
        <v>0</v>
      </c>
      <c r="J72" s="502">
        <f>0+táj.1!J72</f>
        <v>0</v>
      </c>
      <c r="K72" s="502">
        <f>0+táj.1!K72</f>
        <v>0</v>
      </c>
      <c r="L72" s="502">
        <f>0+táj.1!L72</f>
        <v>0</v>
      </c>
      <c r="M72" s="502">
        <f>432893+táj.1!M72</f>
        <v>432893</v>
      </c>
      <c r="N72" s="502">
        <f>0+táj.1!N72</f>
        <v>0</v>
      </c>
      <c r="O72" s="514">
        <f t="shared" si="5"/>
        <v>483770</v>
      </c>
    </row>
    <row r="73" spans="1:15" s="158" customFormat="1" ht="37.5" customHeight="1" x14ac:dyDescent="0.2">
      <c r="A73" s="168"/>
      <c r="B73" s="168"/>
      <c r="C73" s="520" t="s">
        <v>383</v>
      </c>
      <c r="D73" s="423">
        <v>163613</v>
      </c>
      <c r="E73" s="502">
        <f>0+táj.1!E73</f>
        <v>0</v>
      </c>
      <c r="F73" s="502">
        <f>0+táj.1!F73</f>
        <v>89974</v>
      </c>
      <c r="G73" s="502">
        <f>0+táj.1!G73</f>
        <v>0</v>
      </c>
      <c r="H73" s="502">
        <f>46978+táj.1!H73</f>
        <v>71271</v>
      </c>
      <c r="I73" s="502">
        <f>0+táj.1!I73</f>
        <v>0</v>
      </c>
      <c r="J73" s="502">
        <f>0+táj.1!J73</f>
        <v>0</v>
      </c>
      <c r="K73" s="502">
        <f>0+táj.1!K73</f>
        <v>0</v>
      </c>
      <c r="L73" s="502">
        <f>0+táj.1!L73</f>
        <v>0</v>
      </c>
      <c r="M73" s="502">
        <f>178982+táj.1!M73</f>
        <v>178982</v>
      </c>
      <c r="N73" s="502">
        <f>0+táj.1!N73</f>
        <v>0</v>
      </c>
      <c r="O73" s="514">
        <f t="shared" si="5"/>
        <v>340227</v>
      </c>
    </row>
    <row r="74" spans="1:15" s="158" customFormat="1" ht="37.5" customHeight="1" x14ac:dyDescent="0.2">
      <c r="A74" s="168"/>
      <c r="B74" s="168"/>
      <c r="C74" s="520" t="s">
        <v>384</v>
      </c>
      <c r="D74" s="423">
        <v>163614</v>
      </c>
      <c r="E74" s="502">
        <f>0+táj.1!E74</f>
        <v>0</v>
      </c>
      <c r="F74" s="502">
        <f>0+táj.1!F74</f>
        <v>0</v>
      </c>
      <c r="G74" s="502">
        <f>0+táj.1!G74</f>
        <v>0</v>
      </c>
      <c r="H74" s="502">
        <f>0+táj.1!H74</f>
        <v>0</v>
      </c>
      <c r="I74" s="502">
        <f>0+táj.1!I74</f>
        <v>0</v>
      </c>
      <c r="J74" s="502">
        <f>0+táj.1!J74</f>
        <v>0</v>
      </c>
      <c r="K74" s="502">
        <f>0+táj.1!K74</f>
        <v>0</v>
      </c>
      <c r="L74" s="502">
        <f>0+táj.1!L74</f>
        <v>0</v>
      </c>
      <c r="M74" s="502">
        <f>88448+táj.1!M74</f>
        <v>88448</v>
      </c>
      <c r="N74" s="502">
        <f>0+táj.1!N74</f>
        <v>0</v>
      </c>
      <c r="O74" s="514">
        <f t="shared" si="5"/>
        <v>88448</v>
      </c>
    </row>
    <row r="75" spans="1:15" s="158" customFormat="1" ht="37.5" customHeight="1" x14ac:dyDescent="0.2">
      <c r="A75" s="168"/>
      <c r="B75" s="168"/>
      <c r="C75" s="520" t="s">
        <v>385</v>
      </c>
      <c r="D75" s="423">
        <v>163615</v>
      </c>
      <c r="E75" s="502">
        <f>299+táj.1!E75</f>
        <v>299</v>
      </c>
      <c r="F75" s="502">
        <f>0+táj.1!F75</f>
        <v>0</v>
      </c>
      <c r="G75" s="502">
        <f>0+táj.1!G75</f>
        <v>0</v>
      </c>
      <c r="H75" s="502">
        <f>0+táj.1!H75</f>
        <v>0</v>
      </c>
      <c r="I75" s="502">
        <f>0+táj.1!I75</f>
        <v>0</v>
      </c>
      <c r="J75" s="502">
        <f>0+táj.1!J75</f>
        <v>0</v>
      </c>
      <c r="K75" s="502">
        <f>0+táj.1!K75</f>
        <v>0</v>
      </c>
      <c r="L75" s="502">
        <f>0+táj.1!L75</f>
        <v>0</v>
      </c>
      <c r="M75" s="502">
        <f>8688+táj.1!M75</f>
        <v>8688</v>
      </c>
      <c r="N75" s="502">
        <f>0+táj.1!N75</f>
        <v>0</v>
      </c>
      <c r="O75" s="514">
        <f t="shared" si="5"/>
        <v>8987</v>
      </c>
    </row>
    <row r="76" spans="1:15" s="158" customFormat="1" ht="37.5" customHeight="1" x14ac:dyDescent="0.2">
      <c r="A76" s="168"/>
      <c r="B76" s="168"/>
      <c r="C76" s="520" t="s">
        <v>386</v>
      </c>
      <c r="D76" s="423">
        <v>163616</v>
      </c>
      <c r="E76" s="502">
        <f>0+táj.1!E76</f>
        <v>0</v>
      </c>
      <c r="F76" s="502">
        <f>0+táj.1!F76</f>
        <v>0</v>
      </c>
      <c r="G76" s="502">
        <f>0+táj.1!G76</f>
        <v>0</v>
      </c>
      <c r="H76" s="502">
        <f>0+táj.1!H76</f>
        <v>0</v>
      </c>
      <c r="I76" s="502">
        <f>0+táj.1!I76</f>
        <v>0</v>
      </c>
      <c r="J76" s="502">
        <f>0+táj.1!J76</f>
        <v>0</v>
      </c>
      <c r="K76" s="502">
        <f>0+táj.1!K76</f>
        <v>0</v>
      </c>
      <c r="L76" s="502">
        <f>0+táj.1!L76</f>
        <v>0</v>
      </c>
      <c r="M76" s="502">
        <f>31299+táj.1!M76</f>
        <v>31299</v>
      </c>
      <c r="N76" s="502">
        <f>0+táj.1!N76</f>
        <v>0</v>
      </c>
      <c r="O76" s="514">
        <f t="shared" si="5"/>
        <v>31299</v>
      </c>
    </row>
    <row r="77" spans="1:15" s="158" customFormat="1" ht="37.5" customHeight="1" x14ac:dyDescent="0.2">
      <c r="A77" s="168"/>
      <c r="B77" s="168"/>
      <c r="C77" s="520" t="s">
        <v>387</v>
      </c>
      <c r="D77" s="423">
        <v>163617</v>
      </c>
      <c r="E77" s="502">
        <f>0+táj.1!E77</f>
        <v>0</v>
      </c>
      <c r="F77" s="502">
        <f>0+táj.1!F77</f>
        <v>0</v>
      </c>
      <c r="G77" s="502">
        <f>0+táj.1!G77</f>
        <v>0</v>
      </c>
      <c r="H77" s="502">
        <f>0+táj.1!H77</f>
        <v>0</v>
      </c>
      <c r="I77" s="502">
        <f>0+táj.1!I77</f>
        <v>0</v>
      </c>
      <c r="J77" s="502">
        <f>0+táj.1!J77</f>
        <v>0</v>
      </c>
      <c r="K77" s="502">
        <f>0+táj.1!K77</f>
        <v>0</v>
      </c>
      <c r="L77" s="502">
        <f>0+táj.1!L77</f>
        <v>0</v>
      </c>
      <c r="M77" s="502">
        <f>1099+táj.1!M77</f>
        <v>1099</v>
      </c>
      <c r="N77" s="502">
        <f>0+táj.1!N77</f>
        <v>0</v>
      </c>
      <c r="O77" s="514">
        <f t="shared" si="5"/>
        <v>1099</v>
      </c>
    </row>
    <row r="78" spans="1:15" s="158" customFormat="1" ht="37.5" customHeight="1" x14ac:dyDescent="0.2">
      <c r="A78" s="168"/>
      <c r="B78" s="168"/>
      <c r="C78" s="520" t="s">
        <v>388</v>
      </c>
      <c r="D78" s="674">
        <v>163622</v>
      </c>
      <c r="E78" s="502">
        <f>2862+táj.1!E78</f>
        <v>2862</v>
      </c>
      <c r="F78" s="502">
        <f>0+táj.1!F78</f>
        <v>0</v>
      </c>
      <c r="G78" s="502">
        <f>0+táj.1!G78</f>
        <v>0</v>
      </c>
      <c r="H78" s="502">
        <f>0+táj.1!H78</f>
        <v>0</v>
      </c>
      <c r="I78" s="502">
        <f>0+táj.1!I78</f>
        <v>0</v>
      </c>
      <c r="J78" s="502">
        <f>0+táj.1!J78</f>
        <v>0</v>
      </c>
      <c r="K78" s="502">
        <f>0+táj.1!K78</f>
        <v>0</v>
      </c>
      <c r="L78" s="502">
        <f>0+táj.1!L78</f>
        <v>0</v>
      </c>
      <c r="M78" s="502">
        <f>46+táj.1!M78</f>
        <v>46</v>
      </c>
      <c r="N78" s="502">
        <f>0+táj.1!N78</f>
        <v>0</v>
      </c>
      <c r="O78" s="514">
        <f t="shared" si="5"/>
        <v>2908</v>
      </c>
    </row>
    <row r="79" spans="1:15" s="158" customFormat="1" ht="37.5" customHeight="1" x14ac:dyDescent="0.2">
      <c r="A79" s="168"/>
      <c r="B79" s="168"/>
      <c r="C79" s="520" t="s">
        <v>389</v>
      </c>
      <c r="D79" s="674">
        <v>163623</v>
      </c>
      <c r="E79" s="502">
        <f>3008+táj.1!E79</f>
        <v>3008</v>
      </c>
      <c r="F79" s="502">
        <f>0+táj.1!F79</f>
        <v>0</v>
      </c>
      <c r="G79" s="502">
        <f>0+táj.1!G79</f>
        <v>0</v>
      </c>
      <c r="H79" s="502">
        <f>0+táj.1!H79</f>
        <v>0</v>
      </c>
      <c r="I79" s="502">
        <f>0+táj.1!I79</f>
        <v>0</v>
      </c>
      <c r="J79" s="502">
        <f>0+táj.1!J79</f>
        <v>0</v>
      </c>
      <c r="K79" s="502">
        <f>0+táj.1!K79</f>
        <v>0</v>
      </c>
      <c r="L79" s="502">
        <f>0+táj.1!L79</f>
        <v>0</v>
      </c>
      <c r="M79" s="502">
        <f>0+táj.1!M79</f>
        <v>0</v>
      </c>
      <c r="N79" s="502">
        <f>0+táj.1!N79</f>
        <v>0</v>
      </c>
      <c r="O79" s="514">
        <f t="shared" si="5"/>
        <v>3008</v>
      </c>
    </row>
    <row r="80" spans="1:15" s="158" customFormat="1" ht="22.5" customHeight="1" x14ac:dyDescent="0.2">
      <c r="A80" s="168"/>
      <c r="B80" s="168"/>
      <c r="C80" s="521" t="s">
        <v>390</v>
      </c>
      <c r="D80" s="674">
        <v>163625</v>
      </c>
      <c r="E80" s="502">
        <f>87000+táj.1!E80</f>
        <v>87000</v>
      </c>
      <c r="F80" s="502">
        <f>1001000+táj.1!F80</f>
        <v>1001000</v>
      </c>
      <c r="G80" s="502">
        <f>0+táj.1!G80</f>
        <v>0</v>
      </c>
      <c r="H80" s="502">
        <f>0+táj.1!H80</f>
        <v>0</v>
      </c>
      <c r="I80" s="502">
        <f>0+táj.1!I80</f>
        <v>0</v>
      </c>
      <c r="J80" s="502">
        <f>0+táj.1!J80</f>
        <v>0</v>
      </c>
      <c r="K80" s="502">
        <f>0+táj.1!K80</f>
        <v>0</v>
      </c>
      <c r="L80" s="502">
        <f>0+táj.1!L80</f>
        <v>0</v>
      </c>
      <c r="M80" s="502">
        <f>0+táj.1!M80</f>
        <v>0</v>
      </c>
      <c r="N80" s="502">
        <f>0+táj.1!N80</f>
        <v>0</v>
      </c>
      <c r="O80" s="514">
        <f t="shared" si="5"/>
        <v>1088000</v>
      </c>
    </row>
    <row r="81" spans="1:15" s="158" customFormat="1" ht="22.5" customHeight="1" x14ac:dyDescent="0.2">
      <c r="A81" s="168"/>
      <c r="B81" s="168"/>
      <c r="C81" s="515" t="s">
        <v>391</v>
      </c>
      <c r="D81" s="674">
        <v>163626</v>
      </c>
      <c r="E81" s="502">
        <f>0+táj.1!E81</f>
        <v>0</v>
      </c>
      <c r="F81" s="502">
        <f>0+táj.1!F81</f>
        <v>0</v>
      </c>
      <c r="G81" s="502">
        <f>0+táj.1!G81</f>
        <v>0</v>
      </c>
      <c r="H81" s="502">
        <f>61806+táj.1!H81</f>
        <v>61806</v>
      </c>
      <c r="I81" s="502">
        <f>0+táj.1!I81</f>
        <v>0</v>
      </c>
      <c r="J81" s="502">
        <f>0+táj.1!J81</f>
        <v>0</v>
      </c>
      <c r="K81" s="502">
        <f>0+táj.1!K81</f>
        <v>0</v>
      </c>
      <c r="L81" s="502">
        <f>0+táj.1!L81</f>
        <v>0</v>
      </c>
      <c r="M81" s="502">
        <f>152292+táj.1!M81</f>
        <v>152292</v>
      </c>
      <c r="N81" s="502">
        <f>0+táj.1!N81</f>
        <v>0</v>
      </c>
      <c r="O81" s="514">
        <f t="shared" si="5"/>
        <v>214098</v>
      </c>
    </row>
    <row r="82" spans="1:15" s="158" customFormat="1" ht="37.5" customHeight="1" x14ac:dyDescent="0.2">
      <c r="A82" s="168"/>
      <c r="B82" s="168"/>
      <c r="C82" s="522" t="s">
        <v>392</v>
      </c>
      <c r="D82" s="674">
        <v>163627</v>
      </c>
      <c r="E82" s="502">
        <f>0+táj.1!E82</f>
        <v>0</v>
      </c>
      <c r="F82" s="502">
        <f>736422+táj.1!F82</f>
        <v>736422</v>
      </c>
      <c r="G82" s="502">
        <f>0+táj.1!G82</f>
        <v>0</v>
      </c>
      <c r="H82" s="502">
        <f>0+táj.1!H82</f>
        <v>0</v>
      </c>
      <c r="I82" s="502">
        <f>0+táj.1!I82</f>
        <v>0</v>
      </c>
      <c r="J82" s="502">
        <f>0+táj.1!J82</f>
        <v>0</v>
      </c>
      <c r="K82" s="502">
        <f>0+táj.1!K82</f>
        <v>0</v>
      </c>
      <c r="L82" s="502">
        <f>0+táj.1!L82</f>
        <v>0</v>
      </c>
      <c r="M82" s="502">
        <f>530341+táj.1!M82</f>
        <v>530341</v>
      </c>
      <c r="N82" s="502">
        <f>0+táj.1!N82</f>
        <v>0</v>
      </c>
      <c r="O82" s="514">
        <f t="shared" si="5"/>
        <v>1266763</v>
      </c>
    </row>
    <row r="83" spans="1:15" s="158" customFormat="1" ht="27" customHeight="1" x14ac:dyDescent="0.2">
      <c r="A83" s="168"/>
      <c r="B83" s="168"/>
      <c r="C83" s="522" t="s">
        <v>393</v>
      </c>
      <c r="D83" s="674">
        <v>163629</v>
      </c>
      <c r="E83" s="502">
        <f>0+táj.1!E83</f>
        <v>0</v>
      </c>
      <c r="F83" s="502">
        <f>0+táj.1!F83</f>
        <v>0</v>
      </c>
      <c r="G83" s="502">
        <f>0+táj.1!G83</f>
        <v>0</v>
      </c>
      <c r="H83" s="502">
        <f>246976+táj.1!H83</f>
        <v>246976</v>
      </c>
      <c r="I83" s="502">
        <f>0+táj.1!I83</f>
        <v>0</v>
      </c>
      <c r="J83" s="502">
        <f>0+táj.1!J83</f>
        <v>0</v>
      </c>
      <c r="K83" s="502">
        <f>0+táj.1!K83</f>
        <v>0</v>
      </c>
      <c r="L83" s="502">
        <f>0+táj.1!L83</f>
        <v>0</v>
      </c>
      <c r="M83" s="502">
        <f>940124+táj.1!M83</f>
        <v>940124</v>
      </c>
      <c r="N83" s="502">
        <f>0+táj.1!N83</f>
        <v>0</v>
      </c>
      <c r="O83" s="514">
        <f t="shared" si="5"/>
        <v>1187100</v>
      </c>
    </row>
    <row r="84" spans="1:15" s="158" customFormat="1" ht="41.25" customHeight="1" x14ac:dyDescent="0.2">
      <c r="A84" s="168"/>
      <c r="B84" s="168"/>
      <c r="C84" s="523" t="s">
        <v>394</v>
      </c>
      <c r="D84" s="674">
        <v>163628</v>
      </c>
      <c r="E84" s="502">
        <f>0+táj.1!E84</f>
        <v>0</v>
      </c>
      <c r="F84" s="502">
        <f>8000+táj.1!F84</f>
        <v>8000</v>
      </c>
      <c r="G84" s="502">
        <f>0+táj.1!G84</f>
        <v>0</v>
      </c>
      <c r="H84" s="502">
        <f>162483+táj.1!H84</f>
        <v>162483</v>
      </c>
      <c r="I84" s="502">
        <f>0+táj.1!I84</f>
        <v>0</v>
      </c>
      <c r="J84" s="502">
        <f>0+táj.1!J84</f>
        <v>0</v>
      </c>
      <c r="K84" s="502">
        <f>0+táj.1!K84</f>
        <v>0</v>
      </c>
      <c r="L84" s="502">
        <f>46000+táj.1!L84</f>
        <v>46000</v>
      </c>
      <c r="M84" s="502">
        <f>547169+táj.1!M84</f>
        <v>547169</v>
      </c>
      <c r="N84" s="502">
        <f>0+táj.1!N84</f>
        <v>0</v>
      </c>
      <c r="O84" s="514">
        <f t="shared" si="5"/>
        <v>763652</v>
      </c>
    </row>
    <row r="85" spans="1:15" s="158" customFormat="1" ht="41.25" customHeight="1" x14ac:dyDescent="0.2">
      <c r="A85" s="168"/>
      <c r="B85" s="168"/>
      <c r="C85" s="524" t="s">
        <v>395</v>
      </c>
      <c r="D85" s="674">
        <v>163633</v>
      </c>
      <c r="E85" s="502">
        <f>0+táj.1!E85</f>
        <v>0</v>
      </c>
      <c r="F85" s="502">
        <f>0+táj.1!F85</f>
        <v>0</v>
      </c>
      <c r="G85" s="502">
        <f>0+táj.1!G85</f>
        <v>0</v>
      </c>
      <c r="H85" s="502">
        <f>0+táj.1!H85</f>
        <v>0</v>
      </c>
      <c r="I85" s="502">
        <f>0+táj.1!I85</f>
        <v>0</v>
      </c>
      <c r="J85" s="502">
        <f>0+táj.1!J85</f>
        <v>0</v>
      </c>
      <c r="K85" s="502">
        <f>0+táj.1!K85</f>
        <v>0</v>
      </c>
      <c r="L85" s="502">
        <f>0+táj.1!L85</f>
        <v>0</v>
      </c>
      <c r="M85" s="502">
        <f>179170+táj.1!M85</f>
        <v>179170</v>
      </c>
      <c r="N85" s="502">
        <f>0+táj.1!N85</f>
        <v>0</v>
      </c>
      <c r="O85" s="514">
        <f t="shared" si="5"/>
        <v>179170</v>
      </c>
    </row>
    <row r="86" spans="1:15" s="158" customFormat="1" ht="41.25" customHeight="1" x14ac:dyDescent="0.2">
      <c r="A86" s="168"/>
      <c r="B86" s="168"/>
      <c r="C86" s="525" t="s">
        <v>396</v>
      </c>
      <c r="D86" s="674">
        <v>163646</v>
      </c>
      <c r="E86" s="502">
        <f>0+táj.1!E86</f>
        <v>0</v>
      </c>
      <c r="F86" s="502">
        <f>0+táj.1!F86</f>
        <v>0</v>
      </c>
      <c r="G86" s="502">
        <f>0+táj.1!G86</f>
        <v>0</v>
      </c>
      <c r="H86" s="502">
        <f>0+táj.1!H86</f>
        <v>0</v>
      </c>
      <c r="I86" s="502">
        <f>0+táj.1!I86</f>
        <v>0</v>
      </c>
      <c r="J86" s="502">
        <f>0+táj.1!J86</f>
        <v>0</v>
      </c>
      <c r="K86" s="502">
        <f>0+táj.1!K86</f>
        <v>0</v>
      </c>
      <c r="L86" s="502">
        <f>0+táj.1!L86</f>
        <v>0</v>
      </c>
      <c r="M86" s="502">
        <f>8667+táj.1!M86</f>
        <v>8667</v>
      </c>
      <c r="N86" s="502">
        <f>0+táj.1!N86</f>
        <v>0</v>
      </c>
      <c r="O86" s="514">
        <f t="shared" si="5"/>
        <v>8667</v>
      </c>
    </row>
    <row r="87" spans="1:15" s="158" customFormat="1" ht="50.25" customHeight="1" x14ac:dyDescent="0.2">
      <c r="A87" s="168"/>
      <c r="B87" s="168"/>
      <c r="C87" s="515" t="s">
        <v>397</v>
      </c>
      <c r="D87" s="674">
        <v>163637</v>
      </c>
      <c r="E87" s="502">
        <f>0+táj.1!E87</f>
        <v>0</v>
      </c>
      <c r="F87" s="502">
        <f>0+táj.1!F87</f>
        <v>145747</v>
      </c>
      <c r="G87" s="502">
        <f>0+táj.1!G87</f>
        <v>0</v>
      </c>
      <c r="H87" s="502">
        <f>71351+táj.1!H87</f>
        <v>110703</v>
      </c>
      <c r="I87" s="502">
        <f>0+táj.1!I87</f>
        <v>0</v>
      </c>
      <c r="J87" s="502">
        <f>0+táj.1!J87</f>
        <v>0</v>
      </c>
      <c r="K87" s="502">
        <f>0+táj.1!K87</f>
        <v>0</v>
      </c>
      <c r="L87" s="502">
        <f>0+táj.1!L87</f>
        <v>0</v>
      </c>
      <c r="M87" s="502">
        <f>264262+táj.1!M87</f>
        <v>264262</v>
      </c>
      <c r="N87" s="502">
        <f>0+táj.1!N87</f>
        <v>0</v>
      </c>
      <c r="O87" s="514">
        <f t="shared" si="5"/>
        <v>520712</v>
      </c>
    </row>
    <row r="88" spans="1:15" s="158" customFormat="1" ht="30" customHeight="1" x14ac:dyDescent="0.2">
      <c r="A88" s="168"/>
      <c r="B88" s="168"/>
      <c r="C88" s="524" t="s">
        <v>398</v>
      </c>
      <c r="D88" s="674">
        <v>163638</v>
      </c>
      <c r="E88" s="502">
        <f>0+táj.1!E88</f>
        <v>0</v>
      </c>
      <c r="F88" s="502">
        <f>75990+táj.1!F88</f>
        <v>75990</v>
      </c>
      <c r="G88" s="502">
        <f>0+táj.1!G88</f>
        <v>0</v>
      </c>
      <c r="H88" s="502">
        <f>0+táj.1!H88</f>
        <v>0</v>
      </c>
      <c r="I88" s="502">
        <f>0+táj.1!I88</f>
        <v>0</v>
      </c>
      <c r="J88" s="502">
        <f>0+táj.1!J88</f>
        <v>0</v>
      </c>
      <c r="K88" s="502">
        <f>0+táj.1!K88</f>
        <v>0</v>
      </c>
      <c r="L88" s="502">
        <f>0+táj.1!L88</f>
        <v>0</v>
      </c>
      <c r="M88" s="502">
        <f>247052+táj.1!M88</f>
        <v>247052</v>
      </c>
      <c r="N88" s="502">
        <f>0+táj.1!N88</f>
        <v>0</v>
      </c>
      <c r="O88" s="514">
        <f t="shared" si="5"/>
        <v>323042</v>
      </c>
    </row>
    <row r="89" spans="1:15" s="158" customFormat="1" ht="28.5" customHeight="1" x14ac:dyDescent="0.2">
      <c r="A89" s="168"/>
      <c r="B89" s="168"/>
      <c r="C89" s="524" t="s">
        <v>399</v>
      </c>
      <c r="D89" s="674">
        <v>163639</v>
      </c>
      <c r="E89" s="502">
        <f>0+táj.1!E89</f>
        <v>0</v>
      </c>
      <c r="F89" s="502">
        <f>0+táj.1!F89</f>
        <v>79341</v>
      </c>
      <c r="G89" s="502">
        <f>0+táj.1!G89</f>
        <v>0</v>
      </c>
      <c r="H89" s="502">
        <f>0+táj.1!H89</f>
        <v>0</v>
      </c>
      <c r="I89" s="502">
        <f>0+táj.1!I89</f>
        <v>0</v>
      </c>
      <c r="J89" s="502">
        <f>0+táj.1!J89</f>
        <v>0</v>
      </c>
      <c r="K89" s="502">
        <f>0+táj.1!K89</f>
        <v>0</v>
      </c>
      <c r="L89" s="502">
        <f>54888+táj.1!L89</f>
        <v>0</v>
      </c>
      <c r="M89" s="502">
        <f>244141+táj.1!M89</f>
        <v>244141</v>
      </c>
      <c r="N89" s="502">
        <f>0+táj.1!N89</f>
        <v>0</v>
      </c>
      <c r="O89" s="514">
        <f t="shared" si="5"/>
        <v>323482</v>
      </c>
    </row>
    <row r="90" spans="1:15" s="158" customFormat="1" ht="28.5" customHeight="1" x14ac:dyDescent="0.2">
      <c r="A90" s="168"/>
      <c r="B90" s="168"/>
      <c r="C90" s="524" t="s">
        <v>400</v>
      </c>
      <c r="D90" s="674">
        <v>163640</v>
      </c>
      <c r="E90" s="502">
        <f>0+táj.1!E90</f>
        <v>0</v>
      </c>
      <c r="F90" s="502">
        <f>49333+táj.1!F90</f>
        <v>49333</v>
      </c>
      <c r="G90" s="502">
        <f>0+táj.1!G90</f>
        <v>0</v>
      </c>
      <c r="H90" s="502">
        <f>0+táj.1!H90</f>
        <v>0</v>
      </c>
      <c r="I90" s="502">
        <f>0+táj.1!I90</f>
        <v>0</v>
      </c>
      <c r="J90" s="502">
        <f>0+táj.1!J90</f>
        <v>0</v>
      </c>
      <c r="K90" s="502">
        <f>0+táj.1!K90</f>
        <v>0</v>
      </c>
      <c r="L90" s="502">
        <f>0+táj.1!L90</f>
        <v>0</v>
      </c>
      <c r="M90" s="502">
        <f>80153+táj.1!M90</f>
        <v>80153</v>
      </c>
      <c r="N90" s="502">
        <f>0+táj.1!N90</f>
        <v>0</v>
      </c>
      <c r="O90" s="514">
        <f t="shared" si="5"/>
        <v>129486</v>
      </c>
    </row>
    <row r="91" spans="1:15" s="158" customFormat="1" ht="28.5" customHeight="1" x14ac:dyDescent="0.2">
      <c r="A91" s="833"/>
      <c r="B91" s="833"/>
      <c r="C91" s="840" t="s">
        <v>1471</v>
      </c>
      <c r="D91" s="843">
        <v>163648</v>
      </c>
      <c r="E91" s="502">
        <f>0+táj.1!E91</f>
        <v>150</v>
      </c>
      <c r="F91" s="502">
        <f>0+táj.1!F91</f>
        <v>9850</v>
      </c>
      <c r="G91" s="502">
        <f>0+táj.1!G91</f>
        <v>0</v>
      </c>
      <c r="H91" s="502">
        <f>0+táj.1!H91</f>
        <v>0</v>
      </c>
      <c r="I91" s="502">
        <f>0+táj.1!I91</f>
        <v>0</v>
      </c>
      <c r="J91" s="502">
        <f>0+táj.1!J91</f>
        <v>0</v>
      </c>
      <c r="K91" s="502">
        <f>0+táj.1!K91</f>
        <v>0</v>
      </c>
      <c r="L91" s="502">
        <f>0+táj.1!L91</f>
        <v>0</v>
      </c>
      <c r="M91" s="502">
        <f>0+táj.1!M91</f>
        <v>0</v>
      </c>
      <c r="N91" s="502">
        <f>0+táj.1!N91</f>
        <v>0</v>
      </c>
      <c r="O91" s="514">
        <f t="shared" si="5"/>
        <v>10000</v>
      </c>
    </row>
    <row r="92" spans="1:15" s="158" customFormat="1" ht="38.25" x14ac:dyDescent="0.2">
      <c r="A92" s="168"/>
      <c r="B92" s="168"/>
      <c r="C92" s="511" t="s">
        <v>401</v>
      </c>
      <c r="D92" s="674">
        <v>163621</v>
      </c>
      <c r="E92" s="502">
        <f>0+táj.1!E92</f>
        <v>0</v>
      </c>
      <c r="F92" s="502">
        <f>1988270+táj.1!F92</f>
        <v>1988270</v>
      </c>
      <c r="G92" s="502">
        <f>0+táj.1!G92</f>
        <v>0</v>
      </c>
      <c r="H92" s="502">
        <f>541+táj.1!H92</f>
        <v>541</v>
      </c>
      <c r="I92" s="502">
        <f>0+táj.1!I92</f>
        <v>0</v>
      </c>
      <c r="J92" s="502">
        <f>0+táj.1!J92</f>
        <v>0</v>
      </c>
      <c r="K92" s="502">
        <f>0+táj.1!K92</f>
        <v>0</v>
      </c>
      <c r="L92" s="502">
        <f>0+táj.1!L92</f>
        <v>0</v>
      </c>
      <c r="M92" s="502">
        <f>5961633+táj.1!M92</f>
        <v>5961633</v>
      </c>
      <c r="N92" s="502">
        <f>3158730+táj.1!N92</f>
        <v>3158730</v>
      </c>
      <c r="O92" s="514">
        <f t="shared" si="5"/>
        <v>11109174</v>
      </c>
    </row>
    <row r="93" spans="1:15" s="158" customFormat="1" ht="28.5" customHeight="1" x14ac:dyDescent="0.2">
      <c r="A93" s="168"/>
      <c r="B93" s="168"/>
      <c r="C93" s="526" t="s">
        <v>402</v>
      </c>
      <c r="D93" s="674">
        <v>162687</v>
      </c>
      <c r="E93" s="502">
        <f>0+táj.1!E93</f>
        <v>0</v>
      </c>
      <c r="F93" s="502">
        <f>3995000+táj.1!F93</f>
        <v>3995000</v>
      </c>
      <c r="G93" s="502">
        <f>0+táj.1!G93</f>
        <v>0</v>
      </c>
      <c r="H93" s="502">
        <f>2288640+táj.1!H93</f>
        <v>2288640</v>
      </c>
      <c r="I93" s="502">
        <f>0+táj.1!I93</f>
        <v>0</v>
      </c>
      <c r="J93" s="502">
        <f>0+táj.1!J93</f>
        <v>0</v>
      </c>
      <c r="K93" s="502">
        <f>0+táj.1!K93</f>
        <v>0</v>
      </c>
      <c r="L93" s="502">
        <f>0+táj.1!L93</f>
        <v>0</v>
      </c>
      <c r="M93" s="502">
        <f>727255+táj.1!M93</f>
        <v>727255</v>
      </c>
      <c r="N93" s="502">
        <f>3754190+táj.1!N93</f>
        <v>3754190</v>
      </c>
      <c r="O93" s="514">
        <f t="shared" si="5"/>
        <v>10765085</v>
      </c>
    </row>
    <row r="94" spans="1:15" s="158" customFormat="1" ht="29.25" customHeight="1" x14ac:dyDescent="0.2">
      <c r="A94" s="168"/>
      <c r="B94" s="168"/>
      <c r="C94" s="515" t="s">
        <v>403</v>
      </c>
      <c r="D94" s="674">
        <v>163702</v>
      </c>
      <c r="E94" s="502">
        <f>0+táj.1!E94</f>
        <v>0</v>
      </c>
      <c r="F94" s="502">
        <f>0+táj.1!F94</f>
        <v>0</v>
      </c>
      <c r="G94" s="502">
        <f>0+táj.1!G94</f>
        <v>0</v>
      </c>
      <c r="H94" s="502">
        <f>302994+táj.1!H94</f>
        <v>303929</v>
      </c>
      <c r="I94" s="502">
        <f>0+táj.1!I94</f>
        <v>0</v>
      </c>
      <c r="J94" s="502">
        <f>0+táj.1!J94</f>
        <v>0</v>
      </c>
      <c r="K94" s="502">
        <f>0+táj.1!K94</f>
        <v>0</v>
      </c>
      <c r="L94" s="502">
        <f>0+táj.1!L94</f>
        <v>0</v>
      </c>
      <c r="M94" s="502">
        <f>74260+táj.1!M94</f>
        <v>74260</v>
      </c>
      <c r="N94" s="502">
        <f>1199580+táj.1!N94</f>
        <v>1199580</v>
      </c>
      <c r="O94" s="514">
        <f t="shared" si="5"/>
        <v>1577769</v>
      </c>
    </row>
    <row r="95" spans="1:15" s="158" customFormat="1" ht="29.25" customHeight="1" x14ac:dyDescent="0.2">
      <c r="A95" s="168"/>
      <c r="B95" s="168"/>
      <c r="C95" s="515" t="s">
        <v>404</v>
      </c>
      <c r="D95" s="674">
        <v>162677</v>
      </c>
      <c r="E95" s="502">
        <f>0+táj.1!E95</f>
        <v>0</v>
      </c>
      <c r="F95" s="502">
        <f>0+táj.1!F95</f>
        <v>0</v>
      </c>
      <c r="G95" s="502">
        <f>0+táj.1!G95</f>
        <v>0</v>
      </c>
      <c r="H95" s="502">
        <f>0+táj.1!H95</f>
        <v>0</v>
      </c>
      <c r="I95" s="502">
        <f>0+táj.1!I95</f>
        <v>0</v>
      </c>
      <c r="J95" s="502">
        <f>0+táj.1!J95</f>
        <v>0</v>
      </c>
      <c r="K95" s="502">
        <f>0+táj.1!K95</f>
        <v>0</v>
      </c>
      <c r="L95" s="502">
        <f>0+táj.1!L95</f>
        <v>0</v>
      </c>
      <c r="M95" s="502">
        <f>65858+táj.1!M95</f>
        <v>65858</v>
      </c>
      <c r="N95" s="502">
        <f>0+táj.1!N95</f>
        <v>0</v>
      </c>
      <c r="O95" s="514">
        <f t="shared" si="5"/>
        <v>65858</v>
      </c>
    </row>
    <row r="96" spans="1:15" s="158" customFormat="1" ht="29.25" customHeight="1" x14ac:dyDescent="0.2">
      <c r="A96" s="168"/>
      <c r="B96" s="168"/>
      <c r="C96" s="515" t="s">
        <v>405</v>
      </c>
      <c r="D96" s="674">
        <v>163641</v>
      </c>
      <c r="E96" s="502">
        <f>0+táj.1!E96</f>
        <v>0</v>
      </c>
      <c r="F96" s="502">
        <f>0+táj.1!F96</f>
        <v>0</v>
      </c>
      <c r="G96" s="502">
        <f>0+táj.1!G96</f>
        <v>0</v>
      </c>
      <c r="H96" s="502">
        <f>0+táj.1!H96</f>
        <v>0</v>
      </c>
      <c r="I96" s="502">
        <f>0+táj.1!I96</f>
        <v>0</v>
      </c>
      <c r="J96" s="502">
        <f>0+táj.1!J96</f>
        <v>0</v>
      </c>
      <c r="K96" s="502">
        <f>0+táj.1!K96</f>
        <v>0</v>
      </c>
      <c r="L96" s="502">
        <f>0+táj.1!L96</f>
        <v>0</v>
      </c>
      <c r="M96" s="502">
        <f>255358+táj.1!M96</f>
        <v>255358</v>
      </c>
      <c r="N96" s="502">
        <f>0+táj.1!N96</f>
        <v>0</v>
      </c>
      <c r="O96" s="514">
        <f t="shared" si="5"/>
        <v>255358</v>
      </c>
    </row>
    <row r="97" spans="1:15" s="158" customFormat="1" ht="29.25" customHeight="1" x14ac:dyDescent="0.2">
      <c r="A97" s="168"/>
      <c r="B97" s="168"/>
      <c r="C97" s="527" t="s">
        <v>406</v>
      </c>
      <c r="D97" s="674">
        <v>163644</v>
      </c>
      <c r="E97" s="502">
        <f>0+táj.1!E97</f>
        <v>0</v>
      </c>
      <c r="F97" s="502">
        <f>0+táj.1!F97</f>
        <v>0</v>
      </c>
      <c r="G97" s="502">
        <f>0+táj.1!G97</f>
        <v>0</v>
      </c>
      <c r="H97" s="502">
        <f>0+táj.1!H97</f>
        <v>0</v>
      </c>
      <c r="I97" s="502">
        <f>0+táj.1!I97</f>
        <v>0</v>
      </c>
      <c r="J97" s="502">
        <f>0+táj.1!J97</f>
        <v>0</v>
      </c>
      <c r="K97" s="502">
        <f>0+táj.1!K97</f>
        <v>0</v>
      </c>
      <c r="L97" s="502">
        <f>0+táj.1!L97</f>
        <v>0</v>
      </c>
      <c r="M97" s="502">
        <f>713945+táj.1!M97</f>
        <v>713945</v>
      </c>
      <c r="N97" s="502">
        <f>0+táj.1!N97</f>
        <v>0</v>
      </c>
      <c r="O97" s="514">
        <f t="shared" si="5"/>
        <v>713945</v>
      </c>
    </row>
    <row r="98" spans="1:15" s="158" customFormat="1" ht="29.25" customHeight="1" x14ac:dyDescent="0.2">
      <c r="A98" s="168"/>
      <c r="B98" s="168"/>
      <c r="C98" s="515" t="s">
        <v>407</v>
      </c>
      <c r="D98" s="674">
        <v>163643</v>
      </c>
      <c r="E98" s="502">
        <f>0+táj.1!E98</f>
        <v>0</v>
      </c>
      <c r="F98" s="502">
        <f>0+táj.1!F98</f>
        <v>0</v>
      </c>
      <c r="G98" s="502">
        <f>0+táj.1!G98</f>
        <v>0</v>
      </c>
      <c r="H98" s="502">
        <f>0+táj.1!H98</f>
        <v>0</v>
      </c>
      <c r="I98" s="502">
        <f>0+táj.1!I98</f>
        <v>0</v>
      </c>
      <c r="J98" s="502">
        <f>0+táj.1!J98</f>
        <v>0</v>
      </c>
      <c r="K98" s="502">
        <f>0+táj.1!K98</f>
        <v>0</v>
      </c>
      <c r="L98" s="502">
        <f>0+táj.1!L98</f>
        <v>0</v>
      </c>
      <c r="M98" s="502">
        <f>4478+táj.1!M98</f>
        <v>4478</v>
      </c>
      <c r="N98" s="502">
        <f>0+táj.1!N98</f>
        <v>0</v>
      </c>
      <c r="O98" s="514">
        <f t="shared" si="5"/>
        <v>4478</v>
      </c>
    </row>
    <row r="99" spans="1:15" s="158" customFormat="1" ht="48" customHeight="1" x14ac:dyDescent="0.2">
      <c r="A99" s="168"/>
      <c r="B99" s="168"/>
      <c r="C99" s="515" t="s">
        <v>408</v>
      </c>
      <c r="D99" s="674">
        <v>163645</v>
      </c>
      <c r="E99" s="502">
        <f>0+táj.1!E99</f>
        <v>0</v>
      </c>
      <c r="F99" s="502">
        <f>0+táj.1!F99</f>
        <v>0</v>
      </c>
      <c r="G99" s="502">
        <f>0+táj.1!G99</f>
        <v>0</v>
      </c>
      <c r="H99" s="502">
        <f>0+táj.1!H99</f>
        <v>0</v>
      </c>
      <c r="I99" s="502">
        <f>0+táj.1!I99</f>
        <v>0</v>
      </c>
      <c r="J99" s="502">
        <f>0+táj.1!J99</f>
        <v>0</v>
      </c>
      <c r="K99" s="502">
        <f>0+táj.1!K99</f>
        <v>0</v>
      </c>
      <c r="L99" s="502">
        <f>0+táj.1!L99</f>
        <v>0</v>
      </c>
      <c r="M99" s="502">
        <f>19047+táj.1!M99</f>
        <v>19047</v>
      </c>
      <c r="N99" s="502">
        <f>0+táj.1!N99</f>
        <v>0</v>
      </c>
      <c r="O99" s="514">
        <f t="shared" si="5"/>
        <v>19047</v>
      </c>
    </row>
    <row r="100" spans="1:15" s="158" customFormat="1" ht="36.75" customHeight="1" x14ac:dyDescent="0.2">
      <c r="A100" s="168"/>
      <c r="B100" s="168"/>
      <c r="C100" s="528" t="s">
        <v>409</v>
      </c>
      <c r="D100" s="674">
        <v>182906</v>
      </c>
      <c r="E100" s="502">
        <f>0+táj.1!E100</f>
        <v>0</v>
      </c>
      <c r="F100" s="502">
        <f>0+táj.1!F100</f>
        <v>0</v>
      </c>
      <c r="G100" s="502">
        <f>0+táj.1!G100</f>
        <v>0</v>
      </c>
      <c r="H100" s="502">
        <f>0+táj.1!H100</f>
        <v>0</v>
      </c>
      <c r="I100" s="502">
        <f>0+táj.1!I100</f>
        <v>0</v>
      </c>
      <c r="J100" s="502">
        <f>0+táj.1!J100</f>
        <v>0</v>
      </c>
      <c r="K100" s="502">
        <f>0+táj.1!K100</f>
        <v>0</v>
      </c>
      <c r="L100" s="502">
        <f>0+táj.1!L100</f>
        <v>0</v>
      </c>
      <c r="M100" s="502">
        <f>29960+táj.1!M100</f>
        <v>29960</v>
      </c>
      <c r="N100" s="502">
        <f>0+táj.1!N100</f>
        <v>0</v>
      </c>
      <c r="O100" s="514">
        <f t="shared" si="5"/>
        <v>29960</v>
      </c>
    </row>
    <row r="101" spans="1:15" s="158" customFormat="1" ht="25.5" customHeight="1" x14ac:dyDescent="0.2">
      <c r="A101" s="168"/>
      <c r="B101" s="168"/>
      <c r="C101" s="529" t="s">
        <v>410</v>
      </c>
      <c r="D101" s="674">
        <v>162630</v>
      </c>
      <c r="E101" s="502">
        <f>0+táj.1!E101</f>
        <v>0</v>
      </c>
      <c r="F101" s="502">
        <f>75038+táj.1!F101</f>
        <v>75038</v>
      </c>
      <c r="G101" s="502">
        <f>0+táj.1!G101</f>
        <v>0</v>
      </c>
      <c r="H101" s="502">
        <f>0+táj.1!H101</f>
        <v>1594</v>
      </c>
      <c r="I101" s="502">
        <f>0+táj.1!I101</f>
        <v>0</v>
      </c>
      <c r="J101" s="502">
        <f>0+táj.1!J101</f>
        <v>0</v>
      </c>
      <c r="K101" s="502">
        <f>0+táj.1!K101</f>
        <v>0</v>
      </c>
      <c r="L101" s="502">
        <f>0+táj.1!L101</f>
        <v>0</v>
      </c>
      <c r="M101" s="502">
        <f>28051+táj.1!M101</f>
        <v>28051</v>
      </c>
      <c r="N101" s="502">
        <f>207500+táj.1!N101</f>
        <v>207500</v>
      </c>
      <c r="O101" s="514">
        <f t="shared" si="5"/>
        <v>312183</v>
      </c>
    </row>
    <row r="102" spans="1:15" s="158" customFormat="1" ht="20.25" customHeight="1" x14ac:dyDescent="0.2">
      <c r="A102" s="701"/>
      <c r="B102" s="701"/>
      <c r="C102" s="790" t="s">
        <v>1439</v>
      </c>
      <c r="D102" s="788">
        <v>162964</v>
      </c>
      <c r="E102" s="502">
        <f>0+táj.1!E102</f>
        <v>1511</v>
      </c>
      <c r="F102" s="502">
        <f>0+táj.1!F102</f>
        <v>5489</v>
      </c>
      <c r="G102" s="502">
        <f>0+táj.1!G102</f>
        <v>0</v>
      </c>
      <c r="H102" s="502">
        <f>0+táj.1!H102</f>
        <v>0</v>
      </c>
      <c r="I102" s="502">
        <f>0+táj.1!I102</f>
        <v>0</v>
      </c>
      <c r="J102" s="502">
        <f>0+táj.1!J102</f>
        <v>0</v>
      </c>
      <c r="K102" s="502">
        <f>1000+táj.1!K102</f>
        <v>1000</v>
      </c>
      <c r="L102" s="502">
        <f>0+táj.1!L102</f>
        <v>0</v>
      </c>
      <c r="M102" s="502">
        <f>0+táj.1!M102</f>
        <v>0</v>
      </c>
      <c r="N102" s="502">
        <f>0+táj.1!N102</f>
        <v>0</v>
      </c>
      <c r="O102" s="514">
        <f t="shared" si="5"/>
        <v>8000</v>
      </c>
    </row>
    <row r="103" spans="1:15" s="158" customFormat="1" ht="63.75" customHeight="1" x14ac:dyDescent="0.2">
      <c r="A103" s="833"/>
      <c r="B103" s="833"/>
      <c r="C103" s="909" t="s">
        <v>1503</v>
      </c>
      <c r="D103" s="970">
        <v>163649</v>
      </c>
      <c r="E103" s="502">
        <f>0+táj.1!E103</f>
        <v>0</v>
      </c>
      <c r="F103" s="502">
        <f>0+táj.1!F103</f>
        <v>0</v>
      </c>
      <c r="G103" s="502">
        <f>0+táj.1!G103</f>
        <v>0</v>
      </c>
      <c r="H103" s="502">
        <f>0+táj.1!H103</f>
        <v>0</v>
      </c>
      <c r="I103" s="502">
        <f>0+táj.1!I103</f>
        <v>0</v>
      </c>
      <c r="J103" s="502">
        <f>0+táj.1!J103</f>
        <v>0</v>
      </c>
      <c r="K103" s="502">
        <f>0+táj.1!K103</f>
        <v>0</v>
      </c>
      <c r="L103" s="502">
        <f>0+táj.1!L103</f>
        <v>0</v>
      </c>
      <c r="M103" s="502">
        <f>0+táj.1!M103</f>
        <v>0</v>
      </c>
      <c r="N103" s="502">
        <f>0+táj.1!N103</f>
        <v>163413</v>
      </c>
      <c r="O103" s="514">
        <f t="shared" si="5"/>
        <v>163413</v>
      </c>
    </row>
    <row r="104" spans="1:15" s="158" customFormat="1" ht="12.95" customHeight="1" x14ac:dyDescent="0.2">
      <c r="A104" s="174"/>
      <c r="B104" s="174"/>
      <c r="C104" s="530" t="s">
        <v>411</v>
      </c>
      <c r="D104" s="531"/>
      <c r="E104" s="532">
        <f>SUM(E51:E103)</f>
        <v>126896</v>
      </c>
      <c r="F104" s="532">
        <f t="shared" ref="F104:O104" si="6">SUM(F51:F103)</f>
        <v>9738496</v>
      </c>
      <c r="G104" s="532">
        <f t="shared" si="6"/>
        <v>0</v>
      </c>
      <c r="H104" s="532">
        <f t="shared" si="6"/>
        <v>4671800</v>
      </c>
      <c r="I104" s="532">
        <f t="shared" si="6"/>
        <v>0</v>
      </c>
      <c r="J104" s="532">
        <f t="shared" si="6"/>
        <v>0</v>
      </c>
      <c r="K104" s="532">
        <f t="shared" si="6"/>
        <v>1000</v>
      </c>
      <c r="L104" s="532">
        <f t="shared" si="6"/>
        <v>77188</v>
      </c>
      <c r="M104" s="532">
        <f t="shared" si="6"/>
        <v>15263430</v>
      </c>
      <c r="N104" s="532">
        <f t="shared" si="6"/>
        <v>8483413</v>
      </c>
      <c r="O104" s="532">
        <f t="shared" si="6"/>
        <v>38362223</v>
      </c>
    </row>
    <row r="105" spans="1:15" s="158" customFormat="1" ht="12.95" customHeight="1" x14ac:dyDescent="0.2">
      <c r="A105" s="168">
        <v>1</v>
      </c>
      <c r="B105" s="168">
        <v>17</v>
      </c>
      <c r="C105" s="533" t="s">
        <v>180</v>
      </c>
      <c r="D105" s="534"/>
      <c r="E105" s="514"/>
      <c r="F105" s="514"/>
      <c r="G105" s="514"/>
      <c r="H105" s="514"/>
      <c r="I105" s="514"/>
      <c r="J105" s="514"/>
      <c r="K105" s="514"/>
      <c r="L105" s="514"/>
      <c r="M105" s="514"/>
      <c r="N105" s="514"/>
      <c r="O105" s="514"/>
    </row>
    <row r="106" spans="1:15" s="158" customFormat="1" ht="24" customHeight="1" x14ac:dyDescent="0.2">
      <c r="A106" s="168"/>
      <c r="B106" s="168"/>
      <c r="C106" s="528" t="s">
        <v>369</v>
      </c>
      <c r="D106" s="535"/>
      <c r="E106" s="536"/>
      <c r="F106" s="514"/>
      <c r="G106" s="514"/>
      <c r="H106" s="514"/>
      <c r="I106" s="514"/>
      <c r="J106" s="514"/>
      <c r="K106" s="514"/>
      <c r="L106" s="514"/>
      <c r="M106" s="514"/>
      <c r="N106" s="514"/>
      <c r="O106" s="514"/>
    </row>
    <row r="107" spans="1:15" s="158" customFormat="1" ht="14.1" customHeight="1" x14ac:dyDescent="0.2">
      <c r="A107" s="168"/>
      <c r="B107" s="168"/>
      <c r="C107" s="537" t="s">
        <v>412</v>
      </c>
      <c r="D107" s="538">
        <v>171907</v>
      </c>
      <c r="E107" s="514">
        <f>0+táj.1!E107</f>
        <v>0</v>
      </c>
      <c r="F107" s="514">
        <f>0+táj.1!F107</f>
        <v>0</v>
      </c>
      <c r="G107" s="514">
        <f>0+táj.1!G107</f>
        <v>0</v>
      </c>
      <c r="H107" s="514">
        <f>0+táj.1!H107</f>
        <v>0</v>
      </c>
      <c r="I107" s="514">
        <f>76000+táj.1!I107</f>
        <v>76000</v>
      </c>
      <c r="J107" s="514">
        <f>0+táj.1!J107</f>
        <v>0</v>
      </c>
      <c r="K107" s="514">
        <f>0+táj.1!K107</f>
        <v>0</v>
      </c>
      <c r="L107" s="514">
        <f>0+táj.1!L107</f>
        <v>0</v>
      </c>
      <c r="M107" s="514">
        <f>0+táj.1!M107</f>
        <v>0</v>
      </c>
      <c r="N107" s="514">
        <f>0+táj.1!N107</f>
        <v>0</v>
      </c>
      <c r="O107" s="514">
        <f>SUM(E107:N107)</f>
        <v>76000</v>
      </c>
    </row>
    <row r="108" spans="1:15" s="158" customFormat="1" ht="25.5" customHeight="1" x14ac:dyDescent="0.2">
      <c r="A108" s="168"/>
      <c r="B108" s="168"/>
      <c r="C108" s="539" t="s">
        <v>413</v>
      </c>
      <c r="D108" s="540"/>
      <c r="E108" s="514"/>
      <c r="F108" s="514"/>
      <c r="G108" s="514"/>
      <c r="H108" s="514"/>
      <c r="I108" s="514"/>
      <c r="J108" s="514"/>
      <c r="K108" s="514"/>
      <c r="L108" s="514"/>
      <c r="M108" s="514"/>
      <c r="N108" s="514"/>
      <c r="O108" s="514"/>
    </row>
    <row r="109" spans="1:15" s="158" customFormat="1" ht="14.1" customHeight="1" x14ac:dyDescent="0.2">
      <c r="A109" s="168"/>
      <c r="B109" s="168"/>
      <c r="C109" s="541" t="s">
        <v>414</v>
      </c>
      <c r="D109" s="542">
        <v>171980</v>
      </c>
      <c r="E109" s="514">
        <f>0+táj.1!E109</f>
        <v>0</v>
      </c>
      <c r="F109" s="514">
        <f>0+táj.1!F109</f>
        <v>0</v>
      </c>
      <c r="G109" s="514">
        <f>0+táj.1!G109</f>
        <v>0</v>
      </c>
      <c r="H109" s="514">
        <f>38100+táj.1!H109</f>
        <v>44450</v>
      </c>
      <c r="I109" s="514">
        <f>0+táj.1!I109</f>
        <v>0</v>
      </c>
      <c r="J109" s="514">
        <f>0+táj.1!J109</f>
        <v>0</v>
      </c>
      <c r="K109" s="514">
        <f>0+táj.1!K109</f>
        <v>0</v>
      </c>
      <c r="L109" s="514">
        <f>0+táj.1!L109</f>
        <v>0</v>
      </c>
      <c r="M109" s="514">
        <f>0+táj.1!M109</f>
        <v>0</v>
      </c>
      <c r="N109" s="514">
        <f>0+táj.1!N109</f>
        <v>0</v>
      </c>
      <c r="O109" s="514">
        <f>SUM(E109:N109)</f>
        <v>44450</v>
      </c>
    </row>
    <row r="110" spans="1:15" s="158" customFormat="1" ht="26.25" customHeight="1" x14ac:dyDescent="0.2">
      <c r="A110" s="178"/>
      <c r="B110" s="178"/>
      <c r="C110" s="528" t="s">
        <v>369</v>
      </c>
      <c r="D110" s="535"/>
      <c r="E110" s="514"/>
      <c r="F110" s="514"/>
      <c r="G110" s="514"/>
      <c r="H110" s="514"/>
      <c r="I110" s="514"/>
      <c r="J110" s="514"/>
      <c r="K110" s="514"/>
      <c r="L110" s="514"/>
      <c r="M110" s="514"/>
      <c r="N110" s="514"/>
      <c r="O110" s="514"/>
    </row>
    <row r="111" spans="1:15" s="158" customFormat="1" ht="29.25" customHeight="1" x14ac:dyDescent="0.2">
      <c r="A111" s="168"/>
      <c r="B111" s="168"/>
      <c r="C111" s="543" t="s">
        <v>415</v>
      </c>
      <c r="D111" s="538">
        <v>171905</v>
      </c>
      <c r="E111" s="514">
        <f>0+táj.1!E111</f>
        <v>0</v>
      </c>
      <c r="F111" s="514">
        <f>0+táj.1!F111</f>
        <v>0</v>
      </c>
      <c r="G111" s="514">
        <f>0+táj.1!G111</f>
        <v>0</v>
      </c>
      <c r="H111" s="514">
        <f>71755+táj.1!H111</f>
        <v>71755</v>
      </c>
      <c r="I111" s="514">
        <f>0+táj.1!I111</f>
        <v>0</v>
      </c>
      <c r="J111" s="514">
        <f>0+táj.1!J111</f>
        <v>0</v>
      </c>
      <c r="K111" s="514">
        <f>0+táj.1!K111</f>
        <v>0</v>
      </c>
      <c r="L111" s="514">
        <f>0+táj.1!L111</f>
        <v>0</v>
      </c>
      <c r="M111" s="514">
        <f>0+táj.1!M111</f>
        <v>0</v>
      </c>
      <c r="N111" s="514">
        <f>0+táj.1!N111</f>
        <v>0</v>
      </c>
      <c r="O111" s="514">
        <f t="shared" ref="O111:O119" si="7">SUM(E111:N111)</f>
        <v>71755</v>
      </c>
    </row>
    <row r="112" spans="1:15" s="158" customFormat="1" ht="14.1" customHeight="1" x14ac:dyDescent="0.2">
      <c r="A112" s="159"/>
      <c r="B112" s="159"/>
      <c r="C112" s="544" t="s">
        <v>416</v>
      </c>
      <c r="D112" s="538">
        <v>171909</v>
      </c>
      <c r="E112" s="514">
        <f>0+táj.1!E112</f>
        <v>0</v>
      </c>
      <c r="F112" s="514">
        <f>0+táj.1!F112</f>
        <v>0</v>
      </c>
      <c r="G112" s="514">
        <f>0+táj.1!G112</f>
        <v>0</v>
      </c>
      <c r="H112" s="514">
        <f>3429+táj.1!H112</f>
        <v>3429</v>
      </c>
      <c r="I112" s="514">
        <f>0+táj.1!I112</f>
        <v>0</v>
      </c>
      <c r="J112" s="514">
        <f>0+táj.1!J112</f>
        <v>0</v>
      </c>
      <c r="K112" s="514">
        <f>0+táj.1!K112</f>
        <v>0</v>
      </c>
      <c r="L112" s="514">
        <f>0+táj.1!L112</f>
        <v>0</v>
      </c>
      <c r="M112" s="514">
        <f>0+táj.1!M112</f>
        <v>0</v>
      </c>
      <c r="N112" s="514">
        <f>0+táj.1!N112</f>
        <v>0</v>
      </c>
      <c r="O112" s="514">
        <f t="shared" si="7"/>
        <v>3429</v>
      </c>
    </row>
    <row r="113" spans="1:15" s="158" customFormat="1" ht="14.1" customHeight="1" x14ac:dyDescent="0.2">
      <c r="A113" s="159"/>
      <c r="B113" s="159"/>
      <c r="C113" s="544" t="s">
        <v>417</v>
      </c>
      <c r="D113" s="538">
        <v>171904</v>
      </c>
      <c r="E113" s="514">
        <f>0+táj.1!E113</f>
        <v>0</v>
      </c>
      <c r="F113" s="514">
        <f>0+táj.1!F113</f>
        <v>0</v>
      </c>
      <c r="G113" s="514">
        <f>0+táj.1!G113</f>
        <v>0</v>
      </c>
      <c r="H113" s="514">
        <f>2000+táj.1!H113</f>
        <v>2000</v>
      </c>
      <c r="I113" s="514">
        <f>0+táj.1!I113</f>
        <v>0</v>
      </c>
      <c r="J113" s="514">
        <f>0+táj.1!J113</f>
        <v>0</v>
      </c>
      <c r="K113" s="514">
        <f>0+táj.1!K113</f>
        <v>0</v>
      </c>
      <c r="L113" s="514">
        <f>0+táj.1!L113</f>
        <v>0</v>
      </c>
      <c r="M113" s="514">
        <f>0+táj.1!M113</f>
        <v>0</v>
      </c>
      <c r="N113" s="514">
        <f>0+táj.1!N113</f>
        <v>0</v>
      </c>
      <c r="O113" s="514">
        <f t="shared" si="7"/>
        <v>2000</v>
      </c>
    </row>
    <row r="114" spans="1:15" s="158" customFormat="1" ht="14.1" customHeight="1" x14ac:dyDescent="0.2">
      <c r="A114" s="159"/>
      <c r="B114" s="159"/>
      <c r="C114" s="544" t="s">
        <v>418</v>
      </c>
      <c r="D114" s="538">
        <v>172909</v>
      </c>
      <c r="E114" s="514">
        <f>0+táj.1!E114</f>
        <v>0</v>
      </c>
      <c r="F114" s="514">
        <f>0+táj.1!F114</f>
        <v>0</v>
      </c>
      <c r="G114" s="514">
        <f>0+táj.1!G114</f>
        <v>0</v>
      </c>
      <c r="H114" s="514">
        <f>110647+táj.1!H114</f>
        <v>110647</v>
      </c>
      <c r="I114" s="514">
        <f>0+táj.1!I114</f>
        <v>0</v>
      </c>
      <c r="J114" s="514">
        <f>0+táj.1!J114</f>
        <v>0</v>
      </c>
      <c r="K114" s="514">
        <f>0+táj.1!K114</f>
        <v>0</v>
      </c>
      <c r="L114" s="514">
        <f>0+táj.1!L114</f>
        <v>0</v>
      </c>
      <c r="M114" s="514">
        <f>0+táj.1!M114</f>
        <v>0</v>
      </c>
      <c r="N114" s="514">
        <f>0+táj.1!N114</f>
        <v>0</v>
      </c>
      <c r="O114" s="514">
        <f t="shared" si="7"/>
        <v>110647</v>
      </c>
    </row>
    <row r="115" spans="1:15" s="158" customFormat="1" ht="14.1" customHeight="1" x14ac:dyDescent="0.2">
      <c r="A115" s="159"/>
      <c r="B115" s="159"/>
      <c r="C115" s="544" t="s">
        <v>419</v>
      </c>
      <c r="D115" s="538">
        <v>162674</v>
      </c>
      <c r="E115" s="514">
        <f>0+táj.1!E115</f>
        <v>0</v>
      </c>
      <c r="F115" s="514">
        <f>0+táj.1!F115</f>
        <v>0</v>
      </c>
      <c r="G115" s="514">
        <f>0+táj.1!G115</f>
        <v>0</v>
      </c>
      <c r="H115" s="514">
        <f>15240+táj.1!H115</f>
        <v>15240</v>
      </c>
      <c r="I115" s="514">
        <f>0+táj.1!I115</f>
        <v>0</v>
      </c>
      <c r="J115" s="514">
        <f>0+táj.1!J115</f>
        <v>0</v>
      </c>
      <c r="K115" s="514">
        <f>0+táj.1!K115</f>
        <v>0</v>
      </c>
      <c r="L115" s="514">
        <f>0+táj.1!L115</f>
        <v>0</v>
      </c>
      <c r="M115" s="514">
        <f>0+táj.1!M115</f>
        <v>0</v>
      </c>
      <c r="N115" s="514">
        <f>0+táj.1!N115</f>
        <v>0</v>
      </c>
      <c r="O115" s="514">
        <f t="shared" si="7"/>
        <v>15240</v>
      </c>
    </row>
    <row r="116" spans="1:15" s="158" customFormat="1" ht="14.1" customHeight="1" x14ac:dyDescent="0.2">
      <c r="A116" s="159"/>
      <c r="B116" s="159"/>
      <c r="C116" s="544" t="s">
        <v>420</v>
      </c>
      <c r="D116" s="538">
        <v>172920</v>
      </c>
      <c r="E116" s="514">
        <f>0+táj.1!E116</f>
        <v>0</v>
      </c>
      <c r="F116" s="514">
        <f>0+táj.1!F116</f>
        <v>0</v>
      </c>
      <c r="G116" s="514">
        <f>0+táj.1!G116</f>
        <v>0</v>
      </c>
      <c r="H116" s="514">
        <f>11430+táj.1!H116</f>
        <v>13032</v>
      </c>
      <c r="I116" s="514">
        <f>0+táj.1!I116</f>
        <v>0</v>
      </c>
      <c r="J116" s="514">
        <f>0+táj.1!J116</f>
        <v>0</v>
      </c>
      <c r="K116" s="514">
        <f>0+táj.1!K116</f>
        <v>0</v>
      </c>
      <c r="L116" s="514">
        <f>0+táj.1!L116</f>
        <v>0</v>
      </c>
      <c r="M116" s="514">
        <f>0+táj.1!M116</f>
        <v>0</v>
      </c>
      <c r="N116" s="514">
        <f>0+táj.1!N116</f>
        <v>0</v>
      </c>
      <c r="O116" s="514">
        <f t="shared" si="7"/>
        <v>13032</v>
      </c>
    </row>
    <row r="117" spans="1:15" s="158" customFormat="1" ht="14.1" customHeight="1" x14ac:dyDescent="0.2">
      <c r="A117" s="159"/>
      <c r="B117" s="159"/>
      <c r="C117" s="544" t="s">
        <v>421</v>
      </c>
      <c r="D117" s="538">
        <v>172922</v>
      </c>
      <c r="E117" s="514">
        <f>0+táj.1!E117</f>
        <v>0</v>
      </c>
      <c r="F117" s="514">
        <f>0+táj.1!F117</f>
        <v>0</v>
      </c>
      <c r="G117" s="514">
        <f>0+táj.1!G117</f>
        <v>0</v>
      </c>
      <c r="H117" s="514">
        <f>40640+táj.1!H117</f>
        <v>40640</v>
      </c>
      <c r="I117" s="514">
        <f>0+táj.1!I117</f>
        <v>0</v>
      </c>
      <c r="J117" s="514">
        <f>0+táj.1!J117</f>
        <v>0</v>
      </c>
      <c r="K117" s="514">
        <f>0+táj.1!K117</f>
        <v>0</v>
      </c>
      <c r="L117" s="514">
        <f>0+táj.1!L117</f>
        <v>0</v>
      </c>
      <c r="M117" s="514">
        <f>0+táj.1!M117</f>
        <v>0</v>
      </c>
      <c r="N117" s="514">
        <f>0+táj.1!N117</f>
        <v>0</v>
      </c>
      <c r="O117" s="514">
        <f t="shared" si="7"/>
        <v>40640</v>
      </c>
    </row>
    <row r="118" spans="1:15" s="158" customFormat="1" ht="14.1" customHeight="1" x14ac:dyDescent="0.2">
      <c r="A118" s="159"/>
      <c r="B118" s="159"/>
      <c r="C118" s="544" t="s">
        <v>1431</v>
      </c>
      <c r="D118" s="792">
        <v>172925</v>
      </c>
      <c r="E118" s="514">
        <f>0+táj.1!E118</f>
        <v>0</v>
      </c>
      <c r="F118" s="514">
        <f>0+táj.1!F118</f>
        <v>0</v>
      </c>
      <c r="G118" s="514">
        <f>0+táj.1!G118</f>
        <v>0</v>
      </c>
      <c r="H118" s="514">
        <f>5715+táj.1!H118</f>
        <v>5715</v>
      </c>
      <c r="I118" s="514">
        <f>0+táj.1!I118</f>
        <v>0</v>
      </c>
      <c r="J118" s="514">
        <f>0+táj.1!J118</f>
        <v>0</v>
      </c>
      <c r="K118" s="514">
        <f>0+táj.1!K118</f>
        <v>0</v>
      </c>
      <c r="L118" s="514">
        <f>0+táj.1!L118</f>
        <v>0</v>
      </c>
      <c r="M118" s="514">
        <f>0+táj.1!M118</f>
        <v>0</v>
      </c>
      <c r="N118" s="514">
        <f>0+táj.1!N118</f>
        <v>0</v>
      </c>
      <c r="O118" s="514">
        <f t="shared" si="7"/>
        <v>5715</v>
      </c>
    </row>
    <row r="119" spans="1:15" s="158" customFormat="1" ht="14.1" customHeight="1" x14ac:dyDescent="0.2">
      <c r="A119" s="159"/>
      <c r="B119" s="159"/>
      <c r="C119" s="544" t="s">
        <v>1440</v>
      </c>
      <c r="D119" s="791">
        <v>172901</v>
      </c>
      <c r="E119" s="514">
        <f>0+táj.1!E119</f>
        <v>0</v>
      </c>
      <c r="F119" s="514">
        <f>0+táj.1!F119</f>
        <v>0</v>
      </c>
      <c r="G119" s="514">
        <f>0+táj.1!G119</f>
        <v>0</v>
      </c>
      <c r="H119" s="514">
        <f>0+táj.1!H119</f>
        <v>0</v>
      </c>
      <c r="I119" s="514">
        <f>2955+táj.1!I119</f>
        <v>8363</v>
      </c>
      <c r="J119" s="514">
        <f>0+táj.1!J119</f>
        <v>0</v>
      </c>
      <c r="K119" s="514">
        <f>0+táj.1!K119</f>
        <v>0</v>
      </c>
      <c r="L119" s="514">
        <f>0+táj.1!L119</f>
        <v>0</v>
      </c>
      <c r="M119" s="514">
        <f>0+táj.1!M119</f>
        <v>0</v>
      </c>
      <c r="N119" s="514">
        <f>0+táj.1!N119</f>
        <v>0</v>
      </c>
      <c r="O119" s="514">
        <f t="shared" si="7"/>
        <v>8363</v>
      </c>
    </row>
    <row r="120" spans="1:15" s="158" customFormat="1" ht="24.95" customHeight="1" x14ac:dyDescent="0.2">
      <c r="A120" s="159"/>
      <c r="B120" s="159"/>
      <c r="C120" s="545" t="s">
        <v>422</v>
      </c>
      <c r="D120" s="773"/>
      <c r="E120" s="514"/>
      <c r="F120" s="514"/>
      <c r="G120" s="514"/>
      <c r="H120" s="514"/>
      <c r="I120" s="514"/>
      <c r="J120" s="514"/>
      <c r="K120" s="514"/>
      <c r="L120" s="514"/>
      <c r="M120" s="514"/>
      <c r="N120" s="514"/>
      <c r="O120" s="514"/>
    </row>
    <row r="121" spans="1:15" s="158" customFormat="1" ht="15" customHeight="1" x14ac:dyDescent="0.2">
      <c r="A121" s="159"/>
      <c r="B121" s="159"/>
      <c r="C121" s="537" t="s">
        <v>423</v>
      </c>
      <c r="D121" s="538">
        <v>171901</v>
      </c>
      <c r="E121" s="514">
        <f>0+táj.1!E121</f>
        <v>0</v>
      </c>
      <c r="F121" s="514">
        <f>0+táj.1!F121</f>
        <v>0</v>
      </c>
      <c r="G121" s="514">
        <f>0+táj.1!G121</f>
        <v>0</v>
      </c>
      <c r="H121" s="514">
        <f>31115+táj.1!H121</f>
        <v>25400</v>
      </c>
      <c r="I121" s="514">
        <f>0+táj.1!I121</f>
        <v>0</v>
      </c>
      <c r="J121" s="514">
        <f>0+táj.1!J121</f>
        <v>0</v>
      </c>
      <c r="K121" s="514">
        <f>0+táj.1!K121</f>
        <v>0</v>
      </c>
      <c r="L121" s="514">
        <f>0+táj.1!L121</f>
        <v>0</v>
      </c>
      <c r="M121" s="514">
        <f>0+táj.1!M121</f>
        <v>0</v>
      </c>
      <c r="N121" s="514">
        <f>0+táj.1!N121</f>
        <v>0</v>
      </c>
      <c r="O121" s="514">
        <f>SUM(E121:N121)</f>
        <v>25400</v>
      </c>
    </row>
    <row r="122" spans="1:15" s="158" customFormat="1" ht="24.95" customHeight="1" x14ac:dyDescent="0.2">
      <c r="A122" s="168"/>
      <c r="B122" s="168"/>
      <c r="C122" s="546" t="s">
        <v>424</v>
      </c>
      <c r="D122" s="547"/>
      <c r="E122" s="514"/>
      <c r="F122" s="514"/>
      <c r="G122" s="514"/>
      <c r="H122" s="514"/>
      <c r="I122" s="514"/>
      <c r="J122" s="514"/>
      <c r="K122" s="514"/>
      <c r="L122" s="514"/>
      <c r="M122" s="514"/>
      <c r="N122" s="514"/>
      <c r="O122" s="514"/>
    </row>
    <row r="123" spans="1:15" s="158" customFormat="1" ht="28.5" customHeight="1" x14ac:dyDescent="0.2">
      <c r="A123" s="168"/>
      <c r="B123" s="168"/>
      <c r="C123" s="545" t="s">
        <v>425</v>
      </c>
      <c r="D123" s="548">
        <v>171908</v>
      </c>
      <c r="E123" s="514">
        <f>0+táj.1!E123</f>
        <v>0</v>
      </c>
      <c r="F123" s="514">
        <f>0+táj.1!F123</f>
        <v>0</v>
      </c>
      <c r="G123" s="514">
        <f>0+táj.1!G123</f>
        <v>0</v>
      </c>
      <c r="H123" s="514">
        <f>101600+táj.1!H123</f>
        <v>101600</v>
      </c>
      <c r="I123" s="514">
        <f>0+táj.1!I123</f>
        <v>0</v>
      </c>
      <c r="J123" s="514">
        <f>0+táj.1!J123</f>
        <v>0</v>
      </c>
      <c r="K123" s="514">
        <f>0+táj.1!K123</f>
        <v>0</v>
      </c>
      <c r="L123" s="514">
        <f>0+táj.1!L123</f>
        <v>0</v>
      </c>
      <c r="M123" s="514">
        <f>0+táj.1!M123</f>
        <v>0</v>
      </c>
      <c r="N123" s="514">
        <f>0+táj.1!N123</f>
        <v>0</v>
      </c>
      <c r="O123" s="514">
        <f>SUM(E123:N123)</f>
        <v>101600</v>
      </c>
    </row>
    <row r="124" spans="1:15" s="158" customFormat="1" ht="15.75" customHeight="1" x14ac:dyDescent="0.2">
      <c r="A124" s="168"/>
      <c r="B124" s="168"/>
      <c r="C124" s="549" t="s">
        <v>426</v>
      </c>
      <c r="D124" s="542"/>
      <c r="E124" s="514"/>
      <c r="F124" s="514"/>
      <c r="G124" s="514"/>
      <c r="H124" s="514"/>
      <c r="I124" s="514"/>
      <c r="J124" s="514"/>
      <c r="K124" s="514"/>
      <c r="L124" s="514"/>
      <c r="M124" s="514"/>
      <c r="N124" s="514"/>
      <c r="O124" s="514"/>
    </row>
    <row r="125" spans="1:15" s="158" customFormat="1" ht="15.75" customHeight="1" x14ac:dyDescent="0.2">
      <c r="A125" s="168"/>
      <c r="B125" s="168"/>
      <c r="C125" s="528" t="s">
        <v>427</v>
      </c>
      <c r="D125" s="535"/>
      <c r="E125" s="514"/>
      <c r="F125" s="514"/>
      <c r="G125" s="514"/>
      <c r="H125" s="514"/>
      <c r="I125" s="514"/>
      <c r="J125" s="514"/>
      <c r="K125" s="514"/>
      <c r="L125" s="514"/>
      <c r="M125" s="514"/>
      <c r="N125" s="514"/>
      <c r="O125" s="514"/>
    </row>
    <row r="126" spans="1:15" s="158" customFormat="1" ht="24.95" customHeight="1" x14ac:dyDescent="0.2">
      <c r="A126" s="168"/>
      <c r="B126" s="168"/>
      <c r="C126" s="569" t="s">
        <v>428</v>
      </c>
      <c r="D126" s="548">
        <v>121401</v>
      </c>
      <c r="E126" s="514">
        <f>0+táj.1!E126</f>
        <v>0</v>
      </c>
      <c r="F126" s="514">
        <f>0+táj.1!F126</f>
        <v>0</v>
      </c>
      <c r="G126" s="514">
        <f>0+táj.1!G126</f>
        <v>0</v>
      </c>
      <c r="H126" s="514">
        <f>0+táj.1!H126</f>
        <v>0</v>
      </c>
      <c r="I126" s="514">
        <f>0+táj.1!I126</f>
        <v>0</v>
      </c>
      <c r="J126" s="514">
        <f>0+táj.1!J126</f>
        <v>0</v>
      </c>
      <c r="K126" s="514">
        <f>3000+táj.1!K126</f>
        <v>3000</v>
      </c>
      <c r="L126" s="514">
        <f>0+táj.1!L126</f>
        <v>0</v>
      </c>
      <c r="M126" s="514">
        <f>0+táj.1!M126</f>
        <v>0</v>
      </c>
      <c r="N126" s="514">
        <f>0+táj.1!N126</f>
        <v>0</v>
      </c>
      <c r="O126" s="514">
        <f>SUM(E126:N126)</f>
        <v>3000</v>
      </c>
    </row>
    <row r="127" spans="1:15" s="158" customFormat="1" ht="24" customHeight="1" x14ac:dyDescent="0.2">
      <c r="A127" s="168"/>
      <c r="B127" s="168"/>
      <c r="C127" s="570" t="s">
        <v>429</v>
      </c>
      <c r="D127" s="551"/>
      <c r="E127" s="514"/>
      <c r="F127" s="514"/>
      <c r="G127" s="514"/>
      <c r="H127" s="514"/>
      <c r="I127" s="514"/>
      <c r="J127" s="514"/>
      <c r="K127" s="514"/>
      <c r="L127" s="514"/>
      <c r="M127" s="514"/>
      <c r="N127" s="514"/>
      <c r="O127" s="514"/>
    </row>
    <row r="128" spans="1:15" s="158" customFormat="1" ht="16.5" customHeight="1" x14ac:dyDescent="0.2">
      <c r="A128" s="168"/>
      <c r="B128" s="168"/>
      <c r="C128" s="571" t="s">
        <v>430</v>
      </c>
      <c r="D128" s="548">
        <v>176902</v>
      </c>
      <c r="E128" s="514">
        <f>0+táj.1!E128</f>
        <v>0</v>
      </c>
      <c r="F128" s="514">
        <f>0+táj.1!F128</f>
        <v>0</v>
      </c>
      <c r="G128" s="514">
        <f>0+táj.1!G128</f>
        <v>0</v>
      </c>
      <c r="H128" s="514">
        <f>0+táj.1!H128</f>
        <v>0</v>
      </c>
      <c r="I128" s="514">
        <f>0+táj.1!I128</f>
        <v>0</v>
      </c>
      <c r="J128" s="514">
        <f>0+táj.1!J128</f>
        <v>0</v>
      </c>
      <c r="K128" s="514">
        <f>0+táj.1!K128</f>
        <v>0</v>
      </c>
      <c r="L128" s="514">
        <f>0+táj.1!L128</f>
        <v>0</v>
      </c>
      <c r="M128" s="514">
        <f>120537+táj.1!M128</f>
        <v>120537</v>
      </c>
      <c r="N128" s="514">
        <f>117483+táj.1!N128</f>
        <v>117483</v>
      </c>
      <c r="O128" s="514">
        <f>SUM(E128:N128)</f>
        <v>238020</v>
      </c>
    </row>
    <row r="129" spans="1:15" s="158" customFormat="1" ht="12.6" customHeight="1" x14ac:dyDescent="0.2">
      <c r="A129" s="174"/>
      <c r="B129" s="174"/>
      <c r="C129" s="530" t="s">
        <v>431</v>
      </c>
      <c r="D129" s="531"/>
      <c r="E129" s="532">
        <f t="shared" ref="E129:O129" si="8">SUM(E105:E128)</f>
        <v>0</v>
      </c>
      <c r="F129" s="532">
        <f t="shared" si="8"/>
        <v>0</v>
      </c>
      <c r="G129" s="532">
        <f t="shared" si="8"/>
        <v>0</v>
      </c>
      <c r="H129" s="532">
        <f t="shared" si="8"/>
        <v>433908</v>
      </c>
      <c r="I129" s="532">
        <f t="shared" si="8"/>
        <v>84363</v>
      </c>
      <c r="J129" s="532">
        <f t="shared" si="8"/>
        <v>0</v>
      </c>
      <c r="K129" s="532">
        <f t="shared" si="8"/>
        <v>3000</v>
      </c>
      <c r="L129" s="532">
        <f t="shared" si="8"/>
        <v>0</v>
      </c>
      <c r="M129" s="532">
        <f t="shared" si="8"/>
        <v>120537</v>
      </c>
      <c r="N129" s="532">
        <f t="shared" si="8"/>
        <v>117483</v>
      </c>
      <c r="O129" s="532">
        <f t="shared" si="8"/>
        <v>759291</v>
      </c>
    </row>
    <row r="130" spans="1:15" s="158" customFormat="1" ht="12.6" customHeight="1" x14ac:dyDescent="0.2">
      <c r="A130" s="175">
        <v>1</v>
      </c>
      <c r="B130" s="175">
        <v>18</v>
      </c>
      <c r="C130" s="539" t="s">
        <v>432</v>
      </c>
      <c r="D130" s="540"/>
      <c r="E130" s="552"/>
      <c r="F130" s="552"/>
      <c r="G130" s="552"/>
      <c r="H130" s="552"/>
      <c r="I130" s="552"/>
      <c r="J130" s="552"/>
      <c r="K130" s="552"/>
      <c r="L130" s="552"/>
      <c r="M130" s="552"/>
      <c r="N130" s="552"/>
      <c r="O130" s="552"/>
    </row>
    <row r="131" spans="1:15" s="158" customFormat="1" ht="24.95" customHeight="1" x14ac:dyDescent="0.2">
      <c r="A131" s="168"/>
      <c r="B131" s="168"/>
      <c r="C131" s="528" t="s">
        <v>369</v>
      </c>
      <c r="D131" s="535"/>
      <c r="E131" s="513"/>
      <c r="F131" s="513"/>
      <c r="G131" s="513"/>
      <c r="H131" s="514"/>
      <c r="I131" s="514"/>
      <c r="J131" s="514"/>
      <c r="K131" s="514"/>
      <c r="L131" s="514"/>
      <c r="M131" s="514"/>
      <c r="N131" s="514"/>
      <c r="O131" s="514"/>
    </row>
    <row r="132" spans="1:15" s="158" customFormat="1" ht="24.95" customHeight="1" x14ac:dyDescent="0.2">
      <c r="A132" s="168"/>
      <c r="B132" s="168"/>
      <c r="C132" s="528" t="s">
        <v>433</v>
      </c>
      <c r="D132" s="535" t="s">
        <v>434</v>
      </c>
      <c r="E132" s="513">
        <f>0+táj.1!E132</f>
        <v>0</v>
      </c>
      <c r="F132" s="513">
        <f>0+táj.1!F132</f>
        <v>0</v>
      </c>
      <c r="G132" s="513">
        <f>0+táj.1!G132</f>
        <v>0</v>
      </c>
      <c r="H132" s="513">
        <f>25672+táj.1!H132</f>
        <v>25672</v>
      </c>
      <c r="I132" s="513">
        <f>0+táj.1!I132</f>
        <v>0</v>
      </c>
      <c r="J132" s="513">
        <f>0+táj.1!J132</f>
        <v>0</v>
      </c>
      <c r="K132" s="513">
        <f>0+táj.1!K132</f>
        <v>0</v>
      </c>
      <c r="L132" s="513">
        <f>0+táj.1!L132</f>
        <v>0</v>
      </c>
      <c r="M132" s="513">
        <f>0+táj.1!M132</f>
        <v>0</v>
      </c>
      <c r="N132" s="513">
        <f>0+táj.1!N132</f>
        <v>0</v>
      </c>
      <c r="O132" s="514">
        <f t="shared" ref="O132:O137" si="9">SUM(E132:N132)</f>
        <v>25672</v>
      </c>
    </row>
    <row r="133" spans="1:15" s="158" customFormat="1" ht="12.6" customHeight="1" x14ac:dyDescent="0.2">
      <c r="A133" s="168"/>
      <c r="B133" s="168"/>
      <c r="C133" s="539" t="s">
        <v>435</v>
      </c>
      <c r="D133" s="548">
        <v>181905</v>
      </c>
      <c r="E133" s="513">
        <f>0+táj.1!E133</f>
        <v>0</v>
      </c>
      <c r="F133" s="513">
        <f>0+táj.1!F133</f>
        <v>0</v>
      </c>
      <c r="G133" s="513">
        <f>0+táj.1!G133</f>
        <v>0</v>
      </c>
      <c r="H133" s="513">
        <f>17000+táj.1!H133</f>
        <v>17000</v>
      </c>
      <c r="I133" s="513">
        <f>0+táj.1!I133</f>
        <v>0</v>
      </c>
      <c r="J133" s="513">
        <f>0+táj.1!J133</f>
        <v>0</v>
      </c>
      <c r="K133" s="513">
        <f>0+táj.1!K133</f>
        <v>0</v>
      </c>
      <c r="L133" s="513">
        <f>0+táj.1!L133</f>
        <v>0</v>
      </c>
      <c r="M133" s="513">
        <f>0+táj.1!M133</f>
        <v>0</v>
      </c>
      <c r="N133" s="513">
        <f>0+táj.1!N133</f>
        <v>0</v>
      </c>
      <c r="O133" s="514">
        <f t="shared" si="9"/>
        <v>17000</v>
      </c>
    </row>
    <row r="134" spans="1:15" s="158" customFormat="1" ht="15" customHeight="1" x14ac:dyDescent="0.2">
      <c r="A134" s="168"/>
      <c r="B134" s="168"/>
      <c r="C134" s="528" t="s">
        <v>436</v>
      </c>
      <c r="D134" s="535">
        <v>181903</v>
      </c>
      <c r="E134" s="513">
        <f>0+táj.1!E134</f>
        <v>0</v>
      </c>
      <c r="F134" s="513">
        <f>0+táj.1!F134</f>
        <v>0</v>
      </c>
      <c r="G134" s="513">
        <f>3000+táj.1!G134</f>
        <v>3000</v>
      </c>
      <c r="H134" s="513">
        <f>0+táj.1!H134</f>
        <v>0</v>
      </c>
      <c r="I134" s="513">
        <f>0+táj.1!I134</f>
        <v>0</v>
      </c>
      <c r="J134" s="513">
        <f>0+táj.1!J134</f>
        <v>0</v>
      </c>
      <c r="K134" s="513">
        <f>0+táj.1!K134</f>
        <v>0</v>
      </c>
      <c r="L134" s="513">
        <f>0+táj.1!L134</f>
        <v>0</v>
      </c>
      <c r="M134" s="513">
        <f>0+táj.1!M134</f>
        <v>0</v>
      </c>
      <c r="N134" s="513">
        <f>0+táj.1!N134</f>
        <v>0</v>
      </c>
      <c r="O134" s="514">
        <f t="shared" si="9"/>
        <v>3000</v>
      </c>
    </row>
    <row r="135" spans="1:15" s="158" customFormat="1" ht="27.75" customHeight="1" x14ac:dyDescent="0.2">
      <c r="A135" s="168"/>
      <c r="B135" s="168"/>
      <c r="C135" s="528" t="s">
        <v>437</v>
      </c>
      <c r="D135" s="535">
        <v>181904</v>
      </c>
      <c r="E135" s="513">
        <f>0+táj.1!E135</f>
        <v>0</v>
      </c>
      <c r="F135" s="513">
        <f>0+táj.1!F135</f>
        <v>0</v>
      </c>
      <c r="G135" s="513">
        <f>0+táj.1!G135</f>
        <v>0</v>
      </c>
      <c r="H135" s="513">
        <f>200+táj.1!H135</f>
        <v>200</v>
      </c>
      <c r="I135" s="513">
        <f>0+táj.1!I135</f>
        <v>0</v>
      </c>
      <c r="J135" s="513">
        <f>0+táj.1!J135</f>
        <v>0</v>
      </c>
      <c r="K135" s="513">
        <f>0+táj.1!K135</f>
        <v>0</v>
      </c>
      <c r="L135" s="513">
        <f>0+táj.1!L135</f>
        <v>0</v>
      </c>
      <c r="M135" s="513">
        <f>0+táj.1!M135</f>
        <v>0</v>
      </c>
      <c r="N135" s="513">
        <f>0+táj.1!N135</f>
        <v>0</v>
      </c>
      <c r="O135" s="514">
        <f t="shared" si="9"/>
        <v>200</v>
      </c>
    </row>
    <row r="136" spans="1:15" s="158" customFormat="1" ht="15" customHeight="1" x14ac:dyDescent="0.2">
      <c r="A136" s="168" t="s">
        <v>121</v>
      </c>
      <c r="B136" s="168"/>
      <c r="C136" s="539" t="s">
        <v>438</v>
      </c>
      <c r="D136" s="548">
        <v>181902</v>
      </c>
      <c r="E136" s="513">
        <f>0+táj.1!E136</f>
        <v>0</v>
      </c>
      <c r="F136" s="513">
        <f>0+táj.1!F136</f>
        <v>0</v>
      </c>
      <c r="G136" s="513">
        <f>0+táj.1!G136</f>
        <v>0</v>
      </c>
      <c r="H136" s="513">
        <f>33020+táj.1!H136</f>
        <v>33020</v>
      </c>
      <c r="I136" s="513">
        <f>0+táj.1!I136</f>
        <v>0</v>
      </c>
      <c r="J136" s="513">
        <f>0+táj.1!J136</f>
        <v>0</v>
      </c>
      <c r="K136" s="513">
        <f>0+táj.1!K136</f>
        <v>0</v>
      </c>
      <c r="L136" s="513">
        <f>0+táj.1!L136</f>
        <v>0</v>
      </c>
      <c r="M136" s="513">
        <f>0+táj.1!M136</f>
        <v>0</v>
      </c>
      <c r="N136" s="513">
        <f>0+táj.1!N136</f>
        <v>0</v>
      </c>
      <c r="O136" s="514">
        <f t="shared" si="9"/>
        <v>33020</v>
      </c>
    </row>
    <row r="137" spans="1:15" s="158" customFormat="1" ht="24.75" customHeight="1" x14ac:dyDescent="0.2">
      <c r="A137" s="701"/>
      <c r="B137" s="701"/>
      <c r="C137" s="702" t="s">
        <v>1253</v>
      </c>
      <c r="D137" s="794">
        <v>181907</v>
      </c>
      <c r="E137" s="513">
        <f>0+táj.1!E137</f>
        <v>0</v>
      </c>
      <c r="F137" s="513">
        <f>0+táj.1!F137</f>
        <v>0</v>
      </c>
      <c r="G137" s="513">
        <f>0+táj.1!G137</f>
        <v>0</v>
      </c>
      <c r="H137" s="513">
        <f>256+táj.1!H137</f>
        <v>310</v>
      </c>
      <c r="I137" s="513">
        <f>0+táj.1!I137</f>
        <v>0</v>
      </c>
      <c r="J137" s="513">
        <f>0+táj.1!J137</f>
        <v>0</v>
      </c>
      <c r="K137" s="513">
        <f>0+táj.1!K137</f>
        <v>0</v>
      </c>
      <c r="L137" s="513">
        <f>0+táj.1!L137</f>
        <v>0</v>
      </c>
      <c r="M137" s="513">
        <f>0+táj.1!M137</f>
        <v>0</v>
      </c>
      <c r="N137" s="513">
        <f>0+táj.1!N137</f>
        <v>0</v>
      </c>
      <c r="O137" s="514">
        <f t="shared" si="9"/>
        <v>310</v>
      </c>
    </row>
    <row r="138" spans="1:15" s="158" customFormat="1" ht="14.25" customHeight="1" x14ac:dyDescent="0.2">
      <c r="A138" s="174"/>
      <c r="B138" s="174"/>
      <c r="C138" s="530" t="s">
        <v>439</v>
      </c>
      <c r="D138" s="531"/>
      <c r="E138" s="554">
        <f t="shared" ref="E138:O138" si="10">SUM(E132:E137)</f>
        <v>0</v>
      </c>
      <c r="F138" s="554">
        <f t="shared" si="10"/>
        <v>0</v>
      </c>
      <c r="G138" s="554">
        <f t="shared" si="10"/>
        <v>3000</v>
      </c>
      <c r="H138" s="554">
        <f t="shared" si="10"/>
        <v>76202</v>
      </c>
      <c r="I138" s="554">
        <f t="shared" si="10"/>
        <v>0</v>
      </c>
      <c r="J138" s="554">
        <f t="shared" si="10"/>
        <v>0</v>
      </c>
      <c r="K138" s="554">
        <f t="shared" si="10"/>
        <v>0</v>
      </c>
      <c r="L138" s="554">
        <f t="shared" si="10"/>
        <v>0</v>
      </c>
      <c r="M138" s="554">
        <f t="shared" si="10"/>
        <v>0</v>
      </c>
      <c r="N138" s="554">
        <f t="shared" si="10"/>
        <v>0</v>
      </c>
      <c r="O138" s="554">
        <f t="shared" si="10"/>
        <v>79202</v>
      </c>
    </row>
    <row r="139" spans="1:15" s="158" customFormat="1" ht="12.6" customHeight="1" x14ac:dyDescent="0.2">
      <c r="A139" s="168">
        <v>1</v>
      </c>
      <c r="B139" s="168">
        <v>19</v>
      </c>
      <c r="C139" s="533" t="s">
        <v>120</v>
      </c>
      <c r="D139" s="534"/>
      <c r="E139" s="514"/>
      <c r="F139" s="514"/>
      <c r="G139" s="514"/>
      <c r="H139" s="514"/>
      <c r="I139" s="514"/>
      <c r="J139" s="514"/>
      <c r="K139" s="514"/>
      <c r="L139" s="514"/>
      <c r="M139" s="514"/>
      <c r="N139" s="514"/>
      <c r="O139" s="514"/>
    </row>
    <row r="140" spans="1:15" s="158" customFormat="1" ht="26.25" customHeight="1" x14ac:dyDescent="0.2">
      <c r="A140" s="168"/>
      <c r="B140" s="168"/>
      <c r="C140" s="555" t="s">
        <v>440</v>
      </c>
      <c r="D140" s="547"/>
      <c r="E140" s="514"/>
      <c r="F140" s="556"/>
      <c r="G140" s="514"/>
      <c r="H140" s="514"/>
      <c r="I140" s="514"/>
      <c r="J140" s="514"/>
      <c r="K140" s="514"/>
      <c r="L140" s="514"/>
      <c r="M140" s="514"/>
      <c r="N140" s="514"/>
      <c r="O140" s="514"/>
    </row>
    <row r="141" spans="1:15" s="158" customFormat="1" ht="24.95" customHeight="1" x14ac:dyDescent="0.2">
      <c r="A141" s="168"/>
      <c r="B141" s="168"/>
      <c r="C141" s="539" t="s">
        <v>441</v>
      </c>
      <c r="D141" s="548">
        <v>196911</v>
      </c>
      <c r="E141" s="513">
        <f>0+táj.1!E141</f>
        <v>0</v>
      </c>
      <c r="F141" s="513">
        <f>0+táj.1!F141</f>
        <v>0</v>
      </c>
      <c r="G141" s="513">
        <f>0+táj.1!G141</f>
        <v>0</v>
      </c>
      <c r="H141" s="513">
        <f>0+táj.1!H141</f>
        <v>0</v>
      </c>
      <c r="I141" s="513">
        <f>0+táj.1!I141</f>
        <v>0</v>
      </c>
      <c r="J141" s="513">
        <f>0+táj.1!J141</f>
        <v>0</v>
      </c>
      <c r="K141" s="513">
        <f>0+táj.1!K141</f>
        <v>0</v>
      </c>
      <c r="L141" s="513">
        <f>17924+táj.1!L141</f>
        <v>72812</v>
      </c>
      <c r="M141" s="513">
        <f>0+táj.1!M141</f>
        <v>0</v>
      </c>
      <c r="N141" s="513">
        <f>0+táj.1!N141</f>
        <v>0</v>
      </c>
      <c r="O141" s="514">
        <f>SUM(E141:N141)</f>
        <v>72812</v>
      </c>
    </row>
    <row r="142" spans="1:15" s="158" customFormat="1" ht="24.95" customHeight="1" x14ac:dyDescent="0.2">
      <c r="A142" s="168"/>
      <c r="B142" s="168"/>
      <c r="C142" s="539" t="s">
        <v>333</v>
      </c>
      <c r="D142" s="551"/>
      <c r="E142" s="513"/>
      <c r="F142" s="513"/>
      <c r="G142" s="513"/>
      <c r="H142" s="513"/>
      <c r="I142" s="513"/>
      <c r="J142" s="513"/>
      <c r="K142" s="513"/>
      <c r="L142" s="513"/>
      <c r="M142" s="513"/>
      <c r="N142" s="513"/>
      <c r="O142" s="514"/>
    </row>
    <row r="143" spans="1:15" s="158" customFormat="1" ht="25.5" x14ac:dyDescent="0.2">
      <c r="A143" s="168" t="s">
        <v>121</v>
      </c>
      <c r="B143" s="168"/>
      <c r="C143" s="539" t="s">
        <v>442</v>
      </c>
      <c r="D143" s="538">
        <v>191102</v>
      </c>
      <c r="E143" s="513">
        <f>0+táj.1!E143</f>
        <v>0</v>
      </c>
      <c r="F143" s="513">
        <f>0+táj.1!F143</f>
        <v>0</v>
      </c>
      <c r="G143" s="513">
        <f>0+táj.1!G143</f>
        <v>0</v>
      </c>
      <c r="H143" s="513">
        <f>3000+táj.1!H143</f>
        <v>3000</v>
      </c>
      <c r="I143" s="513">
        <f>0+táj.1!I143</f>
        <v>0</v>
      </c>
      <c r="J143" s="513">
        <f>0+táj.1!J143</f>
        <v>0</v>
      </c>
      <c r="K143" s="513">
        <f>0+táj.1!K143</f>
        <v>0</v>
      </c>
      <c r="L143" s="513">
        <f>0+táj.1!L143</f>
        <v>0</v>
      </c>
      <c r="M143" s="513">
        <f>0+táj.1!M143</f>
        <v>0</v>
      </c>
      <c r="N143" s="513">
        <f>0+táj.1!N143</f>
        <v>0</v>
      </c>
      <c r="O143" s="514">
        <f t="shared" ref="O143:O149" si="11">SUM(E143:N143)</f>
        <v>3000</v>
      </c>
    </row>
    <row r="144" spans="1:15" s="158" customFormat="1" ht="17.25" customHeight="1" x14ac:dyDescent="0.2">
      <c r="A144" s="168"/>
      <c r="B144" s="168"/>
      <c r="C144" s="537" t="s">
        <v>443</v>
      </c>
      <c r="D144" s="538">
        <v>191103</v>
      </c>
      <c r="E144" s="513">
        <f>0+táj.1!E144</f>
        <v>0</v>
      </c>
      <c r="F144" s="513">
        <f>0+táj.1!F144</f>
        <v>0</v>
      </c>
      <c r="G144" s="513">
        <f>0+táj.1!G144</f>
        <v>0</v>
      </c>
      <c r="H144" s="513">
        <f>111806+táj.1!H144</f>
        <v>118516</v>
      </c>
      <c r="I144" s="513">
        <f>0+táj.1!I144</f>
        <v>0</v>
      </c>
      <c r="J144" s="513">
        <f>0+táj.1!J144</f>
        <v>0</v>
      </c>
      <c r="K144" s="513">
        <f>0+táj.1!K144</f>
        <v>0</v>
      </c>
      <c r="L144" s="513">
        <f>0+táj.1!L144</f>
        <v>0</v>
      </c>
      <c r="M144" s="513">
        <f>0+táj.1!M144</f>
        <v>0</v>
      </c>
      <c r="N144" s="513">
        <f>0+táj.1!N144</f>
        <v>0</v>
      </c>
      <c r="O144" s="514">
        <f t="shared" si="11"/>
        <v>118516</v>
      </c>
    </row>
    <row r="145" spans="1:15" s="158" customFormat="1" ht="17.25" customHeight="1" x14ac:dyDescent="0.2">
      <c r="A145" s="701"/>
      <c r="B145" s="701"/>
      <c r="C145" s="795" t="s">
        <v>1441</v>
      </c>
      <c r="D145" s="796">
        <v>191116</v>
      </c>
      <c r="E145" s="513">
        <f>128505+táj.1!E145</f>
        <v>128505</v>
      </c>
      <c r="F145" s="513">
        <f>0+táj.1!F145</f>
        <v>0</v>
      </c>
      <c r="G145" s="513">
        <f>0+táj.1!G145</f>
        <v>0</v>
      </c>
      <c r="H145" s="513">
        <f>0+táj.1!H145</f>
        <v>0</v>
      </c>
      <c r="I145" s="513">
        <f>0+táj.1!I145</f>
        <v>0</v>
      </c>
      <c r="J145" s="513">
        <f>0+táj.1!J145</f>
        <v>0</v>
      </c>
      <c r="K145" s="513">
        <f>0+táj.1!K145</f>
        <v>0</v>
      </c>
      <c r="L145" s="513">
        <f>0+táj.1!L145</f>
        <v>0</v>
      </c>
      <c r="M145" s="513">
        <f>0+táj.1!M145</f>
        <v>0</v>
      </c>
      <c r="N145" s="513">
        <f>0+táj.1!N145</f>
        <v>0</v>
      </c>
      <c r="O145" s="514">
        <f t="shared" si="11"/>
        <v>128505</v>
      </c>
    </row>
    <row r="146" spans="1:15" s="158" customFormat="1" ht="24.75" customHeight="1" x14ac:dyDescent="0.2">
      <c r="A146" s="701"/>
      <c r="B146" s="701"/>
      <c r="C146" s="797" t="s">
        <v>1442</v>
      </c>
      <c r="D146" s="818">
        <v>191132</v>
      </c>
      <c r="E146" s="513">
        <f>12270+táj.1!E146</f>
        <v>12270</v>
      </c>
      <c r="F146" s="513">
        <f>0+táj.1!F146</f>
        <v>0</v>
      </c>
      <c r="G146" s="513">
        <f>0+táj.1!G146</f>
        <v>0</v>
      </c>
      <c r="H146" s="513">
        <f>0+táj.1!H146</f>
        <v>0</v>
      </c>
      <c r="I146" s="513">
        <f>0+táj.1!I146</f>
        <v>0</v>
      </c>
      <c r="J146" s="513">
        <f>0+táj.1!J146</f>
        <v>0</v>
      </c>
      <c r="K146" s="513">
        <f>0+táj.1!K146</f>
        <v>0</v>
      </c>
      <c r="L146" s="513">
        <f>0+táj.1!L146</f>
        <v>0</v>
      </c>
      <c r="M146" s="513">
        <f>0+táj.1!M146</f>
        <v>0</v>
      </c>
      <c r="N146" s="513">
        <f>0+táj.1!N146</f>
        <v>0</v>
      </c>
      <c r="O146" s="514">
        <f t="shared" si="11"/>
        <v>12270</v>
      </c>
    </row>
    <row r="147" spans="1:15" s="158" customFormat="1" ht="23.25" customHeight="1" x14ac:dyDescent="0.2">
      <c r="A147" s="833"/>
      <c r="B147" s="833"/>
      <c r="C147" s="872" t="s">
        <v>1485</v>
      </c>
      <c r="D147" s="844">
        <v>192909</v>
      </c>
      <c r="E147" s="513">
        <f>0+táj.1!E147</f>
        <v>0</v>
      </c>
      <c r="F147" s="513">
        <f>0+táj.1!F147</f>
        <v>0</v>
      </c>
      <c r="G147" s="513">
        <f>0+táj.1!G147</f>
        <v>0</v>
      </c>
      <c r="H147" s="513">
        <f>0+táj.1!H147</f>
        <v>0</v>
      </c>
      <c r="I147" s="513">
        <f>0+táj.1!I147</f>
        <v>0</v>
      </c>
      <c r="J147" s="513">
        <f>0+táj.1!J147</f>
        <v>0</v>
      </c>
      <c r="K147" s="513">
        <f>0+táj.1!K147</f>
        <v>500</v>
      </c>
      <c r="L147" s="513">
        <f>0+táj.1!L147</f>
        <v>0</v>
      </c>
      <c r="M147" s="513">
        <f>0+táj.1!M147</f>
        <v>0</v>
      </c>
      <c r="N147" s="513">
        <f>0+táj.1!N147</f>
        <v>0</v>
      </c>
      <c r="O147" s="514">
        <f t="shared" si="11"/>
        <v>500</v>
      </c>
    </row>
    <row r="148" spans="1:15" s="158" customFormat="1" ht="16.5" customHeight="1" x14ac:dyDescent="0.2">
      <c r="A148" s="168"/>
      <c r="B148" s="168"/>
      <c r="C148" s="537" t="s">
        <v>444</v>
      </c>
      <c r="D148" s="650">
        <v>196919</v>
      </c>
      <c r="E148" s="513">
        <f>0+táj.1!E148</f>
        <v>0</v>
      </c>
      <c r="F148" s="513">
        <f>0+táj.1!F148</f>
        <v>0</v>
      </c>
      <c r="G148" s="513">
        <f>0+táj.1!G148</f>
        <v>0</v>
      </c>
      <c r="H148" s="513">
        <f>0+táj.1!H148</f>
        <v>0</v>
      </c>
      <c r="I148" s="513">
        <f>0+táj.1!I148</f>
        <v>0</v>
      </c>
      <c r="J148" s="513">
        <f>0+táj.1!J148</f>
        <v>0</v>
      </c>
      <c r="K148" s="513">
        <f>0+táj.1!K148</f>
        <v>0</v>
      </c>
      <c r="L148" s="513">
        <f>0+táj.1!L148</f>
        <v>0</v>
      </c>
      <c r="M148" s="513">
        <f>0+táj.1!M148</f>
        <v>0</v>
      </c>
      <c r="N148" s="513">
        <f>12200000+táj.1!N148</f>
        <v>12000000</v>
      </c>
      <c r="O148" s="514">
        <f t="shared" si="11"/>
        <v>12000000</v>
      </c>
    </row>
    <row r="149" spans="1:15" s="158" customFormat="1" ht="25.5" x14ac:dyDescent="0.2">
      <c r="A149" s="168"/>
      <c r="B149" s="168"/>
      <c r="C149" s="539" t="s">
        <v>1356</v>
      </c>
      <c r="D149" s="548">
        <v>191196</v>
      </c>
      <c r="E149" s="513">
        <f>0+táj.1!E149</f>
        <v>0</v>
      </c>
      <c r="F149" s="513">
        <f>0+táj.1!F149</f>
        <v>0</v>
      </c>
      <c r="G149" s="513">
        <f>0+táj.1!G149</f>
        <v>0</v>
      </c>
      <c r="H149" s="513">
        <f>0+táj.1!H149</f>
        <v>0</v>
      </c>
      <c r="I149" s="513">
        <f>0+táj.1!I149</f>
        <v>0</v>
      </c>
      <c r="J149" s="513">
        <f>0+táj.1!J149</f>
        <v>0</v>
      </c>
      <c r="K149" s="513">
        <f>0+táj.1!K149</f>
        <v>0</v>
      </c>
      <c r="L149" s="513">
        <f>0+táj.1!L149</f>
        <v>0</v>
      </c>
      <c r="M149" s="513">
        <f>1332263+táj.1!M149</f>
        <v>1332263</v>
      </c>
      <c r="N149" s="513">
        <f>250000+táj.1!N149</f>
        <v>519448</v>
      </c>
      <c r="O149" s="514">
        <f t="shared" si="11"/>
        <v>1851711</v>
      </c>
    </row>
    <row r="150" spans="1:15" s="158" customFormat="1" ht="24.95" customHeight="1" x14ac:dyDescent="0.2">
      <c r="A150" s="168"/>
      <c r="B150" s="168"/>
      <c r="C150" s="539" t="s">
        <v>445</v>
      </c>
      <c r="D150" s="540"/>
      <c r="E150" s="513"/>
      <c r="F150" s="513"/>
      <c r="G150" s="513"/>
      <c r="H150" s="513"/>
      <c r="I150" s="513"/>
      <c r="J150" s="513"/>
      <c r="K150" s="513"/>
      <c r="L150" s="513"/>
      <c r="M150" s="513"/>
      <c r="N150" s="513"/>
      <c r="O150" s="514"/>
    </row>
    <row r="151" spans="1:15" s="158" customFormat="1" ht="25.5" x14ac:dyDescent="0.2">
      <c r="A151" s="168"/>
      <c r="B151" s="168"/>
      <c r="C151" s="528" t="s">
        <v>446</v>
      </c>
      <c r="D151" s="535">
        <v>191901</v>
      </c>
      <c r="E151" s="513">
        <f>113739+táj.1!E151</f>
        <v>119371</v>
      </c>
      <c r="F151" s="513">
        <f>0+táj.1!F151</f>
        <v>0</v>
      </c>
      <c r="G151" s="513">
        <f>0+táj.1!G151</f>
        <v>0</v>
      </c>
      <c r="H151" s="513">
        <f>0+táj.1!H151</f>
        <v>0</v>
      </c>
      <c r="I151" s="513">
        <f>0+táj.1!I151</f>
        <v>0</v>
      </c>
      <c r="J151" s="513">
        <f>0+táj.1!J151</f>
        <v>0</v>
      </c>
      <c r="K151" s="513">
        <f>0+táj.1!K151</f>
        <v>0</v>
      </c>
      <c r="L151" s="513">
        <f>0+táj.1!L151</f>
        <v>0</v>
      </c>
      <c r="M151" s="513">
        <f>0+táj.1!M151</f>
        <v>0</v>
      </c>
      <c r="N151" s="513">
        <f>0+táj.1!N151</f>
        <v>0</v>
      </c>
      <c r="O151" s="514">
        <f t="shared" ref="O151:O160" si="12">SUM(E151:N151)</f>
        <v>119371</v>
      </c>
    </row>
    <row r="152" spans="1:15" s="158" customFormat="1" ht="25.5" x14ac:dyDescent="0.2">
      <c r="A152" s="168"/>
      <c r="B152" s="168"/>
      <c r="C152" s="528" t="s">
        <v>447</v>
      </c>
      <c r="D152" s="535">
        <v>191901</v>
      </c>
      <c r="E152" s="513">
        <f>1028163+táj.1!E152</f>
        <v>1108170</v>
      </c>
      <c r="F152" s="513">
        <f>0+táj.1!F152</f>
        <v>0</v>
      </c>
      <c r="G152" s="513">
        <f>0+táj.1!G152</f>
        <v>0</v>
      </c>
      <c r="H152" s="513">
        <f>0+táj.1!H152</f>
        <v>0</v>
      </c>
      <c r="I152" s="513">
        <f>0+táj.1!I152</f>
        <v>0</v>
      </c>
      <c r="J152" s="513">
        <f>0+táj.1!J152</f>
        <v>0</v>
      </c>
      <c r="K152" s="513">
        <f>0+táj.1!K152</f>
        <v>0</v>
      </c>
      <c r="L152" s="513">
        <f>0+táj.1!L152</f>
        <v>0</v>
      </c>
      <c r="M152" s="513">
        <f>0+táj.1!M152</f>
        <v>0</v>
      </c>
      <c r="N152" s="513">
        <f>0+táj.1!N152</f>
        <v>0</v>
      </c>
      <c r="O152" s="514">
        <f t="shared" si="12"/>
        <v>1108170</v>
      </c>
    </row>
    <row r="153" spans="1:15" s="158" customFormat="1" ht="24" customHeight="1" x14ac:dyDescent="0.2">
      <c r="A153" s="168"/>
      <c r="B153" s="168"/>
      <c r="C153" s="528" t="s">
        <v>448</v>
      </c>
      <c r="D153" s="535">
        <v>191901</v>
      </c>
      <c r="E153" s="513">
        <f>1321178+táj.1!E153</f>
        <v>1296154</v>
      </c>
      <c r="F153" s="513">
        <f>0+táj.1!F153</f>
        <v>0</v>
      </c>
      <c r="G153" s="513">
        <f>0+táj.1!G153</f>
        <v>0</v>
      </c>
      <c r="H153" s="513">
        <f>0+táj.1!H153</f>
        <v>0</v>
      </c>
      <c r="I153" s="513">
        <f>0+táj.1!I153</f>
        <v>0</v>
      </c>
      <c r="J153" s="513">
        <f>0+táj.1!J153</f>
        <v>0</v>
      </c>
      <c r="K153" s="513">
        <f>0+táj.1!K153</f>
        <v>0</v>
      </c>
      <c r="L153" s="513">
        <f>0+táj.1!L153</f>
        <v>0</v>
      </c>
      <c r="M153" s="513">
        <f>0+táj.1!M153</f>
        <v>0</v>
      </c>
      <c r="N153" s="513">
        <f>0+táj.1!N153</f>
        <v>0</v>
      </c>
      <c r="O153" s="514">
        <f t="shared" si="12"/>
        <v>1296154</v>
      </c>
    </row>
    <row r="154" spans="1:15" s="158" customFormat="1" ht="24" customHeight="1" x14ac:dyDescent="0.2">
      <c r="A154" s="168"/>
      <c r="B154" s="168"/>
      <c r="C154" s="528" t="s">
        <v>449</v>
      </c>
      <c r="D154" s="535">
        <v>191901</v>
      </c>
      <c r="E154" s="513">
        <f>475449+táj.1!E154</f>
        <v>500814</v>
      </c>
      <c r="F154" s="513">
        <f>0+táj.1!F154</f>
        <v>0</v>
      </c>
      <c r="G154" s="513">
        <f>0+táj.1!G154</f>
        <v>0</v>
      </c>
      <c r="H154" s="513">
        <f>0+táj.1!H154</f>
        <v>0</v>
      </c>
      <c r="I154" s="513">
        <f>0+táj.1!I154</f>
        <v>0</v>
      </c>
      <c r="J154" s="513">
        <f>0+táj.1!J154</f>
        <v>0</v>
      </c>
      <c r="K154" s="513">
        <f>0+táj.1!K154</f>
        <v>0</v>
      </c>
      <c r="L154" s="513">
        <f>0+táj.1!L154</f>
        <v>0</v>
      </c>
      <c r="M154" s="513">
        <f>0+táj.1!M154</f>
        <v>0</v>
      </c>
      <c r="N154" s="513">
        <f>0+táj.1!N154</f>
        <v>0</v>
      </c>
      <c r="O154" s="514">
        <f t="shared" si="12"/>
        <v>500814</v>
      </c>
    </row>
    <row r="155" spans="1:15" s="158" customFormat="1" ht="22.5" customHeight="1" x14ac:dyDescent="0.2">
      <c r="A155" s="168"/>
      <c r="B155" s="168"/>
      <c r="C155" s="528" t="s">
        <v>1361</v>
      </c>
      <c r="D155" s="535">
        <v>191901</v>
      </c>
      <c r="E155" s="513">
        <f>353500+táj.1!E155</f>
        <v>353500</v>
      </c>
      <c r="F155" s="513">
        <f>0+táj.1!F155</f>
        <v>0</v>
      </c>
      <c r="G155" s="513">
        <f>0+táj.1!G155</f>
        <v>0</v>
      </c>
      <c r="H155" s="513">
        <f>0+táj.1!H155</f>
        <v>0</v>
      </c>
      <c r="I155" s="513">
        <f>0+táj.1!I155</f>
        <v>0</v>
      </c>
      <c r="J155" s="513">
        <f>0+táj.1!J155</f>
        <v>0</v>
      </c>
      <c r="K155" s="513">
        <f>0+táj.1!K155</f>
        <v>0</v>
      </c>
      <c r="L155" s="513">
        <f>0+táj.1!L155</f>
        <v>0</v>
      </c>
      <c r="M155" s="513">
        <f>0+táj.1!M155</f>
        <v>0</v>
      </c>
      <c r="N155" s="513">
        <f>0+táj.1!N155</f>
        <v>0</v>
      </c>
      <c r="O155" s="514">
        <f t="shared" si="12"/>
        <v>353500</v>
      </c>
    </row>
    <row r="156" spans="1:15" s="158" customFormat="1" ht="22.5" customHeight="1" x14ac:dyDescent="0.2">
      <c r="A156" s="701"/>
      <c r="B156" s="701"/>
      <c r="C156" s="798" t="s">
        <v>1443</v>
      </c>
      <c r="D156" s="799">
        <v>191901</v>
      </c>
      <c r="E156" s="513">
        <f>12679+táj.1!E156</f>
        <v>12679</v>
      </c>
      <c r="F156" s="513">
        <f>0+táj.1!F156</f>
        <v>0</v>
      </c>
      <c r="G156" s="513">
        <f>0+táj.1!G156</f>
        <v>0</v>
      </c>
      <c r="H156" s="513">
        <f>0+táj.1!H156</f>
        <v>0</v>
      </c>
      <c r="I156" s="513">
        <f>0+táj.1!I156</f>
        <v>0</v>
      </c>
      <c r="J156" s="513">
        <f>0+táj.1!J156</f>
        <v>0</v>
      </c>
      <c r="K156" s="513">
        <f>0+táj.1!K156</f>
        <v>0</v>
      </c>
      <c r="L156" s="513">
        <f>0+táj.1!L156</f>
        <v>0</v>
      </c>
      <c r="M156" s="513">
        <f>0+táj.1!M156</f>
        <v>0</v>
      </c>
      <c r="N156" s="513">
        <f>0+táj.1!N156</f>
        <v>0</v>
      </c>
      <c r="O156" s="514">
        <f t="shared" si="12"/>
        <v>12679</v>
      </c>
    </row>
    <row r="157" spans="1:15" s="158" customFormat="1" ht="18.75" customHeight="1" x14ac:dyDescent="0.2">
      <c r="A157" s="168"/>
      <c r="B157" s="168"/>
      <c r="C157" s="528" t="s">
        <v>450</v>
      </c>
      <c r="D157" s="535">
        <v>191901</v>
      </c>
      <c r="E157" s="513">
        <f>0+táj.1!E157</f>
        <v>0</v>
      </c>
      <c r="F157" s="513">
        <f>0+táj.1!F157</f>
        <v>0</v>
      </c>
      <c r="G157" s="513">
        <f>0+táj.1!G157</f>
        <v>0</v>
      </c>
      <c r="H157" s="513">
        <f>0+táj.1!H157</f>
        <v>0</v>
      </c>
      <c r="I157" s="513">
        <f>0+táj.1!I157</f>
        <v>0</v>
      </c>
      <c r="J157" s="513">
        <f>0+táj.1!J157</f>
        <v>0</v>
      </c>
      <c r="K157" s="513">
        <f>0+táj.1!K157</f>
        <v>0</v>
      </c>
      <c r="L157" s="513">
        <f>0+táj.1!L157</f>
        <v>0</v>
      </c>
      <c r="M157" s="513">
        <f>0+táj.1!M157</f>
        <v>0</v>
      </c>
      <c r="N157" s="513">
        <f>0+táj.1!N157</f>
        <v>0</v>
      </c>
      <c r="O157" s="514">
        <f t="shared" si="12"/>
        <v>0</v>
      </c>
    </row>
    <row r="158" spans="1:15" s="158" customFormat="1" ht="24.75" customHeight="1" x14ac:dyDescent="0.2">
      <c r="A158" s="701"/>
      <c r="B158" s="701"/>
      <c r="C158" s="702" t="s">
        <v>1409</v>
      </c>
      <c r="D158" s="703">
        <v>191901</v>
      </c>
      <c r="E158" s="513">
        <f>0+táj.1!E158</f>
        <v>0</v>
      </c>
      <c r="F158" s="513">
        <f>0+táj.1!F158</f>
        <v>0</v>
      </c>
      <c r="G158" s="513">
        <f>0+táj.1!G158</f>
        <v>0</v>
      </c>
      <c r="H158" s="513">
        <f>0+táj.1!H158</f>
        <v>0</v>
      </c>
      <c r="I158" s="513">
        <f>0+táj.1!I158</f>
        <v>0</v>
      </c>
      <c r="J158" s="513">
        <f>0+táj.1!J158</f>
        <v>0</v>
      </c>
      <c r="K158" s="513">
        <f>0+táj.1!K158</f>
        <v>0</v>
      </c>
      <c r="L158" s="513">
        <f>0+táj.1!L158</f>
        <v>0</v>
      </c>
      <c r="M158" s="513">
        <f>0+táj.1!M158</f>
        <v>0</v>
      </c>
      <c r="N158" s="513">
        <f>0+táj.1!N158</f>
        <v>0</v>
      </c>
      <c r="O158" s="514">
        <f t="shared" si="12"/>
        <v>0</v>
      </c>
    </row>
    <row r="159" spans="1:15" s="158" customFormat="1" ht="27.75" customHeight="1" x14ac:dyDescent="0.2">
      <c r="A159" s="701"/>
      <c r="B159" s="701"/>
      <c r="C159" s="702" t="s">
        <v>1410</v>
      </c>
      <c r="D159" s="703">
        <v>191901</v>
      </c>
      <c r="E159" s="513">
        <f>0+táj.1!E159</f>
        <v>0</v>
      </c>
      <c r="F159" s="513">
        <f>18531+táj.1!F159</f>
        <v>18531</v>
      </c>
      <c r="G159" s="513">
        <f>0+táj.1!G159</f>
        <v>0</v>
      </c>
      <c r="H159" s="513">
        <f>0+táj.1!H159</f>
        <v>0</v>
      </c>
      <c r="I159" s="513">
        <f>0+táj.1!I159</f>
        <v>0</v>
      </c>
      <c r="J159" s="513">
        <f>0+táj.1!J159</f>
        <v>0</v>
      </c>
      <c r="K159" s="513">
        <f>0+táj.1!K159</f>
        <v>0</v>
      </c>
      <c r="L159" s="513">
        <f>0+táj.1!L159</f>
        <v>0</v>
      </c>
      <c r="M159" s="513">
        <f>0+táj.1!M159</f>
        <v>0</v>
      </c>
      <c r="N159" s="513">
        <f>0+táj.1!N159</f>
        <v>0</v>
      </c>
      <c r="O159" s="514">
        <f t="shared" si="12"/>
        <v>18531</v>
      </c>
    </row>
    <row r="160" spans="1:15" s="158" customFormat="1" ht="22.5" customHeight="1" x14ac:dyDescent="0.2">
      <c r="A160" s="701"/>
      <c r="B160" s="701"/>
      <c r="C160" s="702" t="s">
        <v>1425</v>
      </c>
      <c r="D160" s="703">
        <v>191901</v>
      </c>
      <c r="E160" s="513">
        <f>0+táj.1!E160</f>
        <v>0</v>
      </c>
      <c r="F160" s="513">
        <f>0+táj.1!F160</f>
        <v>0</v>
      </c>
      <c r="G160" s="513">
        <f>0+táj.1!G160</f>
        <v>0</v>
      </c>
      <c r="H160" s="513">
        <f>0+táj.1!H160</f>
        <v>0</v>
      </c>
      <c r="I160" s="513">
        <f>0+táj.1!I160</f>
        <v>0</v>
      </c>
      <c r="J160" s="513">
        <f>0+táj.1!J160</f>
        <v>0</v>
      </c>
      <c r="K160" s="513">
        <f>0+táj.1!K160</f>
        <v>0</v>
      </c>
      <c r="L160" s="513">
        <f>0+táj.1!L160</f>
        <v>0</v>
      </c>
      <c r="M160" s="513">
        <f>0+táj.1!M160</f>
        <v>0</v>
      </c>
      <c r="N160" s="513">
        <f>1519+táj.1!N160</f>
        <v>1519</v>
      </c>
      <c r="O160" s="514">
        <f t="shared" si="12"/>
        <v>1519</v>
      </c>
    </row>
    <row r="161" spans="1:15" s="158" customFormat="1" ht="28.5" customHeight="1" x14ac:dyDescent="0.2">
      <c r="A161" s="168"/>
      <c r="B161" s="168"/>
      <c r="C161" s="539" t="s">
        <v>451</v>
      </c>
      <c r="D161" s="540"/>
      <c r="E161" s="513"/>
      <c r="F161" s="513"/>
      <c r="G161" s="513"/>
      <c r="H161" s="513"/>
      <c r="I161" s="513"/>
      <c r="J161" s="513"/>
      <c r="K161" s="513"/>
      <c r="L161" s="513"/>
      <c r="M161" s="513"/>
      <c r="N161" s="513"/>
      <c r="O161" s="514"/>
    </row>
    <row r="162" spans="1:15" s="158" customFormat="1" ht="14.1" customHeight="1" x14ac:dyDescent="0.2">
      <c r="A162" s="168"/>
      <c r="B162" s="168"/>
      <c r="C162" s="537" t="s">
        <v>452</v>
      </c>
      <c r="D162" s="538">
        <v>191907</v>
      </c>
      <c r="E162" s="513">
        <f>0+táj.1!E162</f>
        <v>0</v>
      </c>
      <c r="F162" s="513">
        <f>0+táj.1!F162</f>
        <v>0</v>
      </c>
      <c r="G162" s="513">
        <f>4700000+táj.1!G162</f>
        <v>4700000</v>
      </c>
      <c r="H162" s="513">
        <f>0+táj.1!H162</f>
        <v>0</v>
      </c>
      <c r="I162" s="513">
        <f>0+táj.1!I162</f>
        <v>0</v>
      </c>
      <c r="J162" s="513">
        <f>0+táj.1!J162</f>
        <v>0</v>
      </c>
      <c r="K162" s="513">
        <f>0+táj.1!K162</f>
        <v>0</v>
      </c>
      <c r="L162" s="513">
        <f>0+táj.1!L162</f>
        <v>0</v>
      </c>
      <c r="M162" s="513">
        <f>0+táj.1!M162</f>
        <v>0</v>
      </c>
      <c r="N162" s="513">
        <f>0+táj.1!N162</f>
        <v>0</v>
      </c>
      <c r="O162" s="514">
        <f t="shared" ref="O162:O167" si="13">SUM(E162:N162)</f>
        <v>4700000</v>
      </c>
    </row>
    <row r="163" spans="1:15" s="158" customFormat="1" ht="14.1" customHeight="1" x14ac:dyDescent="0.2">
      <c r="A163" s="168"/>
      <c r="B163" s="168"/>
      <c r="C163" s="537" t="s">
        <v>453</v>
      </c>
      <c r="D163" s="538">
        <v>191907</v>
      </c>
      <c r="E163" s="513">
        <f>0+táj.1!E163</f>
        <v>0</v>
      </c>
      <c r="F163" s="513">
        <f>0+táj.1!F163</f>
        <v>0</v>
      </c>
      <c r="G163" s="513">
        <f>0+táj.1!G163</f>
        <v>0</v>
      </c>
      <c r="H163" s="513">
        <f>0+táj.1!H163</f>
        <v>0</v>
      </c>
      <c r="I163" s="513">
        <f>0+táj.1!I163</f>
        <v>0</v>
      </c>
      <c r="J163" s="513">
        <f>0+táj.1!J163</f>
        <v>0</v>
      </c>
      <c r="K163" s="513">
        <f>0+táj.1!K163</f>
        <v>0</v>
      </c>
      <c r="L163" s="513">
        <f>0+táj.1!L163</f>
        <v>0</v>
      </c>
      <c r="M163" s="513">
        <f>0+táj.1!M163</f>
        <v>0</v>
      </c>
      <c r="N163" s="513">
        <f>0+táj.1!N163</f>
        <v>0</v>
      </c>
      <c r="O163" s="514">
        <f t="shared" si="13"/>
        <v>0</v>
      </c>
    </row>
    <row r="164" spans="1:15" s="158" customFormat="1" ht="14.1" customHeight="1" x14ac:dyDescent="0.2">
      <c r="A164" s="168"/>
      <c r="B164" s="168"/>
      <c r="C164" s="537" t="s">
        <v>454</v>
      </c>
      <c r="D164" s="538">
        <v>191907</v>
      </c>
      <c r="E164" s="513">
        <f>0+táj.1!E164</f>
        <v>0</v>
      </c>
      <c r="F164" s="513">
        <f>0+táj.1!F164</f>
        <v>0</v>
      </c>
      <c r="G164" s="513">
        <f>13000+táj.1!G164</f>
        <v>13000</v>
      </c>
      <c r="H164" s="513">
        <f>0+táj.1!H164</f>
        <v>0</v>
      </c>
      <c r="I164" s="513">
        <f>0+táj.1!I164</f>
        <v>0</v>
      </c>
      <c r="J164" s="513">
        <f>0+táj.1!J164</f>
        <v>0</v>
      </c>
      <c r="K164" s="513">
        <f>0+táj.1!K164</f>
        <v>0</v>
      </c>
      <c r="L164" s="513">
        <f>0+táj.1!L164</f>
        <v>0</v>
      </c>
      <c r="M164" s="513">
        <f>0+táj.1!M164</f>
        <v>0</v>
      </c>
      <c r="N164" s="513">
        <f>0+táj.1!N164</f>
        <v>0</v>
      </c>
      <c r="O164" s="514">
        <f t="shared" si="13"/>
        <v>13000</v>
      </c>
    </row>
    <row r="165" spans="1:15" s="158" customFormat="1" ht="14.1" customHeight="1" x14ac:dyDescent="0.2">
      <c r="A165" s="168"/>
      <c r="B165" s="168"/>
      <c r="C165" s="537" t="s">
        <v>455</v>
      </c>
      <c r="D165" s="538">
        <v>191907</v>
      </c>
      <c r="E165" s="513">
        <f>0+táj.1!E165</f>
        <v>0</v>
      </c>
      <c r="F165" s="513">
        <f>0+táj.1!F165</f>
        <v>0</v>
      </c>
      <c r="G165" s="513">
        <f>5000+táj.1!G165</f>
        <v>5000</v>
      </c>
      <c r="H165" s="513">
        <f>0+táj.1!H165</f>
        <v>0</v>
      </c>
      <c r="I165" s="513">
        <f>0+táj.1!I165</f>
        <v>0</v>
      </c>
      <c r="J165" s="513">
        <f>0+táj.1!J165</f>
        <v>0</v>
      </c>
      <c r="K165" s="513">
        <f>0+táj.1!K165</f>
        <v>0</v>
      </c>
      <c r="L165" s="513">
        <f>0+táj.1!L165</f>
        <v>0</v>
      </c>
      <c r="M165" s="513">
        <f>0+táj.1!M165</f>
        <v>0</v>
      </c>
      <c r="N165" s="513">
        <f>0+táj.1!N165</f>
        <v>0</v>
      </c>
      <c r="O165" s="514">
        <f t="shared" si="13"/>
        <v>5000</v>
      </c>
    </row>
    <row r="166" spans="1:15" s="158" customFormat="1" ht="14.1" customHeight="1" x14ac:dyDescent="0.2">
      <c r="A166" s="168"/>
      <c r="B166" s="168"/>
      <c r="C166" s="537" t="s">
        <v>456</v>
      </c>
      <c r="D166" s="538">
        <v>191907</v>
      </c>
      <c r="E166" s="513">
        <f>0+táj.1!E166</f>
        <v>0</v>
      </c>
      <c r="F166" s="513">
        <f>0+táj.1!F166</f>
        <v>0</v>
      </c>
      <c r="G166" s="513">
        <f>1065000+táj.1!G166</f>
        <v>1065000</v>
      </c>
      <c r="H166" s="513">
        <f>0+táj.1!H166</f>
        <v>0</v>
      </c>
      <c r="I166" s="513">
        <f>0+táj.1!I166</f>
        <v>0</v>
      </c>
      <c r="J166" s="513">
        <f>0+táj.1!J166</f>
        <v>0</v>
      </c>
      <c r="K166" s="513">
        <f>0+táj.1!K166</f>
        <v>0</v>
      </c>
      <c r="L166" s="513">
        <f>0+táj.1!L166</f>
        <v>0</v>
      </c>
      <c r="M166" s="513">
        <f>0+táj.1!M166</f>
        <v>0</v>
      </c>
      <c r="N166" s="513">
        <f>0+táj.1!N166</f>
        <v>0</v>
      </c>
      <c r="O166" s="514">
        <f t="shared" si="13"/>
        <v>1065000</v>
      </c>
    </row>
    <row r="167" spans="1:15" s="158" customFormat="1" ht="14.1" customHeight="1" x14ac:dyDescent="0.2">
      <c r="A167" s="168"/>
      <c r="B167" s="168"/>
      <c r="C167" s="537" t="s">
        <v>457</v>
      </c>
      <c r="D167" s="538">
        <v>191907</v>
      </c>
      <c r="E167" s="513">
        <f>0+táj.1!E167</f>
        <v>0</v>
      </c>
      <c r="F167" s="513">
        <f>0+táj.1!F167</f>
        <v>0</v>
      </c>
      <c r="G167" s="513">
        <f>21000+táj.1!G167</f>
        <v>21000</v>
      </c>
      <c r="H167" s="513">
        <f>0+táj.1!H167</f>
        <v>0</v>
      </c>
      <c r="I167" s="513">
        <f>0+táj.1!I167</f>
        <v>0</v>
      </c>
      <c r="J167" s="513">
        <f>0+táj.1!J167</f>
        <v>0</v>
      </c>
      <c r="K167" s="513">
        <f>0+táj.1!K167</f>
        <v>0</v>
      </c>
      <c r="L167" s="513">
        <f>0+táj.1!L167</f>
        <v>0</v>
      </c>
      <c r="M167" s="513">
        <f>0+táj.1!M167</f>
        <v>0</v>
      </c>
      <c r="N167" s="513">
        <f>0+táj.1!N167</f>
        <v>0</v>
      </c>
      <c r="O167" s="514">
        <f t="shared" si="13"/>
        <v>21000</v>
      </c>
    </row>
    <row r="168" spans="1:15" s="158" customFormat="1" ht="24.75" customHeight="1" x14ac:dyDescent="0.2">
      <c r="A168" s="168"/>
      <c r="B168" s="168"/>
      <c r="C168" s="528" t="s">
        <v>458</v>
      </c>
      <c r="D168" s="559"/>
      <c r="E168" s="513"/>
      <c r="F168" s="513"/>
      <c r="G168" s="513"/>
      <c r="H168" s="513"/>
      <c r="I168" s="513"/>
      <c r="J168" s="513"/>
      <c r="K168" s="513"/>
      <c r="L168" s="513"/>
      <c r="M168" s="513"/>
      <c r="N168" s="513"/>
      <c r="O168" s="514"/>
    </row>
    <row r="169" spans="1:15" s="158" customFormat="1" ht="36.75" customHeight="1" x14ac:dyDescent="0.2">
      <c r="A169" s="168"/>
      <c r="B169" s="168"/>
      <c r="C169" s="524" t="s">
        <v>459</v>
      </c>
      <c r="D169" s="559">
        <v>191158</v>
      </c>
      <c r="E169" s="513">
        <f>18000+táj.1!E169</f>
        <v>18000</v>
      </c>
      <c r="F169" s="513">
        <f>0+táj.1!F169</f>
        <v>0</v>
      </c>
      <c r="G169" s="513">
        <f>0+táj.1!G169</f>
        <v>0</v>
      </c>
      <c r="H169" s="513">
        <f>0+táj.1!H169</f>
        <v>0</v>
      </c>
      <c r="I169" s="513">
        <f>0+táj.1!I169</f>
        <v>0</v>
      </c>
      <c r="J169" s="513">
        <f>0+táj.1!J169</f>
        <v>0</v>
      </c>
      <c r="K169" s="513">
        <f>0+táj.1!K169</f>
        <v>0</v>
      </c>
      <c r="L169" s="513">
        <f>0+táj.1!L169</f>
        <v>0</v>
      </c>
      <c r="M169" s="513">
        <f>0+táj.1!M169</f>
        <v>0</v>
      </c>
      <c r="N169" s="513">
        <f>0+táj.1!N169</f>
        <v>0</v>
      </c>
      <c r="O169" s="514">
        <f>SUM(E169:N169)</f>
        <v>18000</v>
      </c>
    </row>
    <row r="170" spans="1:15" s="158" customFormat="1" ht="15" customHeight="1" x14ac:dyDescent="0.2">
      <c r="A170" s="168"/>
      <c r="B170" s="168"/>
      <c r="C170" s="524" t="s">
        <v>460</v>
      </c>
      <c r="D170" s="559"/>
      <c r="E170" s="513"/>
      <c r="F170" s="513"/>
      <c r="G170" s="513"/>
      <c r="H170" s="513"/>
      <c r="I170" s="513"/>
      <c r="J170" s="513"/>
      <c r="K170" s="513"/>
      <c r="L170" s="513"/>
      <c r="M170" s="513"/>
      <c r="N170" s="513"/>
      <c r="O170" s="514"/>
    </row>
    <row r="171" spans="1:15" s="158" customFormat="1" ht="24.95" customHeight="1" x14ac:dyDescent="0.2">
      <c r="A171" s="168"/>
      <c r="B171" s="168"/>
      <c r="C171" s="539" t="s">
        <v>461</v>
      </c>
      <c r="D171" s="548">
        <v>191906</v>
      </c>
      <c r="E171" s="513">
        <f>16350+táj.1!E171</f>
        <v>16350</v>
      </c>
      <c r="F171" s="513">
        <f>0+táj.1!F171</f>
        <v>0</v>
      </c>
      <c r="G171" s="513">
        <f>0+táj.1!G171</f>
        <v>0</v>
      </c>
      <c r="H171" s="513">
        <f>0+táj.1!H171</f>
        <v>0</v>
      </c>
      <c r="I171" s="513">
        <f>0+táj.1!I171</f>
        <v>0</v>
      </c>
      <c r="J171" s="513">
        <f>0+táj.1!J171</f>
        <v>0</v>
      </c>
      <c r="K171" s="513">
        <f>0+táj.1!K171</f>
        <v>0</v>
      </c>
      <c r="L171" s="513">
        <f>0+táj.1!L171</f>
        <v>0</v>
      </c>
      <c r="M171" s="513">
        <f>0+táj.1!M171</f>
        <v>0</v>
      </c>
      <c r="N171" s="513">
        <f>0+táj.1!N171</f>
        <v>0</v>
      </c>
      <c r="O171" s="514">
        <f>SUM(E171:N171)</f>
        <v>16350</v>
      </c>
    </row>
    <row r="172" spans="1:15" s="158" customFormat="1" ht="24.95" customHeight="1" x14ac:dyDescent="0.2">
      <c r="A172" s="701"/>
      <c r="B172" s="701"/>
      <c r="C172" s="798" t="s">
        <v>369</v>
      </c>
      <c r="D172" s="800"/>
      <c r="E172" s="513"/>
      <c r="F172" s="789"/>
      <c r="G172" s="789"/>
      <c r="H172" s="789"/>
      <c r="I172" s="789"/>
      <c r="J172" s="789"/>
      <c r="K172" s="789"/>
      <c r="L172" s="789"/>
      <c r="M172" s="789"/>
      <c r="N172" s="789"/>
      <c r="O172" s="514"/>
    </row>
    <row r="173" spans="1:15" s="158" customFormat="1" ht="24.95" customHeight="1" x14ac:dyDescent="0.2">
      <c r="A173" s="701"/>
      <c r="B173" s="701"/>
      <c r="C173" s="793" t="s">
        <v>1444</v>
      </c>
      <c r="D173" s="794">
        <v>191104</v>
      </c>
      <c r="E173" s="513">
        <f>0+táj.1!E173</f>
        <v>0</v>
      </c>
      <c r="F173" s="513">
        <f>0+táj.1!F173</f>
        <v>0</v>
      </c>
      <c r="G173" s="513">
        <f>0+táj.1!G173</f>
        <v>0</v>
      </c>
      <c r="H173" s="513">
        <f>1607+táj.1!H173</f>
        <v>5569</v>
      </c>
      <c r="I173" s="513">
        <f>0+táj.1!I173</f>
        <v>0</v>
      </c>
      <c r="J173" s="513">
        <f>0+táj.1!J173</f>
        <v>0</v>
      </c>
      <c r="K173" s="513">
        <f>0+táj.1!K173</f>
        <v>0</v>
      </c>
      <c r="L173" s="513">
        <f>0+táj.1!L173</f>
        <v>0</v>
      </c>
      <c r="M173" s="513">
        <f>0+táj.1!M173</f>
        <v>0</v>
      </c>
      <c r="N173" s="513">
        <f>0+táj.1!N173</f>
        <v>0</v>
      </c>
      <c r="O173" s="514">
        <f>SUM(E173:N173)</f>
        <v>5569</v>
      </c>
    </row>
    <row r="174" spans="1:15" s="158" customFormat="1" ht="24.95" customHeight="1" x14ac:dyDescent="0.2">
      <c r="A174" s="833"/>
      <c r="B174" s="833"/>
      <c r="C174" s="845" t="s">
        <v>1472</v>
      </c>
      <c r="D174" s="846">
        <v>191193</v>
      </c>
      <c r="E174" s="513">
        <f>0+táj.1!E174</f>
        <v>0</v>
      </c>
      <c r="F174" s="513">
        <f>0+táj.1!F174</f>
        <v>0</v>
      </c>
      <c r="G174" s="513">
        <f>0+táj.1!G174</f>
        <v>0</v>
      </c>
      <c r="H174" s="513">
        <f>0+táj.1!H174</f>
        <v>0</v>
      </c>
      <c r="I174" s="513">
        <f>0+táj.1!I174</f>
        <v>0</v>
      </c>
      <c r="J174" s="513">
        <f>0+táj.1!J174</f>
        <v>5800</v>
      </c>
      <c r="K174" s="513">
        <f>0+táj.1!K174</f>
        <v>0</v>
      </c>
      <c r="L174" s="513">
        <f>0+táj.1!L174</f>
        <v>0</v>
      </c>
      <c r="M174" s="513">
        <f>0+táj.1!M174</f>
        <v>0</v>
      </c>
      <c r="N174" s="513">
        <f>0+táj.1!N174</f>
        <v>0</v>
      </c>
      <c r="O174" s="514">
        <f>SUM(E174:N174)</f>
        <v>5800</v>
      </c>
    </row>
    <row r="175" spans="1:15" s="158" customFormat="1" ht="15.75" customHeight="1" x14ac:dyDescent="0.2">
      <c r="A175" s="181"/>
      <c r="B175" s="174"/>
      <c r="C175" s="530" t="s">
        <v>462</v>
      </c>
      <c r="D175" s="531"/>
      <c r="E175" s="532">
        <f>SUM(E140:E174)</f>
        <v>3565813</v>
      </c>
      <c r="F175" s="532">
        <f t="shared" ref="F175:O175" si="14">SUM(F140:F174)</f>
        <v>18531</v>
      </c>
      <c r="G175" s="532">
        <f t="shared" si="14"/>
        <v>5804000</v>
      </c>
      <c r="H175" s="532">
        <f t="shared" si="14"/>
        <v>127085</v>
      </c>
      <c r="I175" s="532">
        <f t="shared" si="14"/>
        <v>0</v>
      </c>
      <c r="J175" s="532">
        <f t="shared" si="14"/>
        <v>5800</v>
      </c>
      <c r="K175" s="532">
        <f t="shared" si="14"/>
        <v>500</v>
      </c>
      <c r="L175" s="532">
        <f t="shared" si="14"/>
        <v>72812</v>
      </c>
      <c r="M175" s="532">
        <f t="shared" si="14"/>
        <v>1332263</v>
      </c>
      <c r="N175" s="532">
        <f t="shared" si="14"/>
        <v>12520967</v>
      </c>
      <c r="O175" s="532">
        <f t="shared" si="14"/>
        <v>23447771</v>
      </c>
    </row>
    <row r="176" spans="1:15" s="158" customFormat="1" ht="27.95" customHeight="1" x14ac:dyDescent="0.2">
      <c r="A176" s="168">
        <v>1</v>
      </c>
      <c r="B176" s="175">
        <v>20</v>
      </c>
      <c r="C176" s="528" t="s">
        <v>369</v>
      </c>
      <c r="D176" s="535"/>
      <c r="E176" s="550"/>
      <c r="F176" s="552"/>
      <c r="G176" s="552"/>
      <c r="H176" s="552"/>
      <c r="I176" s="552"/>
      <c r="J176" s="552"/>
      <c r="K176" s="552"/>
      <c r="L176" s="552"/>
      <c r="M176" s="552"/>
      <c r="N176" s="552"/>
      <c r="O176" s="552"/>
    </row>
    <row r="177" spans="1:15" s="158" customFormat="1" ht="17.100000000000001" customHeight="1" x14ac:dyDescent="0.2">
      <c r="A177" s="181"/>
      <c r="B177" s="174"/>
      <c r="C177" s="561" t="s">
        <v>463</v>
      </c>
      <c r="D177" s="562">
        <v>201901</v>
      </c>
      <c r="E177" s="563"/>
      <c r="F177" s="532"/>
      <c r="G177" s="532"/>
      <c r="H177" s="532"/>
      <c r="I177" s="532"/>
      <c r="J177" s="532"/>
      <c r="K177" s="532"/>
      <c r="L177" s="532"/>
      <c r="M177" s="532"/>
      <c r="N177" s="532"/>
      <c r="O177" s="532">
        <f>SUM(E177:N177)</f>
        <v>0</v>
      </c>
    </row>
    <row r="178" spans="1:15" s="158" customFormat="1" ht="17.100000000000001" customHeight="1" x14ac:dyDescent="0.2">
      <c r="A178" s="168">
        <v>1</v>
      </c>
      <c r="B178" s="175">
        <v>22</v>
      </c>
      <c r="C178" s="533" t="s">
        <v>18</v>
      </c>
      <c r="D178" s="534"/>
      <c r="E178" s="552"/>
      <c r="F178" s="552"/>
      <c r="G178" s="552"/>
      <c r="H178" s="552"/>
      <c r="I178" s="552"/>
      <c r="J178" s="552"/>
      <c r="K178" s="552"/>
      <c r="L178" s="552"/>
      <c r="M178" s="552"/>
      <c r="N178" s="552"/>
      <c r="O178" s="552"/>
    </row>
    <row r="179" spans="1:15" s="158" customFormat="1" ht="17.100000000000001" customHeight="1" x14ac:dyDescent="0.2">
      <c r="A179" s="168"/>
      <c r="B179" s="175"/>
      <c r="C179" s="177" t="s">
        <v>333</v>
      </c>
      <c r="D179" s="534"/>
      <c r="E179" s="552"/>
      <c r="F179" s="552"/>
      <c r="G179" s="552"/>
      <c r="H179" s="552"/>
      <c r="I179" s="552"/>
      <c r="J179" s="552"/>
      <c r="K179" s="552"/>
      <c r="L179" s="552"/>
      <c r="M179" s="552"/>
      <c r="N179" s="552"/>
      <c r="O179" s="552"/>
    </row>
    <row r="180" spans="1:15" s="158" customFormat="1" ht="17.100000000000001" customHeight="1" x14ac:dyDescent="0.2">
      <c r="A180" s="168"/>
      <c r="B180" s="175"/>
      <c r="C180" s="314" t="s">
        <v>1296</v>
      </c>
      <c r="D180" s="596">
        <v>221901</v>
      </c>
      <c r="E180" s="596">
        <f>0+táj.1!E180</f>
        <v>0</v>
      </c>
      <c r="F180" s="596">
        <f>0+táj.1!F180</f>
        <v>0</v>
      </c>
      <c r="G180" s="596">
        <f>0+táj.1!G180</f>
        <v>0</v>
      </c>
      <c r="H180" s="596">
        <f>15748+táj.1!H180</f>
        <v>20000</v>
      </c>
      <c r="I180" s="596">
        <f>0+táj.1!I180</f>
        <v>0</v>
      </c>
      <c r="J180" s="596">
        <f>0+táj.1!J180</f>
        <v>0</v>
      </c>
      <c r="K180" s="596">
        <f>0+táj.1!K180</f>
        <v>0</v>
      </c>
      <c r="L180" s="596">
        <f>0+táj.1!L180</f>
        <v>0</v>
      </c>
      <c r="M180" s="596">
        <f>0+táj.1!M180</f>
        <v>0</v>
      </c>
      <c r="N180" s="596">
        <f>0+táj.1!N180</f>
        <v>0</v>
      </c>
      <c r="O180" s="596">
        <f>SUM(E180:N180)</f>
        <v>20000</v>
      </c>
    </row>
    <row r="181" spans="1:15" s="158" customFormat="1" ht="17.100000000000001" customHeight="1" x14ac:dyDescent="0.2">
      <c r="A181" s="701"/>
      <c r="B181" s="704"/>
      <c r="C181" s="777" t="s">
        <v>1303</v>
      </c>
      <c r="D181" s="796">
        <v>221927</v>
      </c>
      <c r="E181" s="596">
        <f>210+táj.1!E181</f>
        <v>210</v>
      </c>
      <c r="F181" s="596">
        <f>0+táj.1!F181</f>
        <v>0</v>
      </c>
      <c r="G181" s="596">
        <f>0+táj.1!G181</f>
        <v>0</v>
      </c>
      <c r="H181" s="596">
        <f>0+táj.1!H181</f>
        <v>0</v>
      </c>
      <c r="I181" s="596">
        <f>0+táj.1!I181</f>
        <v>0</v>
      </c>
      <c r="J181" s="596">
        <f>0+táj.1!J181</f>
        <v>0</v>
      </c>
      <c r="K181" s="596">
        <f>0+táj.1!K181</f>
        <v>0</v>
      </c>
      <c r="L181" s="596">
        <f>0+táj.1!L181</f>
        <v>0</v>
      </c>
      <c r="M181" s="596">
        <f>0+táj.1!M181</f>
        <v>0</v>
      </c>
      <c r="N181" s="596">
        <f>0+táj.1!N181</f>
        <v>0</v>
      </c>
      <c r="O181" s="596">
        <f>SUM(E181:N181)</f>
        <v>210</v>
      </c>
    </row>
    <row r="182" spans="1:15" s="158" customFormat="1" ht="17.100000000000001" customHeight="1" x14ac:dyDescent="0.2">
      <c r="A182" s="833"/>
      <c r="B182" s="828"/>
      <c r="C182" s="837" t="s">
        <v>1473</v>
      </c>
      <c r="D182" s="848">
        <v>221951</v>
      </c>
      <c r="E182" s="596">
        <f>0+táj.1!E182</f>
        <v>0</v>
      </c>
      <c r="F182" s="596">
        <f>0+táj.1!F182</f>
        <v>0</v>
      </c>
      <c r="G182" s="596">
        <f>0+táj.1!G182</f>
        <v>0</v>
      </c>
      <c r="H182" s="596">
        <f>0+táj.1!H182</f>
        <v>0</v>
      </c>
      <c r="I182" s="596">
        <f>0+táj.1!I182</f>
        <v>0</v>
      </c>
      <c r="J182" s="596">
        <f>0+táj.1!J182</f>
        <v>100</v>
      </c>
      <c r="K182" s="596">
        <f>0+táj.1!K182</f>
        <v>0</v>
      </c>
      <c r="L182" s="596">
        <f>0+táj.1!L182</f>
        <v>0</v>
      </c>
      <c r="M182" s="596">
        <f>0+táj.1!M182</f>
        <v>0</v>
      </c>
      <c r="N182" s="596">
        <f>0+táj.1!N182</f>
        <v>0</v>
      </c>
      <c r="O182" s="596">
        <f>SUM(E182:N182)</f>
        <v>100</v>
      </c>
    </row>
    <row r="183" spans="1:15" s="158" customFormat="1" ht="25.5" x14ac:dyDescent="0.2">
      <c r="A183" s="701"/>
      <c r="B183" s="704"/>
      <c r="C183" s="706" t="s">
        <v>356</v>
      </c>
      <c r="D183" s="827"/>
      <c r="E183" s="596"/>
      <c r="F183" s="705"/>
      <c r="G183" s="705"/>
      <c r="H183" s="705"/>
      <c r="I183" s="705"/>
      <c r="J183" s="705"/>
      <c r="K183" s="705"/>
      <c r="L183" s="705"/>
      <c r="M183" s="705"/>
      <c r="N183" s="705"/>
      <c r="O183" s="596"/>
    </row>
    <row r="184" spans="1:15" s="158" customFormat="1" ht="25.5" x14ac:dyDescent="0.2">
      <c r="A184" s="701"/>
      <c r="B184" s="704"/>
      <c r="C184" s="702" t="s">
        <v>1411</v>
      </c>
      <c r="D184" s="796">
        <v>221956</v>
      </c>
      <c r="E184" s="596">
        <f>7000+táj.1!E184</f>
        <v>7000</v>
      </c>
      <c r="F184" s="596">
        <f>0+táj.1!F184</f>
        <v>0</v>
      </c>
      <c r="G184" s="596">
        <f>0+táj.1!G184</f>
        <v>0</v>
      </c>
      <c r="H184" s="596">
        <f>0+táj.1!H184</f>
        <v>0</v>
      </c>
      <c r="I184" s="596">
        <f>0+táj.1!I184</f>
        <v>0</v>
      </c>
      <c r="J184" s="596">
        <f>0+táj.1!J184</f>
        <v>0</v>
      </c>
      <c r="K184" s="596">
        <f>0+táj.1!K184</f>
        <v>0</v>
      </c>
      <c r="L184" s="596">
        <f>0+táj.1!L184</f>
        <v>0</v>
      </c>
      <c r="M184" s="596">
        <f>0+táj.1!M184</f>
        <v>0</v>
      </c>
      <c r="N184" s="596">
        <f>0+táj.1!N184</f>
        <v>0</v>
      </c>
      <c r="O184" s="596">
        <f>SUM(E184:N184)</f>
        <v>7000</v>
      </c>
    </row>
    <row r="185" spans="1:15" s="158" customFormat="1" ht="25.5" x14ac:dyDescent="0.2">
      <c r="A185" s="701"/>
      <c r="B185" s="704"/>
      <c r="C185" s="702" t="s">
        <v>1360</v>
      </c>
      <c r="D185" s="796">
        <v>221942</v>
      </c>
      <c r="E185" s="596">
        <f>2000+táj.1!E185</f>
        <v>2000</v>
      </c>
      <c r="F185" s="596">
        <f>0+táj.1!F185</f>
        <v>0</v>
      </c>
      <c r="G185" s="596">
        <f>0+táj.1!G185</f>
        <v>0</v>
      </c>
      <c r="H185" s="596">
        <f>0+táj.1!H185</f>
        <v>0</v>
      </c>
      <c r="I185" s="596">
        <f>0+táj.1!I185</f>
        <v>0</v>
      </c>
      <c r="J185" s="596">
        <f>0+táj.1!J185</f>
        <v>0</v>
      </c>
      <c r="K185" s="596">
        <f>0+táj.1!K185</f>
        <v>0</v>
      </c>
      <c r="L185" s="596">
        <f>0+táj.1!L185</f>
        <v>0</v>
      </c>
      <c r="M185" s="596">
        <f>0+táj.1!M185</f>
        <v>0</v>
      </c>
      <c r="N185" s="596">
        <f>0+táj.1!N185</f>
        <v>0</v>
      </c>
      <c r="O185" s="596">
        <f>SUM(E185:N185)</f>
        <v>2000</v>
      </c>
    </row>
    <row r="186" spans="1:15" s="158" customFormat="1" ht="17.100000000000001" customHeight="1" x14ac:dyDescent="0.2">
      <c r="A186" s="701"/>
      <c r="B186" s="704"/>
      <c r="C186" s="702" t="s">
        <v>1412</v>
      </c>
      <c r="D186" s="701" t="s">
        <v>1413</v>
      </c>
      <c r="E186" s="596">
        <f>250+táj.1!E186</f>
        <v>250</v>
      </c>
      <c r="F186" s="596">
        <f>0+táj.1!F186</f>
        <v>0</v>
      </c>
      <c r="G186" s="596">
        <f>0+táj.1!G186</f>
        <v>0</v>
      </c>
      <c r="H186" s="596">
        <f>0+táj.1!H186</f>
        <v>0</v>
      </c>
      <c r="I186" s="596">
        <f>0+táj.1!I186</f>
        <v>0</v>
      </c>
      <c r="J186" s="596">
        <f>50+táj.1!J186</f>
        <v>50</v>
      </c>
      <c r="K186" s="596">
        <f>0+táj.1!K186</f>
        <v>0</v>
      </c>
      <c r="L186" s="596">
        <f>0+táj.1!L186</f>
        <v>0</v>
      </c>
      <c r="M186" s="596">
        <f>0+táj.1!M186</f>
        <v>0</v>
      </c>
      <c r="N186" s="596">
        <f>0+táj.1!N186</f>
        <v>0</v>
      </c>
      <c r="O186" s="596">
        <f>SUM(E186:N186)</f>
        <v>300</v>
      </c>
    </row>
    <row r="187" spans="1:15" s="158" customFormat="1" ht="17.100000000000001" customHeight="1" x14ac:dyDescent="0.2">
      <c r="A187" s="181"/>
      <c r="B187" s="174"/>
      <c r="C187" s="530" t="s">
        <v>464</v>
      </c>
      <c r="D187" s="531"/>
      <c r="E187" s="532">
        <f t="shared" ref="E187:O187" si="15">SUM(E178:E186)</f>
        <v>9460</v>
      </c>
      <c r="F187" s="532">
        <f t="shared" si="15"/>
        <v>0</v>
      </c>
      <c r="G187" s="532">
        <f t="shared" si="15"/>
        <v>0</v>
      </c>
      <c r="H187" s="532">
        <f t="shared" si="15"/>
        <v>20000</v>
      </c>
      <c r="I187" s="532">
        <f t="shared" si="15"/>
        <v>0</v>
      </c>
      <c r="J187" s="532">
        <f t="shared" si="15"/>
        <v>150</v>
      </c>
      <c r="K187" s="532">
        <f t="shared" si="15"/>
        <v>0</v>
      </c>
      <c r="L187" s="532">
        <f t="shared" si="15"/>
        <v>0</v>
      </c>
      <c r="M187" s="532">
        <f t="shared" si="15"/>
        <v>0</v>
      </c>
      <c r="N187" s="532">
        <f t="shared" si="15"/>
        <v>0</v>
      </c>
      <c r="O187" s="532">
        <f t="shared" si="15"/>
        <v>29610</v>
      </c>
    </row>
    <row r="188" spans="1:15" s="158" customFormat="1" ht="24.95" customHeight="1" x14ac:dyDescent="0.2">
      <c r="A188" s="174"/>
      <c r="B188" s="174"/>
      <c r="C188" s="564" t="s">
        <v>21</v>
      </c>
      <c r="D188" s="565"/>
      <c r="E188" s="532">
        <f t="shared" ref="E188:O188" si="16">SUM(E8+E20+E24+E49+E104+E129+E138+E175+E177+E187)</f>
        <v>3743270</v>
      </c>
      <c r="F188" s="532">
        <f t="shared" si="16"/>
        <v>9766526</v>
      </c>
      <c r="G188" s="532">
        <f t="shared" si="16"/>
        <v>5807000</v>
      </c>
      <c r="H188" s="532">
        <f t="shared" si="16"/>
        <v>5926858</v>
      </c>
      <c r="I188" s="532">
        <f t="shared" si="16"/>
        <v>84363</v>
      </c>
      <c r="J188" s="532">
        <f t="shared" si="16"/>
        <v>24228</v>
      </c>
      <c r="K188" s="532">
        <f t="shared" si="16"/>
        <v>5000</v>
      </c>
      <c r="L188" s="532">
        <f t="shared" si="16"/>
        <v>150000</v>
      </c>
      <c r="M188" s="532">
        <f t="shared" si="16"/>
        <v>16716230</v>
      </c>
      <c r="N188" s="532">
        <f t="shared" si="16"/>
        <v>21121863</v>
      </c>
      <c r="O188" s="532">
        <f t="shared" si="16"/>
        <v>63345338</v>
      </c>
    </row>
    <row r="189" spans="1:15" s="826" customFormat="1" ht="15.95" customHeight="1" x14ac:dyDescent="0.2">
      <c r="A189" s="168">
        <v>2</v>
      </c>
      <c r="B189" s="168"/>
      <c r="C189" s="824" t="s">
        <v>237</v>
      </c>
      <c r="D189" s="825"/>
      <c r="E189" s="596">
        <f>'7'!E21</f>
        <v>1086641</v>
      </c>
      <c r="F189" s="596">
        <f>'7'!F21</f>
        <v>5560</v>
      </c>
      <c r="G189" s="596">
        <f>'7'!G21</f>
        <v>0</v>
      </c>
      <c r="H189" s="596">
        <f>'7'!H21</f>
        <v>1196620</v>
      </c>
      <c r="I189" s="596">
        <f>'7'!I21</f>
        <v>831</v>
      </c>
      <c r="J189" s="596">
        <f>'7'!J21</f>
        <v>450</v>
      </c>
      <c r="K189" s="596">
        <f>'7'!K21</f>
        <v>650</v>
      </c>
      <c r="L189" s="596"/>
      <c r="M189" s="596">
        <f>'7'!L21</f>
        <v>571197</v>
      </c>
      <c r="N189" s="596"/>
      <c r="O189" s="596">
        <f>SUM(E189:N189)</f>
        <v>2861949</v>
      </c>
    </row>
    <row r="190" spans="1:15" s="158" customFormat="1" ht="15.95" customHeight="1" x14ac:dyDescent="0.2">
      <c r="A190" s="174"/>
      <c r="B190" s="174"/>
      <c r="C190" s="568" t="s">
        <v>227</v>
      </c>
      <c r="D190" s="531"/>
      <c r="E190" s="532">
        <f>SUM(E188:E189)</f>
        <v>4829911</v>
      </c>
      <c r="F190" s="532">
        <f>SUM(F188:F189)</f>
        <v>9772086</v>
      </c>
      <c r="G190" s="532">
        <f t="shared" ref="G190:O190" si="17">SUM(G188:G189)+G176</f>
        <v>5807000</v>
      </c>
      <c r="H190" s="532">
        <f t="shared" si="17"/>
        <v>7123478</v>
      </c>
      <c r="I190" s="532">
        <f t="shared" si="17"/>
        <v>85194</v>
      </c>
      <c r="J190" s="532">
        <f t="shared" si="17"/>
        <v>24678</v>
      </c>
      <c r="K190" s="532">
        <f t="shared" si="17"/>
        <v>5650</v>
      </c>
      <c r="L190" s="532">
        <f t="shared" si="17"/>
        <v>150000</v>
      </c>
      <c r="M190" s="532">
        <f t="shared" si="17"/>
        <v>17287427</v>
      </c>
      <c r="N190" s="532">
        <f t="shared" si="17"/>
        <v>21121863</v>
      </c>
      <c r="O190" s="532">
        <f t="shared" si="17"/>
        <v>66207287</v>
      </c>
    </row>
    <row r="191" spans="1:15" x14ac:dyDescent="0.2">
      <c r="O191" s="184"/>
    </row>
    <row r="192" spans="1:15" x14ac:dyDescent="0.2">
      <c r="O192" s="184"/>
    </row>
    <row r="193" spans="13:15" x14ac:dyDescent="0.2">
      <c r="M193" s="935"/>
      <c r="N193" s="935"/>
      <c r="O193" s="184"/>
    </row>
    <row r="194" spans="13:15" x14ac:dyDescent="0.2">
      <c r="M194" s="935"/>
      <c r="N194" s="935"/>
      <c r="O194" s="184"/>
    </row>
    <row r="195" spans="13:15" x14ac:dyDescent="0.2">
      <c r="M195" s="935"/>
      <c r="N195" s="935"/>
    </row>
    <row r="196" spans="13:15" x14ac:dyDescent="0.2">
      <c r="O196" s="184"/>
    </row>
  </sheetData>
  <mergeCells count="10">
    <mergeCell ref="O1:O2"/>
    <mergeCell ref="M193:N193"/>
    <mergeCell ref="M194:N194"/>
    <mergeCell ref="M195:N195"/>
    <mergeCell ref="A1:A2"/>
    <mergeCell ref="B1:B2"/>
    <mergeCell ref="C1:C2"/>
    <mergeCell ref="D1:D2"/>
    <mergeCell ref="E1:K1"/>
    <mergeCell ref="L1:N1"/>
  </mergeCells>
  <phoneticPr fontId="107" type="noConversion"/>
  <printOptions horizontalCentered="1" verticalCentered="1"/>
  <pageMargins left="0.19685039370078741" right="0.19685039370078741" top="0.98425196850393704" bottom="0.82677165354330717" header="0.59055118110236227" footer="0.51181102362204722"/>
  <pageSetup paperSize="9" scale="75" orientation="landscape" horizontalDpi="300" verticalDpi="300" r:id="rId1"/>
  <headerFooter alignWithMargins="0">
    <oddHeader>&amp;C&amp;"Times New Roman,Félkövér dőlt" ZALAEGERSZEG MEGYEI JOGÚ VÁROS ÖNKORMÁNYZATA
BEVÉTELI ELŐIRÁNYZATAI  2020.  ÉVBEN&amp;R&amp;"Times New Roman,Félkövér dőlt"5.a melléklet
Adatok ezer Ft-ban</oddHeader>
    <oddFooter>&amp;P. oldal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Munka10"/>
  <dimension ref="A1:N20"/>
  <sheetViews>
    <sheetView zoomScale="110" workbookViewId="0">
      <pane ySplit="2" topLeftCell="A10" activePane="bottomLeft" state="frozen"/>
      <selection activeCell="B1" sqref="B1"/>
      <selection pane="bottomLeft" activeCell="C20" sqref="C20"/>
    </sheetView>
  </sheetViews>
  <sheetFormatPr defaultRowHeight="12" x14ac:dyDescent="0.2"/>
  <cols>
    <col min="1" max="1" width="4.33203125" style="19" customWidth="1"/>
    <col min="2" max="2" width="7" style="19" customWidth="1"/>
    <col min="3" max="3" width="23.6640625" style="19" customWidth="1"/>
    <col min="4" max="4" width="10.6640625" style="19" customWidth="1"/>
    <col min="5" max="5" width="11.83203125" style="19" customWidth="1"/>
    <col min="6" max="6" width="10.5" style="19" customWidth="1"/>
    <col min="7" max="7" width="9.83203125" style="19" customWidth="1"/>
    <col min="8" max="8" width="10.5" style="19" customWidth="1"/>
    <col min="9" max="9" width="10.83203125" style="19" customWidth="1"/>
    <col min="10" max="10" width="10.6640625" style="19" customWidth="1"/>
    <col min="11" max="11" width="9.5" style="19" customWidth="1"/>
    <col min="12" max="12" width="11.33203125" style="19" customWidth="1"/>
    <col min="13" max="13" width="11.83203125" style="19" customWidth="1"/>
    <col min="14" max="14" width="12" style="31" customWidth="1"/>
    <col min="15" max="16384" width="9.33203125" style="19"/>
  </cols>
  <sheetData>
    <row r="1" spans="1:14" ht="12.75" customHeight="1" x14ac:dyDescent="0.2">
      <c r="A1" s="941" t="s">
        <v>122</v>
      </c>
      <c r="B1" s="941" t="s">
        <v>123</v>
      </c>
      <c r="C1" s="941" t="s">
        <v>176</v>
      </c>
      <c r="D1" s="940" t="s">
        <v>182</v>
      </c>
      <c r="E1" s="940"/>
      <c r="F1" s="940"/>
      <c r="G1" s="940"/>
      <c r="H1" s="940"/>
      <c r="I1" s="940"/>
      <c r="J1" s="940"/>
      <c r="K1" s="940"/>
      <c r="L1" s="940" t="s">
        <v>181</v>
      </c>
      <c r="M1" s="940"/>
      <c r="N1" s="941" t="s">
        <v>235</v>
      </c>
    </row>
    <row r="2" spans="1:14" s="28" customFormat="1" ht="60" customHeight="1" x14ac:dyDescent="0.2">
      <c r="A2" s="941"/>
      <c r="B2" s="941"/>
      <c r="C2" s="941"/>
      <c r="D2" s="96" t="s">
        <v>156</v>
      </c>
      <c r="E2" s="96" t="s">
        <v>255</v>
      </c>
      <c r="F2" s="96" t="s">
        <v>249</v>
      </c>
      <c r="G2" s="96" t="s">
        <v>26</v>
      </c>
      <c r="H2" s="96" t="s">
        <v>42</v>
      </c>
      <c r="I2" s="96" t="s">
        <v>32</v>
      </c>
      <c r="J2" s="96" t="s">
        <v>31</v>
      </c>
      <c r="K2" s="96" t="s">
        <v>27</v>
      </c>
      <c r="L2" s="96" t="s">
        <v>186</v>
      </c>
      <c r="M2" s="96" t="s">
        <v>188</v>
      </c>
      <c r="N2" s="941"/>
    </row>
    <row r="3" spans="1:14" s="28" customFormat="1" ht="15" customHeight="1" x14ac:dyDescent="0.2">
      <c r="A3" s="2">
        <v>1</v>
      </c>
      <c r="B3" s="2"/>
      <c r="C3" s="55" t="s">
        <v>236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28" customFormat="1" ht="15" customHeight="1" x14ac:dyDescent="0.2">
      <c r="A4" s="2">
        <v>1</v>
      </c>
      <c r="B4" s="2">
        <v>1</v>
      </c>
      <c r="C4" s="7" t="s">
        <v>12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29" customFormat="1" ht="24.95" customHeight="1" x14ac:dyDescent="0.2">
      <c r="A5" s="4"/>
      <c r="B5" s="4">
        <v>12</v>
      </c>
      <c r="C5" s="106" t="s">
        <v>143</v>
      </c>
      <c r="D5" s="57">
        <f>'6.a'!G45</f>
        <v>0</v>
      </c>
      <c r="E5" s="57">
        <f>'6.a'!H45</f>
        <v>4900</v>
      </c>
      <c r="F5" s="57">
        <f>'6.a'!I45</f>
        <v>30855</v>
      </c>
      <c r="G5" s="57">
        <f>'6.a'!J45</f>
        <v>89230</v>
      </c>
      <c r="H5" s="57">
        <f>'6.a'!K45</f>
        <v>3200</v>
      </c>
      <c r="I5" s="57">
        <f>'6.a'!L45</f>
        <v>0</v>
      </c>
      <c r="J5" s="57">
        <f>'6.a'!M45</f>
        <v>0</v>
      </c>
      <c r="K5" s="57">
        <f>'6.a'!N45</f>
        <v>25319</v>
      </c>
      <c r="L5" s="57">
        <f>'6.a'!O45</f>
        <v>0</v>
      </c>
      <c r="M5" s="57">
        <f>'6.a'!P45</f>
        <v>0</v>
      </c>
      <c r="N5" s="5">
        <f t="shared" ref="N5:N15" si="0">SUM(D5:M5)</f>
        <v>153504</v>
      </c>
    </row>
    <row r="6" spans="1:14" s="29" customFormat="1" ht="14.1" customHeight="1" x14ac:dyDescent="0.2">
      <c r="A6" s="4"/>
      <c r="B6" s="4">
        <v>13</v>
      </c>
      <c r="C6" s="55" t="s">
        <v>144</v>
      </c>
      <c r="D6" s="57">
        <f>'6.a'!G222</f>
        <v>3891</v>
      </c>
      <c r="E6" s="57">
        <f>'6.a'!H222</f>
        <v>1424</v>
      </c>
      <c r="F6" s="57">
        <f>'6.a'!I222</f>
        <v>108687</v>
      </c>
      <c r="G6" s="57">
        <f>'6.a'!J222</f>
        <v>5100</v>
      </c>
      <c r="H6" s="57">
        <f>'6.a'!K222</f>
        <v>906457</v>
      </c>
      <c r="I6" s="57">
        <f>'6.a'!L222</f>
        <v>9293</v>
      </c>
      <c r="J6" s="57">
        <f>'6.a'!M222</f>
        <v>24376</v>
      </c>
      <c r="K6" s="57">
        <f>'6.a'!N222</f>
        <v>14120</v>
      </c>
      <c r="L6" s="57">
        <f>'6.a'!O222</f>
        <v>0</v>
      </c>
      <c r="M6" s="57">
        <f>'6.a'!P222</f>
        <v>0</v>
      </c>
      <c r="N6" s="5">
        <f t="shared" si="0"/>
        <v>1073348</v>
      </c>
    </row>
    <row r="7" spans="1:14" s="29" customFormat="1" ht="14.1" customHeight="1" x14ac:dyDescent="0.2">
      <c r="A7" s="4"/>
      <c r="B7" s="4">
        <v>14</v>
      </c>
      <c r="C7" s="55" t="s">
        <v>238</v>
      </c>
      <c r="D7" s="57">
        <f>'6.a'!G234</f>
        <v>0</v>
      </c>
      <c r="E7" s="57">
        <f>'6.a'!H234</f>
        <v>0</v>
      </c>
      <c r="F7" s="57">
        <f>'6.a'!I234</f>
        <v>9026</v>
      </c>
      <c r="G7" s="57">
        <f>'6.a'!J234</f>
        <v>0</v>
      </c>
      <c r="H7" s="57">
        <f>'6.a'!K234</f>
        <v>0</v>
      </c>
      <c r="I7" s="57">
        <f>'6.a'!L234</f>
        <v>17517</v>
      </c>
      <c r="J7" s="57">
        <f>'6.a'!M234</f>
        <v>0</v>
      </c>
      <c r="K7" s="57">
        <f>'6.a'!N234</f>
        <v>6901</v>
      </c>
      <c r="L7" s="57">
        <f>'6.a'!O234</f>
        <v>0</v>
      </c>
      <c r="M7" s="57">
        <f>'6.a'!P234</f>
        <v>0</v>
      </c>
      <c r="N7" s="5">
        <f t="shared" si="0"/>
        <v>33444</v>
      </c>
    </row>
    <row r="8" spans="1:14" s="29" customFormat="1" ht="14.1" customHeight="1" x14ac:dyDescent="0.2">
      <c r="A8" s="4"/>
      <c r="B8" s="4">
        <v>15</v>
      </c>
      <c r="C8" s="62" t="s">
        <v>179</v>
      </c>
      <c r="D8" s="57">
        <f>'6.a'!G478</f>
        <v>7842</v>
      </c>
      <c r="E8" s="57">
        <f>'6.a'!H478</f>
        <v>1350</v>
      </c>
      <c r="F8" s="57">
        <f>'6.a'!I478</f>
        <v>1796202</v>
      </c>
      <c r="G8" s="57">
        <f>'6.a'!J478</f>
        <v>0</v>
      </c>
      <c r="H8" s="57">
        <f>'6.a'!K478</f>
        <v>438298</v>
      </c>
      <c r="I8" s="57">
        <f>'6.a'!L478</f>
        <v>153682</v>
      </c>
      <c r="J8" s="57">
        <f>'6.a'!M478</f>
        <v>56674</v>
      </c>
      <c r="K8" s="57">
        <f>'6.a'!N478</f>
        <v>3000</v>
      </c>
      <c r="L8" s="57">
        <f>'6.a'!O478</f>
        <v>0</v>
      </c>
      <c r="M8" s="57">
        <f>'6.a'!P478</f>
        <v>0</v>
      </c>
      <c r="N8" s="5">
        <f t="shared" si="0"/>
        <v>2457048</v>
      </c>
    </row>
    <row r="9" spans="1:14" s="29" customFormat="1" ht="14.1" customHeight="1" x14ac:dyDescent="0.2">
      <c r="A9" s="4"/>
      <c r="B9" s="4">
        <v>16</v>
      </c>
      <c r="C9" s="62" t="s">
        <v>164</v>
      </c>
      <c r="D9" s="57">
        <f>'6.a'!G677</f>
        <v>53628</v>
      </c>
      <c r="E9" s="57">
        <f>'6.a'!H677</f>
        <v>12557</v>
      </c>
      <c r="F9" s="57">
        <f>'6.a'!I677</f>
        <v>6365100</v>
      </c>
      <c r="G9" s="57">
        <f>'6.a'!J677</f>
        <v>0</v>
      </c>
      <c r="H9" s="57">
        <f>'6.a'!K677</f>
        <v>78838</v>
      </c>
      <c r="I9" s="57">
        <f>'6.a'!L677</f>
        <v>27151064</v>
      </c>
      <c r="J9" s="57">
        <f>'6.a'!M677</f>
        <v>5238485</v>
      </c>
      <c r="K9" s="57">
        <f>'6.a'!N677</f>
        <v>142049</v>
      </c>
      <c r="L9" s="57">
        <f>'6.a'!O677</f>
        <v>0</v>
      </c>
      <c r="M9" s="57">
        <f>'6.a'!P677</f>
        <v>0</v>
      </c>
      <c r="N9" s="5">
        <f t="shared" si="0"/>
        <v>39041721</v>
      </c>
    </row>
    <row r="10" spans="1:14" s="29" customFormat="1" ht="14.1" customHeight="1" x14ac:dyDescent="0.2">
      <c r="A10" s="4"/>
      <c r="B10" s="4">
        <v>17</v>
      </c>
      <c r="C10" s="62" t="s">
        <v>180</v>
      </c>
      <c r="D10" s="57">
        <f>'6.a'!G702</f>
        <v>0</v>
      </c>
      <c r="E10" s="57">
        <f>'6.a'!H702</f>
        <v>0</v>
      </c>
      <c r="F10" s="57">
        <f>'6.a'!I702</f>
        <v>65615</v>
      </c>
      <c r="G10" s="57">
        <f>'6.a'!J702</f>
        <v>0</v>
      </c>
      <c r="H10" s="57">
        <f>'6.a'!K702</f>
        <v>0</v>
      </c>
      <c r="I10" s="57">
        <f>'6.a'!L702</f>
        <v>123555</v>
      </c>
      <c r="J10" s="57">
        <f>'6.a'!M702</f>
        <v>1966</v>
      </c>
      <c r="K10" s="57">
        <f>'6.a'!N702</f>
        <v>35075</v>
      </c>
      <c r="L10" s="57">
        <f>'6.a'!O702</f>
        <v>0</v>
      </c>
      <c r="M10" s="57">
        <f>'6.a'!P702</f>
        <v>25000</v>
      </c>
      <c r="N10" s="5">
        <f t="shared" si="0"/>
        <v>251211</v>
      </c>
    </row>
    <row r="11" spans="1:14" s="29" customFormat="1" ht="14.1" customHeight="1" x14ac:dyDescent="0.2">
      <c r="A11" s="4"/>
      <c r="B11" s="4">
        <v>18</v>
      </c>
      <c r="C11" s="112" t="s">
        <v>30</v>
      </c>
      <c r="D11" s="57">
        <f>'6.a'!G726</f>
        <v>149479</v>
      </c>
      <c r="E11" s="57">
        <f>'6.a'!H726</f>
        <v>27014</v>
      </c>
      <c r="F11" s="57">
        <f>'6.a'!I726</f>
        <v>82389</v>
      </c>
      <c r="G11" s="57">
        <f>'6.a'!J726</f>
        <v>0</v>
      </c>
      <c r="H11" s="57">
        <f>'6.a'!K726</f>
        <v>7000</v>
      </c>
      <c r="I11" s="57">
        <f>'6.a'!L726</f>
        <v>9963</v>
      </c>
      <c r="J11" s="57">
        <f>'6.a'!M726</f>
        <v>0</v>
      </c>
      <c r="K11" s="57">
        <f>'6.a'!N726</f>
        <v>0</v>
      </c>
      <c r="L11" s="57">
        <f>'6.a'!O726</f>
        <v>0</v>
      </c>
      <c r="M11" s="57">
        <f>'6.a'!P726</f>
        <v>0</v>
      </c>
      <c r="N11" s="5">
        <f t="shared" si="0"/>
        <v>275845</v>
      </c>
    </row>
    <row r="12" spans="1:14" s="29" customFormat="1" ht="14.1" customHeight="1" x14ac:dyDescent="0.2">
      <c r="A12" s="4"/>
      <c r="B12" s="4">
        <v>19</v>
      </c>
      <c r="C12" s="61" t="s">
        <v>120</v>
      </c>
      <c r="D12" s="57">
        <f>'6.a'!G762</f>
        <v>0</v>
      </c>
      <c r="E12" s="57">
        <f>'6.a'!H762</f>
        <v>0</v>
      </c>
      <c r="F12" s="57">
        <f>'6.a'!I762</f>
        <v>390918</v>
      </c>
      <c r="G12" s="57">
        <f>'6.a'!J762</f>
        <v>0</v>
      </c>
      <c r="H12" s="57">
        <f>'6.a'!K762</f>
        <v>552871</v>
      </c>
      <c r="I12" s="57">
        <f>'6.a'!L762</f>
        <v>0</v>
      </c>
      <c r="J12" s="57">
        <f>'6.a'!M762</f>
        <v>0</v>
      </c>
      <c r="K12" s="57">
        <f>'6.a'!N762</f>
        <v>6000</v>
      </c>
      <c r="L12" s="57">
        <f>'6.a'!O762</f>
        <v>104052</v>
      </c>
      <c r="M12" s="57">
        <f>'6.a'!P762</f>
        <v>12088612</v>
      </c>
      <c r="N12" s="5">
        <f t="shared" si="0"/>
        <v>13142453</v>
      </c>
    </row>
    <row r="13" spans="1:14" s="29" customFormat="1" ht="12.95" customHeight="1" x14ac:dyDescent="0.2">
      <c r="A13" s="4"/>
      <c r="B13" s="4">
        <v>20</v>
      </c>
      <c r="C13" s="61" t="s">
        <v>13</v>
      </c>
      <c r="D13" s="57">
        <f>'6.a'!G765</f>
        <v>0</v>
      </c>
      <c r="E13" s="57">
        <f>'6.a'!H765</f>
        <v>0</v>
      </c>
      <c r="F13" s="57">
        <f>'6.a'!I765</f>
        <v>0</v>
      </c>
      <c r="G13" s="57">
        <f>'6.a'!J765</f>
        <v>0</v>
      </c>
      <c r="H13" s="57">
        <f>'6.a'!K765</f>
        <v>0</v>
      </c>
      <c r="I13" s="57">
        <f>'6.a'!L765</f>
        <v>0</v>
      </c>
      <c r="J13" s="57">
        <f>'6.a'!M765</f>
        <v>0</v>
      </c>
      <c r="K13" s="57">
        <f>'6.a'!N765</f>
        <v>0</v>
      </c>
      <c r="L13" s="57">
        <f>'6.a'!O765</f>
        <v>0</v>
      </c>
      <c r="M13" s="57">
        <f>'6.a'!P765</f>
        <v>0</v>
      </c>
      <c r="N13" s="5">
        <f t="shared" si="0"/>
        <v>0</v>
      </c>
    </row>
    <row r="14" spans="1:14" s="29" customFormat="1" ht="27" customHeight="1" x14ac:dyDescent="0.2">
      <c r="A14" s="4"/>
      <c r="B14" s="4">
        <v>22</v>
      </c>
      <c r="C14" s="105" t="s">
        <v>19</v>
      </c>
      <c r="D14" s="57">
        <f>'6.a'!G820</f>
        <v>16830</v>
      </c>
      <c r="E14" s="57">
        <f>'6.a'!H820</f>
        <v>9706</v>
      </c>
      <c r="F14" s="57">
        <f>'6.a'!I820</f>
        <v>179813</v>
      </c>
      <c r="G14" s="57">
        <f>'6.a'!J820</f>
        <v>0</v>
      </c>
      <c r="H14" s="57">
        <f>'6.a'!K820</f>
        <v>315705</v>
      </c>
      <c r="I14" s="57">
        <f>'6.a'!L820</f>
        <v>20471</v>
      </c>
      <c r="J14" s="57">
        <f>'6.a'!M820</f>
        <v>0</v>
      </c>
      <c r="K14" s="57">
        <f>'6.a'!N820</f>
        <v>3970</v>
      </c>
      <c r="L14" s="57">
        <f>'6.a'!O820</f>
        <v>0</v>
      </c>
      <c r="M14" s="57">
        <f>'6.a'!P820</f>
        <v>0</v>
      </c>
      <c r="N14" s="5">
        <f t="shared" si="0"/>
        <v>546495</v>
      </c>
    </row>
    <row r="15" spans="1:14" s="29" customFormat="1" ht="12.95" customHeight="1" x14ac:dyDescent="0.2">
      <c r="A15" s="4"/>
      <c r="B15" s="4">
        <v>30</v>
      </c>
      <c r="C15" s="6" t="s">
        <v>15</v>
      </c>
      <c r="D15" s="57">
        <f>'6.a'!G834</f>
        <v>0</v>
      </c>
      <c r="E15" s="57">
        <f>'6.a'!H834</f>
        <v>0</v>
      </c>
      <c r="F15" s="57">
        <f>'6.a'!I834</f>
        <v>0</v>
      </c>
      <c r="G15" s="57">
        <f>'6.a'!J834</f>
        <v>0</v>
      </c>
      <c r="H15" s="57">
        <f>'6.a'!K834</f>
        <v>992498</v>
      </c>
      <c r="I15" s="57">
        <f>'6.a'!L834</f>
        <v>10420</v>
      </c>
      <c r="J15" s="57">
        <f>'6.a'!M834</f>
        <v>8186</v>
      </c>
      <c r="K15" s="57">
        <f>'6.a'!N834</f>
        <v>0</v>
      </c>
      <c r="L15" s="57">
        <f>'6.a'!O834</f>
        <v>0</v>
      </c>
      <c r="M15" s="57">
        <f>'6.a'!P834</f>
        <v>0</v>
      </c>
      <c r="N15" s="5">
        <f t="shared" si="0"/>
        <v>1011104</v>
      </c>
    </row>
    <row r="16" spans="1:14" s="30" customFormat="1" ht="34.5" customHeight="1" x14ac:dyDescent="0.2">
      <c r="A16" s="63"/>
      <c r="B16" s="63"/>
      <c r="C16" s="90" t="s">
        <v>21</v>
      </c>
      <c r="D16" s="8">
        <f>SUM(D3:D15)</f>
        <v>231670</v>
      </c>
      <c r="E16" s="8">
        <f>SUM(E3:E15)</f>
        <v>56951</v>
      </c>
      <c r="F16" s="8">
        <f t="shared" ref="F16:N16" si="1">SUM(F5:F15)</f>
        <v>9028605</v>
      </c>
      <c r="G16" s="8">
        <f t="shared" si="1"/>
        <v>94330</v>
      </c>
      <c r="H16" s="8">
        <f t="shared" si="1"/>
        <v>3294867</v>
      </c>
      <c r="I16" s="8">
        <f t="shared" si="1"/>
        <v>27495965</v>
      </c>
      <c r="J16" s="8">
        <f t="shared" si="1"/>
        <v>5329687</v>
      </c>
      <c r="K16" s="8">
        <f t="shared" si="1"/>
        <v>236434</v>
      </c>
      <c r="L16" s="8">
        <f t="shared" si="1"/>
        <v>104052</v>
      </c>
      <c r="M16" s="8">
        <f t="shared" si="1"/>
        <v>12113612</v>
      </c>
      <c r="N16" s="8">
        <f t="shared" si="1"/>
        <v>57986173</v>
      </c>
    </row>
    <row r="17" spans="1:14" s="30" customFormat="1" ht="12.95" customHeight="1" x14ac:dyDescent="0.2">
      <c r="A17" s="91">
        <v>2</v>
      </c>
      <c r="B17" s="91"/>
      <c r="C17" s="92" t="s">
        <v>237</v>
      </c>
      <c r="D17" s="57">
        <f>'8'!E21</f>
        <v>4400612</v>
      </c>
      <c r="E17" s="57">
        <f>'8'!F21</f>
        <v>829736</v>
      </c>
      <c r="F17" s="57">
        <f>'8'!G21</f>
        <v>2532258</v>
      </c>
      <c r="G17" s="57">
        <f>'8'!H21</f>
        <v>5188</v>
      </c>
      <c r="H17" s="57">
        <f>'8'!I21</f>
        <v>190227</v>
      </c>
      <c r="I17" s="57">
        <f>'8'!J21</f>
        <v>208807</v>
      </c>
      <c r="J17" s="57">
        <f>'8'!K21</f>
        <v>54286</v>
      </c>
      <c r="K17" s="57">
        <f>'8'!L21</f>
        <v>0</v>
      </c>
      <c r="L17" s="57"/>
      <c r="M17" s="57"/>
      <c r="N17" s="57">
        <f>SUM(D17:M17)</f>
        <v>8221114</v>
      </c>
    </row>
    <row r="18" spans="1:14" s="30" customFormat="1" ht="12.95" customHeight="1" x14ac:dyDescent="0.2">
      <c r="A18" s="63"/>
      <c r="B18" s="63"/>
      <c r="C18" s="9" t="s">
        <v>227</v>
      </c>
      <c r="D18" s="8">
        <f t="shared" ref="D18:N18" si="2">SUM(D16:D17)</f>
        <v>4632282</v>
      </c>
      <c r="E18" s="8">
        <f t="shared" si="2"/>
        <v>886687</v>
      </c>
      <c r="F18" s="8">
        <f t="shared" si="2"/>
        <v>11560863</v>
      </c>
      <c r="G18" s="8">
        <f t="shared" si="2"/>
        <v>99518</v>
      </c>
      <c r="H18" s="8">
        <f t="shared" si="2"/>
        <v>3485094</v>
      </c>
      <c r="I18" s="8">
        <f t="shared" si="2"/>
        <v>27704772</v>
      </c>
      <c r="J18" s="8">
        <f t="shared" si="2"/>
        <v>5383973</v>
      </c>
      <c r="K18" s="8">
        <f t="shared" si="2"/>
        <v>236434</v>
      </c>
      <c r="L18" s="8">
        <f t="shared" si="2"/>
        <v>104052</v>
      </c>
      <c r="M18" s="8">
        <f t="shared" si="2"/>
        <v>12113612</v>
      </c>
      <c r="N18" s="8">
        <f t="shared" si="2"/>
        <v>66207287</v>
      </c>
    </row>
    <row r="20" spans="1:14" x14ac:dyDescent="0.2">
      <c r="N20" s="115"/>
    </row>
  </sheetData>
  <dataConsolidate/>
  <mergeCells count="6">
    <mergeCell ref="D1:K1"/>
    <mergeCell ref="L1:M1"/>
    <mergeCell ref="N1:N2"/>
    <mergeCell ref="A1:A2"/>
    <mergeCell ref="B1:B2"/>
    <mergeCell ref="C1:C2"/>
  </mergeCells>
  <phoneticPr fontId="0" type="noConversion"/>
  <printOptions horizontalCentered="1" verticalCentered="1"/>
  <pageMargins left="0.23622047244094491" right="0.35433070866141736" top="1.6929133858267718" bottom="0.78740157480314965" header="0.62992125984251968" footer="0.51181102362204722"/>
  <pageSetup paperSize="9" orientation="landscape" horizontalDpi="300" verticalDpi="300" r:id="rId1"/>
  <headerFooter alignWithMargins="0">
    <oddHeader>&amp;C&amp;"Times New Roman CE,Félkövér dőlt"ZALAEGERSZEG MEGYEI JOGÚ VÁROS ÖNKORMÁNYZATÁNAK
2020.  ÉVI KIADÁSI ELŐIRÁNYZATAI
CÍMENKÉNTI BONTÁSBAN&amp;R&amp;"Times New Roman CE,Félkövér dőlt"6. melléklet
Adatok: ezer Ft-ban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839"/>
  <sheetViews>
    <sheetView topLeftCell="B1" zoomScale="97" zoomScaleNormal="97" zoomScaleSheetLayoutView="120" workbookViewId="0">
      <pane ySplit="2" topLeftCell="A135" activePane="bottomLeft" state="frozen"/>
      <selection pane="bottomLeft" activeCell="D127" sqref="D127"/>
    </sheetView>
  </sheetViews>
  <sheetFormatPr defaultRowHeight="12" x14ac:dyDescent="0.2"/>
  <cols>
    <col min="1" max="2" width="4.5" style="1" customWidth="1"/>
    <col min="3" max="3" width="8.6640625" style="1" customWidth="1"/>
    <col min="4" max="4" width="49.1640625" style="1" customWidth="1"/>
    <col min="5" max="5" width="3.1640625" style="1" customWidth="1"/>
    <col min="6" max="6" width="8.6640625" style="1" customWidth="1"/>
    <col min="7" max="7" width="10.5" style="1" customWidth="1"/>
    <col min="8" max="8" width="10.1640625" style="1" customWidth="1"/>
    <col min="9" max="9" width="11" style="1" customWidth="1"/>
    <col min="10" max="10" width="10.33203125" style="1" customWidth="1"/>
    <col min="11" max="11" width="9.83203125" style="1" customWidth="1"/>
    <col min="12" max="12" width="11.1640625" style="1" customWidth="1"/>
    <col min="13" max="13" width="10.5" style="458" customWidth="1"/>
    <col min="14" max="14" width="8.83203125" style="458" customWidth="1"/>
    <col min="15" max="15" width="10.33203125" style="1" customWidth="1"/>
    <col min="16" max="16" width="12.33203125" style="1" customWidth="1"/>
    <col min="17" max="17" width="12.5" style="1" customWidth="1"/>
    <col min="18" max="245" width="9.33203125" style="1"/>
    <col min="246" max="247" width="4.5" style="1" customWidth="1"/>
    <col min="248" max="248" width="8.6640625" style="1" customWidth="1"/>
    <col min="249" max="249" width="49.1640625" style="1" customWidth="1"/>
    <col min="250" max="250" width="3.1640625" style="1" customWidth="1"/>
    <col min="251" max="251" width="8.6640625" style="1" customWidth="1"/>
    <col min="252" max="252" width="10.5" style="1" customWidth="1"/>
    <col min="253" max="253" width="10.1640625" style="1" customWidth="1"/>
    <col min="254" max="254" width="11" style="1" customWidth="1"/>
    <col min="255" max="255" width="10.33203125" style="1" customWidth="1"/>
    <col min="256" max="256" width="9.83203125" style="1" customWidth="1"/>
    <col min="257" max="257" width="11.1640625" style="1" customWidth="1"/>
    <col min="258" max="258" width="10.5" style="1" customWidth="1"/>
    <col min="259" max="259" width="8.83203125" style="1" customWidth="1"/>
    <col min="260" max="260" width="10.33203125" style="1" customWidth="1"/>
    <col min="261" max="261" width="10.6640625" style="1" customWidth="1"/>
    <col min="262" max="262" width="12.5" style="1" customWidth="1"/>
    <col min="263" max="263" width="11.83203125" style="1" customWidth="1"/>
    <col min="264" max="264" width="11.1640625" style="1" customWidth="1"/>
    <col min="265" max="265" width="11" style="1" customWidth="1"/>
    <col min="266" max="266" width="11.1640625" style="1" customWidth="1"/>
    <col min="267" max="267" width="10.1640625" style="1" customWidth="1"/>
    <col min="268" max="268" width="11.83203125" style="1" customWidth="1"/>
    <col min="269" max="269" width="9.33203125" style="1"/>
    <col min="270" max="270" width="10.1640625" style="1" customWidth="1"/>
    <col min="271" max="271" width="10" style="1" customWidth="1"/>
    <col min="272" max="272" width="10.83203125" style="1" customWidth="1"/>
    <col min="273" max="273" width="11.33203125" style="1" customWidth="1"/>
    <col min="274" max="501" width="9.33203125" style="1"/>
    <col min="502" max="503" width="4.5" style="1" customWidth="1"/>
    <col min="504" max="504" width="8.6640625" style="1" customWidth="1"/>
    <col min="505" max="505" width="49.1640625" style="1" customWidth="1"/>
    <col min="506" max="506" width="3.1640625" style="1" customWidth="1"/>
    <col min="507" max="507" width="8.6640625" style="1" customWidth="1"/>
    <col min="508" max="508" width="10.5" style="1" customWidth="1"/>
    <col min="509" max="509" width="10.1640625" style="1" customWidth="1"/>
    <col min="510" max="510" width="11" style="1" customWidth="1"/>
    <col min="511" max="511" width="10.33203125" style="1" customWidth="1"/>
    <col min="512" max="512" width="9.83203125" style="1" customWidth="1"/>
    <col min="513" max="513" width="11.1640625" style="1" customWidth="1"/>
    <col min="514" max="514" width="10.5" style="1" customWidth="1"/>
    <col min="515" max="515" width="8.83203125" style="1" customWidth="1"/>
    <col min="516" max="516" width="10.33203125" style="1" customWidth="1"/>
    <col min="517" max="517" width="10.6640625" style="1" customWidth="1"/>
    <col min="518" max="518" width="12.5" style="1" customWidth="1"/>
    <col min="519" max="519" width="11.83203125" style="1" customWidth="1"/>
    <col min="520" max="520" width="11.1640625" style="1" customWidth="1"/>
    <col min="521" max="521" width="11" style="1" customWidth="1"/>
    <col min="522" max="522" width="11.1640625" style="1" customWidth="1"/>
    <col min="523" max="523" width="10.1640625" style="1" customWidth="1"/>
    <col min="524" max="524" width="11.83203125" style="1" customWidth="1"/>
    <col min="525" max="525" width="9.33203125" style="1"/>
    <col min="526" max="526" width="10.1640625" style="1" customWidth="1"/>
    <col min="527" max="527" width="10" style="1" customWidth="1"/>
    <col min="528" max="528" width="10.83203125" style="1" customWidth="1"/>
    <col min="529" max="529" width="11.33203125" style="1" customWidth="1"/>
    <col min="530" max="757" width="9.33203125" style="1"/>
    <col min="758" max="759" width="4.5" style="1" customWidth="1"/>
    <col min="760" max="760" width="8.6640625" style="1" customWidth="1"/>
    <col min="761" max="761" width="49.1640625" style="1" customWidth="1"/>
    <col min="762" max="762" width="3.1640625" style="1" customWidth="1"/>
    <col min="763" max="763" width="8.6640625" style="1" customWidth="1"/>
    <col min="764" max="764" width="10.5" style="1" customWidth="1"/>
    <col min="765" max="765" width="10.1640625" style="1" customWidth="1"/>
    <col min="766" max="766" width="11" style="1" customWidth="1"/>
    <col min="767" max="767" width="10.33203125" style="1" customWidth="1"/>
    <col min="768" max="768" width="9.83203125" style="1" customWidth="1"/>
    <col min="769" max="769" width="11.1640625" style="1" customWidth="1"/>
    <col min="770" max="770" width="10.5" style="1" customWidth="1"/>
    <col min="771" max="771" width="8.83203125" style="1" customWidth="1"/>
    <col min="772" max="772" width="10.33203125" style="1" customWidth="1"/>
    <col min="773" max="773" width="10.6640625" style="1" customWidth="1"/>
    <col min="774" max="774" width="12.5" style="1" customWidth="1"/>
    <col min="775" max="775" width="11.83203125" style="1" customWidth="1"/>
    <col min="776" max="776" width="11.1640625" style="1" customWidth="1"/>
    <col min="777" max="777" width="11" style="1" customWidth="1"/>
    <col min="778" max="778" width="11.1640625" style="1" customWidth="1"/>
    <col min="779" max="779" width="10.1640625" style="1" customWidth="1"/>
    <col min="780" max="780" width="11.83203125" style="1" customWidth="1"/>
    <col min="781" max="781" width="9.33203125" style="1"/>
    <col min="782" max="782" width="10.1640625" style="1" customWidth="1"/>
    <col min="783" max="783" width="10" style="1" customWidth="1"/>
    <col min="784" max="784" width="10.83203125" style="1" customWidth="1"/>
    <col min="785" max="785" width="11.33203125" style="1" customWidth="1"/>
    <col min="786" max="1013" width="9.33203125" style="1"/>
    <col min="1014" max="1015" width="4.5" style="1" customWidth="1"/>
    <col min="1016" max="1016" width="8.6640625" style="1" customWidth="1"/>
    <col min="1017" max="1017" width="49.1640625" style="1" customWidth="1"/>
    <col min="1018" max="1018" width="3.1640625" style="1" customWidth="1"/>
    <col min="1019" max="1019" width="8.6640625" style="1" customWidth="1"/>
    <col min="1020" max="1020" width="10.5" style="1" customWidth="1"/>
    <col min="1021" max="1021" width="10.1640625" style="1" customWidth="1"/>
    <col min="1022" max="1022" width="11" style="1" customWidth="1"/>
    <col min="1023" max="1023" width="10.33203125" style="1" customWidth="1"/>
    <col min="1024" max="1024" width="9.83203125" style="1" customWidth="1"/>
    <col min="1025" max="1025" width="11.1640625" style="1" customWidth="1"/>
    <col min="1026" max="1026" width="10.5" style="1" customWidth="1"/>
    <col min="1027" max="1027" width="8.83203125" style="1" customWidth="1"/>
    <col min="1028" max="1028" width="10.33203125" style="1" customWidth="1"/>
    <col min="1029" max="1029" width="10.6640625" style="1" customWidth="1"/>
    <col min="1030" max="1030" width="12.5" style="1" customWidth="1"/>
    <col min="1031" max="1031" width="11.83203125" style="1" customWidth="1"/>
    <col min="1032" max="1032" width="11.1640625" style="1" customWidth="1"/>
    <col min="1033" max="1033" width="11" style="1" customWidth="1"/>
    <col min="1034" max="1034" width="11.1640625" style="1" customWidth="1"/>
    <col min="1035" max="1035" width="10.1640625" style="1" customWidth="1"/>
    <col min="1036" max="1036" width="11.83203125" style="1" customWidth="1"/>
    <col min="1037" max="1037" width="9.33203125" style="1"/>
    <col min="1038" max="1038" width="10.1640625" style="1" customWidth="1"/>
    <col min="1039" max="1039" width="10" style="1" customWidth="1"/>
    <col min="1040" max="1040" width="10.83203125" style="1" customWidth="1"/>
    <col min="1041" max="1041" width="11.33203125" style="1" customWidth="1"/>
    <col min="1042" max="1269" width="9.33203125" style="1"/>
    <col min="1270" max="1271" width="4.5" style="1" customWidth="1"/>
    <col min="1272" max="1272" width="8.6640625" style="1" customWidth="1"/>
    <col min="1273" max="1273" width="49.1640625" style="1" customWidth="1"/>
    <col min="1274" max="1274" width="3.1640625" style="1" customWidth="1"/>
    <col min="1275" max="1275" width="8.6640625" style="1" customWidth="1"/>
    <col min="1276" max="1276" width="10.5" style="1" customWidth="1"/>
    <col min="1277" max="1277" width="10.1640625" style="1" customWidth="1"/>
    <col min="1278" max="1278" width="11" style="1" customWidth="1"/>
    <col min="1279" max="1279" width="10.33203125" style="1" customWidth="1"/>
    <col min="1280" max="1280" width="9.83203125" style="1" customWidth="1"/>
    <col min="1281" max="1281" width="11.1640625" style="1" customWidth="1"/>
    <col min="1282" max="1282" width="10.5" style="1" customWidth="1"/>
    <col min="1283" max="1283" width="8.83203125" style="1" customWidth="1"/>
    <col min="1284" max="1284" width="10.33203125" style="1" customWidth="1"/>
    <col min="1285" max="1285" width="10.6640625" style="1" customWidth="1"/>
    <col min="1286" max="1286" width="12.5" style="1" customWidth="1"/>
    <col min="1287" max="1287" width="11.83203125" style="1" customWidth="1"/>
    <col min="1288" max="1288" width="11.1640625" style="1" customWidth="1"/>
    <col min="1289" max="1289" width="11" style="1" customWidth="1"/>
    <col min="1290" max="1290" width="11.1640625" style="1" customWidth="1"/>
    <col min="1291" max="1291" width="10.1640625" style="1" customWidth="1"/>
    <col min="1292" max="1292" width="11.83203125" style="1" customWidth="1"/>
    <col min="1293" max="1293" width="9.33203125" style="1"/>
    <col min="1294" max="1294" width="10.1640625" style="1" customWidth="1"/>
    <col min="1295" max="1295" width="10" style="1" customWidth="1"/>
    <col min="1296" max="1296" width="10.83203125" style="1" customWidth="1"/>
    <col min="1297" max="1297" width="11.33203125" style="1" customWidth="1"/>
    <col min="1298" max="1525" width="9.33203125" style="1"/>
    <col min="1526" max="1527" width="4.5" style="1" customWidth="1"/>
    <col min="1528" max="1528" width="8.6640625" style="1" customWidth="1"/>
    <col min="1529" max="1529" width="49.1640625" style="1" customWidth="1"/>
    <col min="1530" max="1530" width="3.1640625" style="1" customWidth="1"/>
    <col min="1531" max="1531" width="8.6640625" style="1" customWidth="1"/>
    <col min="1532" max="1532" width="10.5" style="1" customWidth="1"/>
    <col min="1533" max="1533" width="10.1640625" style="1" customWidth="1"/>
    <col min="1534" max="1534" width="11" style="1" customWidth="1"/>
    <col min="1535" max="1535" width="10.33203125" style="1" customWidth="1"/>
    <col min="1536" max="1536" width="9.83203125" style="1" customWidth="1"/>
    <col min="1537" max="1537" width="11.1640625" style="1" customWidth="1"/>
    <col min="1538" max="1538" width="10.5" style="1" customWidth="1"/>
    <col min="1539" max="1539" width="8.83203125" style="1" customWidth="1"/>
    <col min="1540" max="1540" width="10.33203125" style="1" customWidth="1"/>
    <col min="1541" max="1541" width="10.6640625" style="1" customWidth="1"/>
    <col min="1542" max="1542" width="12.5" style="1" customWidth="1"/>
    <col min="1543" max="1543" width="11.83203125" style="1" customWidth="1"/>
    <col min="1544" max="1544" width="11.1640625" style="1" customWidth="1"/>
    <col min="1545" max="1545" width="11" style="1" customWidth="1"/>
    <col min="1546" max="1546" width="11.1640625" style="1" customWidth="1"/>
    <col min="1547" max="1547" width="10.1640625" style="1" customWidth="1"/>
    <col min="1548" max="1548" width="11.83203125" style="1" customWidth="1"/>
    <col min="1549" max="1549" width="9.33203125" style="1"/>
    <col min="1550" max="1550" width="10.1640625" style="1" customWidth="1"/>
    <col min="1551" max="1551" width="10" style="1" customWidth="1"/>
    <col min="1552" max="1552" width="10.83203125" style="1" customWidth="1"/>
    <col min="1553" max="1553" width="11.33203125" style="1" customWidth="1"/>
    <col min="1554" max="1781" width="9.33203125" style="1"/>
    <col min="1782" max="1783" width="4.5" style="1" customWidth="1"/>
    <col min="1784" max="1784" width="8.6640625" style="1" customWidth="1"/>
    <col min="1785" max="1785" width="49.1640625" style="1" customWidth="1"/>
    <col min="1786" max="1786" width="3.1640625" style="1" customWidth="1"/>
    <col min="1787" max="1787" width="8.6640625" style="1" customWidth="1"/>
    <col min="1788" max="1788" width="10.5" style="1" customWidth="1"/>
    <col min="1789" max="1789" width="10.1640625" style="1" customWidth="1"/>
    <col min="1790" max="1790" width="11" style="1" customWidth="1"/>
    <col min="1791" max="1791" width="10.33203125" style="1" customWidth="1"/>
    <col min="1792" max="1792" width="9.83203125" style="1" customWidth="1"/>
    <col min="1793" max="1793" width="11.1640625" style="1" customWidth="1"/>
    <col min="1794" max="1794" width="10.5" style="1" customWidth="1"/>
    <col min="1795" max="1795" width="8.83203125" style="1" customWidth="1"/>
    <col min="1796" max="1796" width="10.33203125" style="1" customWidth="1"/>
    <col min="1797" max="1797" width="10.6640625" style="1" customWidth="1"/>
    <col min="1798" max="1798" width="12.5" style="1" customWidth="1"/>
    <col min="1799" max="1799" width="11.83203125" style="1" customWidth="1"/>
    <col min="1800" max="1800" width="11.1640625" style="1" customWidth="1"/>
    <col min="1801" max="1801" width="11" style="1" customWidth="1"/>
    <col min="1802" max="1802" width="11.1640625" style="1" customWidth="1"/>
    <col min="1803" max="1803" width="10.1640625" style="1" customWidth="1"/>
    <col min="1804" max="1804" width="11.83203125" style="1" customWidth="1"/>
    <col min="1805" max="1805" width="9.33203125" style="1"/>
    <col min="1806" max="1806" width="10.1640625" style="1" customWidth="1"/>
    <col min="1807" max="1807" width="10" style="1" customWidth="1"/>
    <col min="1808" max="1808" width="10.83203125" style="1" customWidth="1"/>
    <col min="1809" max="1809" width="11.33203125" style="1" customWidth="1"/>
    <col min="1810" max="2037" width="9.33203125" style="1"/>
    <col min="2038" max="2039" width="4.5" style="1" customWidth="1"/>
    <col min="2040" max="2040" width="8.6640625" style="1" customWidth="1"/>
    <col min="2041" max="2041" width="49.1640625" style="1" customWidth="1"/>
    <col min="2042" max="2042" width="3.1640625" style="1" customWidth="1"/>
    <col min="2043" max="2043" width="8.6640625" style="1" customWidth="1"/>
    <col min="2044" max="2044" width="10.5" style="1" customWidth="1"/>
    <col min="2045" max="2045" width="10.1640625" style="1" customWidth="1"/>
    <col min="2046" max="2046" width="11" style="1" customWidth="1"/>
    <col min="2047" max="2047" width="10.33203125" style="1" customWidth="1"/>
    <col min="2048" max="2048" width="9.83203125" style="1" customWidth="1"/>
    <col min="2049" max="2049" width="11.1640625" style="1" customWidth="1"/>
    <col min="2050" max="2050" width="10.5" style="1" customWidth="1"/>
    <col min="2051" max="2051" width="8.83203125" style="1" customWidth="1"/>
    <col min="2052" max="2052" width="10.33203125" style="1" customWidth="1"/>
    <col min="2053" max="2053" width="10.6640625" style="1" customWidth="1"/>
    <col min="2054" max="2054" width="12.5" style="1" customWidth="1"/>
    <col min="2055" max="2055" width="11.83203125" style="1" customWidth="1"/>
    <col min="2056" max="2056" width="11.1640625" style="1" customWidth="1"/>
    <col min="2057" max="2057" width="11" style="1" customWidth="1"/>
    <col min="2058" max="2058" width="11.1640625" style="1" customWidth="1"/>
    <col min="2059" max="2059" width="10.1640625" style="1" customWidth="1"/>
    <col min="2060" max="2060" width="11.83203125" style="1" customWidth="1"/>
    <col min="2061" max="2061" width="9.33203125" style="1"/>
    <col min="2062" max="2062" width="10.1640625" style="1" customWidth="1"/>
    <col min="2063" max="2063" width="10" style="1" customWidth="1"/>
    <col min="2064" max="2064" width="10.83203125" style="1" customWidth="1"/>
    <col min="2065" max="2065" width="11.33203125" style="1" customWidth="1"/>
    <col min="2066" max="2293" width="9.33203125" style="1"/>
    <col min="2294" max="2295" width="4.5" style="1" customWidth="1"/>
    <col min="2296" max="2296" width="8.6640625" style="1" customWidth="1"/>
    <col min="2297" max="2297" width="49.1640625" style="1" customWidth="1"/>
    <col min="2298" max="2298" width="3.1640625" style="1" customWidth="1"/>
    <col min="2299" max="2299" width="8.6640625" style="1" customWidth="1"/>
    <col min="2300" max="2300" width="10.5" style="1" customWidth="1"/>
    <col min="2301" max="2301" width="10.1640625" style="1" customWidth="1"/>
    <col min="2302" max="2302" width="11" style="1" customWidth="1"/>
    <col min="2303" max="2303" width="10.33203125" style="1" customWidth="1"/>
    <col min="2304" max="2304" width="9.83203125" style="1" customWidth="1"/>
    <col min="2305" max="2305" width="11.1640625" style="1" customWidth="1"/>
    <col min="2306" max="2306" width="10.5" style="1" customWidth="1"/>
    <col min="2307" max="2307" width="8.83203125" style="1" customWidth="1"/>
    <col min="2308" max="2308" width="10.33203125" style="1" customWidth="1"/>
    <col min="2309" max="2309" width="10.6640625" style="1" customWidth="1"/>
    <col min="2310" max="2310" width="12.5" style="1" customWidth="1"/>
    <col min="2311" max="2311" width="11.83203125" style="1" customWidth="1"/>
    <col min="2312" max="2312" width="11.1640625" style="1" customWidth="1"/>
    <col min="2313" max="2313" width="11" style="1" customWidth="1"/>
    <col min="2314" max="2314" width="11.1640625" style="1" customWidth="1"/>
    <col min="2315" max="2315" width="10.1640625" style="1" customWidth="1"/>
    <col min="2316" max="2316" width="11.83203125" style="1" customWidth="1"/>
    <col min="2317" max="2317" width="9.33203125" style="1"/>
    <col min="2318" max="2318" width="10.1640625" style="1" customWidth="1"/>
    <col min="2319" max="2319" width="10" style="1" customWidth="1"/>
    <col min="2320" max="2320" width="10.83203125" style="1" customWidth="1"/>
    <col min="2321" max="2321" width="11.33203125" style="1" customWidth="1"/>
    <col min="2322" max="2549" width="9.33203125" style="1"/>
    <col min="2550" max="2551" width="4.5" style="1" customWidth="1"/>
    <col min="2552" max="2552" width="8.6640625" style="1" customWidth="1"/>
    <col min="2553" max="2553" width="49.1640625" style="1" customWidth="1"/>
    <col min="2554" max="2554" width="3.1640625" style="1" customWidth="1"/>
    <col min="2555" max="2555" width="8.6640625" style="1" customWidth="1"/>
    <col min="2556" max="2556" width="10.5" style="1" customWidth="1"/>
    <col min="2557" max="2557" width="10.1640625" style="1" customWidth="1"/>
    <col min="2558" max="2558" width="11" style="1" customWidth="1"/>
    <col min="2559" max="2559" width="10.33203125" style="1" customWidth="1"/>
    <col min="2560" max="2560" width="9.83203125" style="1" customWidth="1"/>
    <col min="2561" max="2561" width="11.1640625" style="1" customWidth="1"/>
    <col min="2562" max="2562" width="10.5" style="1" customWidth="1"/>
    <col min="2563" max="2563" width="8.83203125" style="1" customWidth="1"/>
    <col min="2564" max="2564" width="10.33203125" style="1" customWidth="1"/>
    <col min="2565" max="2565" width="10.6640625" style="1" customWidth="1"/>
    <col min="2566" max="2566" width="12.5" style="1" customWidth="1"/>
    <col min="2567" max="2567" width="11.83203125" style="1" customWidth="1"/>
    <col min="2568" max="2568" width="11.1640625" style="1" customWidth="1"/>
    <col min="2569" max="2569" width="11" style="1" customWidth="1"/>
    <col min="2570" max="2570" width="11.1640625" style="1" customWidth="1"/>
    <col min="2571" max="2571" width="10.1640625" style="1" customWidth="1"/>
    <col min="2572" max="2572" width="11.83203125" style="1" customWidth="1"/>
    <col min="2573" max="2573" width="9.33203125" style="1"/>
    <col min="2574" max="2574" width="10.1640625" style="1" customWidth="1"/>
    <col min="2575" max="2575" width="10" style="1" customWidth="1"/>
    <col min="2576" max="2576" width="10.83203125" style="1" customWidth="1"/>
    <col min="2577" max="2577" width="11.33203125" style="1" customWidth="1"/>
    <col min="2578" max="2805" width="9.33203125" style="1"/>
    <col min="2806" max="2807" width="4.5" style="1" customWidth="1"/>
    <col min="2808" max="2808" width="8.6640625" style="1" customWidth="1"/>
    <col min="2809" max="2809" width="49.1640625" style="1" customWidth="1"/>
    <col min="2810" max="2810" width="3.1640625" style="1" customWidth="1"/>
    <col min="2811" max="2811" width="8.6640625" style="1" customWidth="1"/>
    <col min="2812" max="2812" width="10.5" style="1" customWidth="1"/>
    <col min="2813" max="2813" width="10.1640625" style="1" customWidth="1"/>
    <col min="2814" max="2814" width="11" style="1" customWidth="1"/>
    <col min="2815" max="2815" width="10.33203125" style="1" customWidth="1"/>
    <col min="2816" max="2816" width="9.83203125" style="1" customWidth="1"/>
    <col min="2817" max="2817" width="11.1640625" style="1" customWidth="1"/>
    <col min="2818" max="2818" width="10.5" style="1" customWidth="1"/>
    <col min="2819" max="2819" width="8.83203125" style="1" customWidth="1"/>
    <col min="2820" max="2820" width="10.33203125" style="1" customWidth="1"/>
    <col min="2821" max="2821" width="10.6640625" style="1" customWidth="1"/>
    <col min="2822" max="2822" width="12.5" style="1" customWidth="1"/>
    <col min="2823" max="2823" width="11.83203125" style="1" customWidth="1"/>
    <col min="2824" max="2824" width="11.1640625" style="1" customWidth="1"/>
    <col min="2825" max="2825" width="11" style="1" customWidth="1"/>
    <col min="2826" max="2826" width="11.1640625" style="1" customWidth="1"/>
    <col min="2827" max="2827" width="10.1640625" style="1" customWidth="1"/>
    <col min="2828" max="2828" width="11.83203125" style="1" customWidth="1"/>
    <col min="2829" max="2829" width="9.33203125" style="1"/>
    <col min="2830" max="2830" width="10.1640625" style="1" customWidth="1"/>
    <col min="2831" max="2831" width="10" style="1" customWidth="1"/>
    <col min="2832" max="2832" width="10.83203125" style="1" customWidth="1"/>
    <col min="2833" max="2833" width="11.33203125" style="1" customWidth="1"/>
    <col min="2834" max="3061" width="9.33203125" style="1"/>
    <col min="3062" max="3063" width="4.5" style="1" customWidth="1"/>
    <col min="3064" max="3064" width="8.6640625" style="1" customWidth="1"/>
    <col min="3065" max="3065" width="49.1640625" style="1" customWidth="1"/>
    <col min="3066" max="3066" width="3.1640625" style="1" customWidth="1"/>
    <col min="3067" max="3067" width="8.6640625" style="1" customWidth="1"/>
    <col min="3068" max="3068" width="10.5" style="1" customWidth="1"/>
    <col min="3069" max="3069" width="10.1640625" style="1" customWidth="1"/>
    <col min="3070" max="3070" width="11" style="1" customWidth="1"/>
    <col min="3071" max="3071" width="10.33203125" style="1" customWidth="1"/>
    <col min="3072" max="3072" width="9.83203125" style="1" customWidth="1"/>
    <col min="3073" max="3073" width="11.1640625" style="1" customWidth="1"/>
    <col min="3074" max="3074" width="10.5" style="1" customWidth="1"/>
    <col min="3075" max="3075" width="8.83203125" style="1" customWidth="1"/>
    <col min="3076" max="3076" width="10.33203125" style="1" customWidth="1"/>
    <col min="3077" max="3077" width="10.6640625" style="1" customWidth="1"/>
    <col min="3078" max="3078" width="12.5" style="1" customWidth="1"/>
    <col min="3079" max="3079" width="11.83203125" style="1" customWidth="1"/>
    <col min="3080" max="3080" width="11.1640625" style="1" customWidth="1"/>
    <col min="3081" max="3081" width="11" style="1" customWidth="1"/>
    <col min="3082" max="3082" width="11.1640625" style="1" customWidth="1"/>
    <col min="3083" max="3083" width="10.1640625" style="1" customWidth="1"/>
    <col min="3084" max="3084" width="11.83203125" style="1" customWidth="1"/>
    <col min="3085" max="3085" width="9.33203125" style="1"/>
    <col min="3086" max="3086" width="10.1640625" style="1" customWidth="1"/>
    <col min="3087" max="3087" width="10" style="1" customWidth="1"/>
    <col min="3088" max="3088" width="10.83203125" style="1" customWidth="1"/>
    <col min="3089" max="3089" width="11.33203125" style="1" customWidth="1"/>
    <col min="3090" max="3317" width="9.33203125" style="1"/>
    <col min="3318" max="3319" width="4.5" style="1" customWidth="1"/>
    <col min="3320" max="3320" width="8.6640625" style="1" customWidth="1"/>
    <col min="3321" max="3321" width="49.1640625" style="1" customWidth="1"/>
    <col min="3322" max="3322" width="3.1640625" style="1" customWidth="1"/>
    <col min="3323" max="3323" width="8.6640625" style="1" customWidth="1"/>
    <col min="3324" max="3324" width="10.5" style="1" customWidth="1"/>
    <col min="3325" max="3325" width="10.1640625" style="1" customWidth="1"/>
    <col min="3326" max="3326" width="11" style="1" customWidth="1"/>
    <col min="3327" max="3327" width="10.33203125" style="1" customWidth="1"/>
    <col min="3328" max="3328" width="9.83203125" style="1" customWidth="1"/>
    <col min="3329" max="3329" width="11.1640625" style="1" customWidth="1"/>
    <col min="3330" max="3330" width="10.5" style="1" customWidth="1"/>
    <col min="3331" max="3331" width="8.83203125" style="1" customWidth="1"/>
    <col min="3332" max="3332" width="10.33203125" style="1" customWidth="1"/>
    <col min="3333" max="3333" width="10.6640625" style="1" customWidth="1"/>
    <col min="3334" max="3334" width="12.5" style="1" customWidth="1"/>
    <col min="3335" max="3335" width="11.83203125" style="1" customWidth="1"/>
    <col min="3336" max="3336" width="11.1640625" style="1" customWidth="1"/>
    <col min="3337" max="3337" width="11" style="1" customWidth="1"/>
    <col min="3338" max="3338" width="11.1640625" style="1" customWidth="1"/>
    <col min="3339" max="3339" width="10.1640625" style="1" customWidth="1"/>
    <col min="3340" max="3340" width="11.83203125" style="1" customWidth="1"/>
    <col min="3341" max="3341" width="9.33203125" style="1"/>
    <col min="3342" max="3342" width="10.1640625" style="1" customWidth="1"/>
    <col min="3343" max="3343" width="10" style="1" customWidth="1"/>
    <col min="3344" max="3344" width="10.83203125" style="1" customWidth="1"/>
    <col min="3345" max="3345" width="11.33203125" style="1" customWidth="1"/>
    <col min="3346" max="3573" width="9.33203125" style="1"/>
    <col min="3574" max="3575" width="4.5" style="1" customWidth="1"/>
    <col min="3576" max="3576" width="8.6640625" style="1" customWidth="1"/>
    <col min="3577" max="3577" width="49.1640625" style="1" customWidth="1"/>
    <col min="3578" max="3578" width="3.1640625" style="1" customWidth="1"/>
    <col min="3579" max="3579" width="8.6640625" style="1" customWidth="1"/>
    <col min="3580" max="3580" width="10.5" style="1" customWidth="1"/>
    <col min="3581" max="3581" width="10.1640625" style="1" customWidth="1"/>
    <col min="3582" max="3582" width="11" style="1" customWidth="1"/>
    <col min="3583" max="3583" width="10.33203125" style="1" customWidth="1"/>
    <col min="3584" max="3584" width="9.83203125" style="1" customWidth="1"/>
    <col min="3585" max="3585" width="11.1640625" style="1" customWidth="1"/>
    <col min="3586" max="3586" width="10.5" style="1" customWidth="1"/>
    <col min="3587" max="3587" width="8.83203125" style="1" customWidth="1"/>
    <col min="3588" max="3588" width="10.33203125" style="1" customWidth="1"/>
    <col min="3589" max="3589" width="10.6640625" style="1" customWidth="1"/>
    <col min="3590" max="3590" width="12.5" style="1" customWidth="1"/>
    <col min="3591" max="3591" width="11.83203125" style="1" customWidth="1"/>
    <col min="3592" max="3592" width="11.1640625" style="1" customWidth="1"/>
    <col min="3593" max="3593" width="11" style="1" customWidth="1"/>
    <col min="3594" max="3594" width="11.1640625" style="1" customWidth="1"/>
    <col min="3595" max="3595" width="10.1640625" style="1" customWidth="1"/>
    <col min="3596" max="3596" width="11.83203125" style="1" customWidth="1"/>
    <col min="3597" max="3597" width="9.33203125" style="1"/>
    <col min="3598" max="3598" width="10.1640625" style="1" customWidth="1"/>
    <col min="3599" max="3599" width="10" style="1" customWidth="1"/>
    <col min="3600" max="3600" width="10.83203125" style="1" customWidth="1"/>
    <col min="3601" max="3601" width="11.33203125" style="1" customWidth="1"/>
    <col min="3602" max="3829" width="9.33203125" style="1"/>
    <col min="3830" max="3831" width="4.5" style="1" customWidth="1"/>
    <col min="3832" max="3832" width="8.6640625" style="1" customWidth="1"/>
    <col min="3833" max="3833" width="49.1640625" style="1" customWidth="1"/>
    <col min="3834" max="3834" width="3.1640625" style="1" customWidth="1"/>
    <col min="3835" max="3835" width="8.6640625" style="1" customWidth="1"/>
    <col min="3836" max="3836" width="10.5" style="1" customWidth="1"/>
    <col min="3837" max="3837" width="10.1640625" style="1" customWidth="1"/>
    <col min="3838" max="3838" width="11" style="1" customWidth="1"/>
    <col min="3839" max="3839" width="10.33203125" style="1" customWidth="1"/>
    <col min="3840" max="3840" width="9.83203125" style="1" customWidth="1"/>
    <col min="3841" max="3841" width="11.1640625" style="1" customWidth="1"/>
    <col min="3842" max="3842" width="10.5" style="1" customWidth="1"/>
    <col min="3843" max="3843" width="8.83203125" style="1" customWidth="1"/>
    <col min="3844" max="3844" width="10.33203125" style="1" customWidth="1"/>
    <col min="3845" max="3845" width="10.6640625" style="1" customWidth="1"/>
    <col min="3846" max="3846" width="12.5" style="1" customWidth="1"/>
    <col min="3847" max="3847" width="11.83203125" style="1" customWidth="1"/>
    <col min="3848" max="3848" width="11.1640625" style="1" customWidth="1"/>
    <col min="3849" max="3849" width="11" style="1" customWidth="1"/>
    <col min="3850" max="3850" width="11.1640625" style="1" customWidth="1"/>
    <col min="3851" max="3851" width="10.1640625" style="1" customWidth="1"/>
    <col min="3852" max="3852" width="11.83203125" style="1" customWidth="1"/>
    <col min="3853" max="3853" width="9.33203125" style="1"/>
    <col min="3854" max="3854" width="10.1640625" style="1" customWidth="1"/>
    <col min="3855" max="3855" width="10" style="1" customWidth="1"/>
    <col min="3856" max="3856" width="10.83203125" style="1" customWidth="1"/>
    <col min="3857" max="3857" width="11.33203125" style="1" customWidth="1"/>
    <col min="3858" max="4085" width="9.33203125" style="1"/>
    <col min="4086" max="4087" width="4.5" style="1" customWidth="1"/>
    <col min="4088" max="4088" width="8.6640625" style="1" customWidth="1"/>
    <col min="4089" max="4089" width="49.1640625" style="1" customWidth="1"/>
    <col min="4090" max="4090" width="3.1640625" style="1" customWidth="1"/>
    <col min="4091" max="4091" width="8.6640625" style="1" customWidth="1"/>
    <col min="4092" max="4092" width="10.5" style="1" customWidth="1"/>
    <col min="4093" max="4093" width="10.1640625" style="1" customWidth="1"/>
    <col min="4094" max="4094" width="11" style="1" customWidth="1"/>
    <col min="4095" max="4095" width="10.33203125" style="1" customWidth="1"/>
    <col min="4096" max="4096" width="9.83203125" style="1" customWidth="1"/>
    <col min="4097" max="4097" width="11.1640625" style="1" customWidth="1"/>
    <col min="4098" max="4098" width="10.5" style="1" customWidth="1"/>
    <col min="4099" max="4099" width="8.83203125" style="1" customWidth="1"/>
    <col min="4100" max="4100" width="10.33203125" style="1" customWidth="1"/>
    <col min="4101" max="4101" width="10.6640625" style="1" customWidth="1"/>
    <col min="4102" max="4102" width="12.5" style="1" customWidth="1"/>
    <col min="4103" max="4103" width="11.83203125" style="1" customWidth="1"/>
    <col min="4104" max="4104" width="11.1640625" style="1" customWidth="1"/>
    <col min="4105" max="4105" width="11" style="1" customWidth="1"/>
    <col min="4106" max="4106" width="11.1640625" style="1" customWidth="1"/>
    <col min="4107" max="4107" width="10.1640625" style="1" customWidth="1"/>
    <col min="4108" max="4108" width="11.83203125" style="1" customWidth="1"/>
    <col min="4109" max="4109" width="9.33203125" style="1"/>
    <col min="4110" max="4110" width="10.1640625" style="1" customWidth="1"/>
    <col min="4111" max="4111" width="10" style="1" customWidth="1"/>
    <col min="4112" max="4112" width="10.83203125" style="1" customWidth="1"/>
    <col min="4113" max="4113" width="11.33203125" style="1" customWidth="1"/>
    <col min="4114" max="4341" width="9.33203125" style="1"/>
    <col min="4342" max="4343" width="4.5" style="1" customWidth="1"/>
    <col min="4344" max="4344" width="8.6640625" style="1" customWidth="1"/>
    <col min="4345" max="4345" width="49.1640625" style="1" customWidth="1"/>
    <col min="4346" max="4346" width="3.1640625" style="1" customWidth="1"/>
    <col min="4347" max="4347" width="8.6640625" style="1" customWidth="1"/>
    <col min="4348" max="4348" width="10.5" style="1" customWidth="1"/>
    <col min="4349" max="4349" width="10.1640625" style="1" customWidth="1"/>
    <col min="4350" max="4350" width="11" style="1" customWidth="1"/>
    <col min="4351" max="4351" width="10.33203125" style="1" customWidth="1"/>
    <col min="4352" max="4352" width="9.83203125" style="1" customWidth="1"/>
    <col min="4353" max="4353" width="11.1640625" style="1" customWidth="1"/>
    <col min="4354" max="4354" width="10.5" style="1" customWidth="1"/>
    <col min="4355" max="4355" width="8.83203125" style="1" customWidth="1"/>
    <col min="4356" max="4356" width="10.33203125" style="1" customWidth="1"/>
    <col min="4357" max="4357" width="10.6640625" style="1" customWidth="1"/>
    <col min="4358" max="4358" width="12.5" style="1" customWidth="1"/>
    <col min="4359" max="4359" width="11.83203125" style="1" customWidth="1"/>
    <col min="4360" max="4360" width="11.1640625" style="1" customWidth="1"/>
    <col min="4361" max="4361" width="11" style="1" customWidth="1"/>
    <col min="4362" max="4362" width="11.1640625" style="1" customWidth="1"/>
    <col min="4363" max="4363" width="10.1640625" style="1" customWidth="1"/>
    <col min="4364" max="4364" width="11.83203125" style="1" customWidth="1"/>
    <col min="4365" max="4365" width="9.33203125" style="1"/>
    <col min="4366" max="4366" width="10.1640625" style="1" customWidth="1"/>
    <col min="4367" max="4367" width="10" style="1" customWidth="1"/>
    <col min="4368" max="4368" width="10.83203125" style="1" customWidth="1"/>
    <col min="4369" max="4369" width="11.33203125" style="1" customWidth="1"/>
    <col min="4370" max="4597" width="9.33203125" style="1"/>
    <col min="4598" max="4599" width="4.5" style="1" customWidth="1"/>
    <col min="4600" max="4600" width="8.6640625" style="1" customWidth="1"/>
    <col min="4601" max="4601" width="49.1640625" style="1" customWidth="1"/>
    <col min="4602" max="4602" width="3.1640625" style="1" customWidth="1"/>
    <col min="4603" max="4603" width="8.6640625" style="1" customWidth="1"/>
    <col min="4604" max="4604" width="10.5" style="1" customWidth="1"/>
    <col min="4605" max="4605" width="10.1640625" style="1" customWidth="1"/>
    <col min="4606" max="4606" width="11" style="1" customWidth="1"/>
    <col min="4607" max="4607" width="10.33203125" style="1" customWidth="1"/>
    <col min="4608" max="4608" width="9.83203125" style="1" customWidth="1"/>
    <col min="4609" max="4609" width="11.1640625" style="1" customWidth="1"/>
    <col min="4610" max="4610" width="10.5" style="1" customWidth="1"/>
    <col min="4611" max="4611" width="8.83203125" style="1" customWidth="1"/>
    <col min="4612" max="4612" width="10.33203125" style="1" customWidth="1"/>
    <col min="4613" max="4613" width="10.6640625" style="1" customWidth="1"/>
    <col min="4614" max="4614" width="12.5" style="1" customWidth="1"/>
    <col min="4615" max="4615" width="11.83203125" style="1" customWidth="1"/>
    <col min="4616" max="4616" width="11.1640625" style="1" customWidth="1"/>
    <col min="4617" max="4617" width="11" style="1" customWidth="1"/>
    <col min="4618" max="4618" width="11.1640625" style="1" customWidth="1"/>
    <col min="4619" max="4619" width="10.1640625" style="1" customWidth="1"/>
    <col min="4620" max="4620" width="11.83203125" style="1" customWidth="1"/>
    <col min="4621" max="4621" width="9.33203125" style="1"/>
    <col min="4622" max="4622" width="10.1640625" style="1" customWidth="1"/>
    <col min="4623" max="4623" width="10" style="1" customWidth="1"/>
    <col min="4624" max="4624" width="10.83203125" style="1" customWidth="1"/>
    <col min="4625" max="4625" width="11.33203125" style="1" customWidth="1"/>
    <col min="4626" max="4853" width="9.33203125" style="1"/>
    <col min="4854" max="4855" width="4.5" style="1" customWidth="1"/>
    <col min="4856" max="4856" width="8.6640625" style="1" customWidth="1"/>
    <col min="4857" max="4857" width="49.1640625" style="1" customWidth="1"/>
    <col min="4858" max="4858" width="3.1640625" style="1" customWidth="1"/>
    <col min="4859" max="4859" width="8.6640625" style="1" customWidth="1"/>
    <col min="4860" max="4860" width="10.5" style="1" customWidth="1"/>
    <col min="4861" max="4861" width="10.1640625" style="1" customWidth="1"/>
    <col min="4862" max="4862" width="11" style="1" customWidth="1"/>
    <col min="4863" max="4863" width="10.33203125" style="1" customWidth="1"/>
    <col min="4864" max="4864" width="9.83203125" style="1" customWidth="1"/>
    <col min="4865" max="4865" width="11.1640625" style="1" customWidth="1"/>
    <col min="4866" max="4866" width="10.5" style="1" customWidth="1"/>
    <col min="4867" max="4867" width="8.83203125" style="1" customWidth="1"/>
    <col min="4868" max="4868" width="10.33203125" style="1" customWidth="1"/>
    <col min="4869" max="4869" width="10.6640625" style="1" customWidth="1"/>
    <col min="4870" max="4870" width="12.5" style="1" customWidth="1"/>
    <col min="4871" max="4871" width="11.83203125" style="1" customWidth="1"/>
    <col min="4872" max="4872" width="11.1640625" style="1" customWidth="1"/>
    <col min="4873" max="4873" width="11" style="1" customWidth="1"/>
    <col min="4874" max="4874" width="11.1640625" style="1" customWidth="1"/>
    <col min="4875" max="4875" width="10.1640625" style="1" customWidth="1"/>
    <col min="4876" max="4876" width="11.83203125" style="1" customWidth="1"/>
    <col min="4877" max="4877" width="9.33203125" style="1"/>
    <col min="4878" max="4878" width="10.1640625" style="1" customWidth="1"/>
    <col min="4879" max="4879" width="10" style="1" customWidth="1"/>
    <col min="4880" max="4880" width="10.83203125" style="1" customWidth="1"/>
    <col min="4881" max="4881" width="11.33203125" style="1" customWidth="1"/>
    <col min="4882" max="5109" width="9.33203125" style="1"/>
    <col min="5110" max="5111" width="4.5" style="1" customWidth="1"/>
    <col min="5112" max="5112" width="8.6640625" style="1" customWidth="1"/>
    <col min="5113" max="5113" width="49.1640625" style="1" customWidth="1"/>
    <col min="5114" max="5114" width="3.1640625" style="1" customWidth="1"/>
    <col min="5115" max="5115" width="8.6640625" style="1" customWidth="1"/>
    <col min="5116" max="5116" width="10.5" style="1" customWidth="1"/>
    <col min="5117" max="5117" width="10.1640625" style="1" customWidth="1"/>
    <col min="5118" max="5118" width="11" style="1" customWidth="1"/>
    <col min="5119" max="5119" width="10.33203125" style="1" customWidth="1"/>
    <col min="5120" max="5120" width="9.83203125" style="1" customWidth="1"/>
    <col min="5121" max="5121" width="11.1640625" style="1" customWidth="1"/>
    <col min="5122" max="5122" width="10.5" style="1" customWidth="1"/>
    <col min="5123" max="5123" width="8.83203125" style="1" customWidth="1"/>
    <col min="5124" max="5124" width="10.33203125" style="1" customWidth="1"/>
    <col min="5125" max="5125" width="10.6640625" style="1" customWidth="1"/>
    <col min="5126" max="5126" width="12.5" style="1" customWidth="1"/>
    <col min="5127" max="5127" width="11.83203125" style="1" customWidth="1"/>
    <col min="5128" max="5128" width="11.1640625" style="1" customWidth="1"/>
    <col min="5129" max="5129" width="11" style="1" customWidth="1"/>
    <col min="5130" max="5130" width="11.1640625" style="1" customWidth="1"/>
    <col min="5131" max="5131" width="10.1640625" style="1" customWidth="1"/>
    <col min="5132" max="5132" width="11.83203125" style="1" customWidth="1"/>
    <col min="5133" max="5133" width="9.33203125" style="1"/>
    <col min="5134" max="5134" width="10.1640625" style="1" customWidth="1"/>
    <col min="5135" max="5135" width="10" style="1" customWidth="1"/>
    <col min="5136" max="5136" width="10.83203125" style="1" customWidth="1"/>
    <col min="5137" max="5137" width="11.33203125" style="1" customWidth="1"/>
    <col min="5138" max="5365" width="9.33203125" style="1"/>
    <col min="5366" max="5367" width="4.5" style="1" customWidth="1"/>
    <col min="5368" max="5368" width="8.6640625" style="1" customWidth="1"/>
    <col min="5369" max="5369" width="49.1640625" style="1" customWidth="1"/>
    <col min="5370" max="5370" width="3.1640625" style="1" customWidth="1"/>
    <col min="5371" max="5371" width="8.6640625" style="1" customWidth="1"/>
    <col min="5372" max="5372" width="10.5" style="1" customWidth="1"/>
    <col min="5373" max="5373" width="10.1640625" style="1" customWidth="1"/>
    <col min="5374" max="5374" width="11" style="1" customWidth="1"/>
    <col min="5375" max="5375" width="10.33203125" style="1" customWidth="1"/>
    <col min="5376" max="5376" width="9.83203125" style="1" customWidth="1"/>
    <col min="5377" max="5377" width="11.1640625" style="1" customWidth="1"/>
    <col min="5378" max="5378" width="10.5" style="1" customWidth="1"/>
    <col min="5379" max="5379" width="8.83203125" style="1" customWidth="1"/>
    <col min="5380" max="5380" width="10.33203125" style="1" customWidth="1"/>
    <col min="5381" max="5381" width="10.6640625" style="1" customWidth="1"/>
    <col min="5382" max="5382" width="12.5" style="1" customWidth="1"/>
    <col min="5383" max="5383" width="11.83203125" style="1" customWidth="1"/>
    <col min="5384" max="5384" width="11.1640625" style="1" customWidth="1"/>
    <col min="5385" max="5385" width="11" style="1" customWidth="1"/>
    <col min="5386" max="5386" width="11.1640625" style="1" customWidth="1"/>
    <col min="5387" max="5387" width="10.1640625" style="1" customWidth="1"/>
    <col min="5388" max="5388" width="11.83203125" style="1" customWidth="1"/>
    <col min="5389" max="5389" width="9.33203125" style="1"/>
    <col min="5390" max="5390" width="10.1640625" style="1" customWidth="1"/>
    <col min="5391" max="5391" width="10" style="1" customWidth="1"/>
    <col min="5392" max="5392" width="10.83203125" style="1" customWidth="1"/>
    <col min="5393" max="5393" width="11.33203125" style="1" customWidth="1"/>
    <col min="5394" max="5621" width="9.33203125" style="1"/>
    <col min="5622" max="5623" width="4.5" style="1" customWidth="1"/>
    <col min="5624" max="5624" width="8.6640625" style="1" customWidth="1"/>
    <col min="5625" max="5625" width="49.1640625" style="1" customWidth="1"/>
    <col min="5626" max="5626" width="3.1640625" style="1" customWidth="1"/>
    <col min="5627" max="5627" width="8.6640625" style="1" customWidth="1"/>
    <col min="5628" max="5628" width="10.5" style="1" customWidth="1"/>
    <col min="5629" max="5629" width="10.1640625" style="1" customWidth="1"/>
    <col min="5630" max="5630" width="11" style="1" customWidth="1"/>
    <col min="5631" max="5631" width="10.33203125" style="1" customWidth="1"/>
    <col min="5632" max="5632" width="9.83203125" style="1" customWidth="1"/>
    <col min="5633" max="5633" width="11.1640625" style="1" customWidth="1"/>
    <col min="5634" max="5634" width="10.5" style="1" customWidth="1"/>
    <col min="5635" max="5635" width="8.83203125" style="1" customWidth="1"/>
    <col min="5636" max="5636" width="10.33203125" style="1" customWidth="1"/>
    <col min="5637" max="5637" width="10.6640625" style="1" customWidth="1"/>
    <col min="5638" max="5638" width="12.5" style="1" customWidth="1"/>
    <col min="5639" max="5639" width="11.83203125" style="1" customWidth="1"/>
    <col min="5640" max="5640" width="11.1640625" style="1" customWidth="1"/>
    <col min="5641" max="5641" width="11" style="1" customWidth="1"/>
    <col min="5642" max="5642" width="11.1640625" style="1" customWidth="1"/>
    <col min="5643" max="5643" width="10.1640625" style="1" customWidth="1"/>
    <col min="5644" max="5644" width="11.83203125" style="1" customWidth="1"/>
    <col min="5645" max="5645" width="9.33203125" style="1"/>
    <col min="5646" max="5646" width="10.1640625" style="1" customWidth="1"/>
    <col min="5647" max="5647" width="10" style="1" customWidth="1"/>
    <col min="5648" max="5648" width="10.83203125" style="1" customWidth="1"/>
    <col min="5649" max="5649" width="11.33203125" style="1" customWidth="1"/>
    <col min="5650" max="5877" width="9.33203125" style="1"/>
    <col min="5878" max="5879" width="4.5" style="1" customWidth="1"/>
    <col min="5880" max="5880" width="8.6640625" style="1" customWidth="1"/>
    <col min="5881" max="5881" width="49.1640625" style="1" customWidth="1"/>
    <col min="5882" max="5882" width="3.1640625" style="1" customWidth="1"/>
    <col min="5883" max="5883" width="8.6640625" style="1" customWidth="1"/>
    <col min="5884" max="5884" width="10.5" style="1" customWidth="1"/>
    <col min="5885" max="5885" width="10.1640625" style="1" customWidth="1"/>
    <col min="5886" max="5886" width="11" style="1" customWidth="1"/>
    <col min="5887" max="5887" width="10.33203125" style="1" customWidth="1"/>
    <col min="5888" max="5888" width="9.83203125" style="1" customWidth="1"/>
    <col min="5889" max="5889" width="11.1640625" style="1" customWidth="1"/>
    <col min="5890" max="5890" width="10.5" style="1" customWidth="1"/>
    <col min="5891" max="5891" width="8.83203125" style="1" customWidth="1"/>
    <col min="5892" max="5892" width="10.33203125" style="1" customWidth="1"/>
    <col min="5893" max="5893" width="10.6640625" style="1" customWidth="1"/>
    <col min="5894" max="5894" width="12.5" style="1" customWidth="1"/>
    <col min="5895" max="5895" width="11.83203125" style="1" customWidth="1"/>
    <col min="5896" max="5896" width="11.1640625" style="1" customWidth="1"/>
    <col min="5897" max="5897" width="11" style="1" customWidth="1"/>
    <col min="5898" max="5898" width="11.1640625" style="1" customWidth="1"/>
    <col min="5899" max="5899" width="10.1640625" style="1" customWidth="1"/>
    <col min="5900" max="5900" width="11.83203125" style="1" customWidth="1"/>
    <col min="5901" max="5901" width="9.33203125" style="1"/>
    <col min="5902" max="5902" width="10.1640625" style="1" customWidth="1"/>
    <col min="5903" max="5903" width="10" style="1" customWidth="1"/>
    <col min="5904" max="5904" width="10.83203125" style="1" customWidth="1"/>
    <col min="5905" max="5905" width="11.33203125" style="1" customWidth="1"/>
    <col min="5906" max="6133" width="9.33203125" style="1"/>
    <col min="6134" max="6135" width="4.5" style="1" customWidth="1"/>
    <col min="6136" max="6136" width="8.6640625" style="1" customWidth="1"/>
    <col min="6137" max="6137" width="49.1640625" style="1" customWidth="1"/>
    <col min="6138" max="6138" width="3.1640625" style="1" customWidth="1"/>
    <col min="6139" max="6139" width="8.6640625" style="1" customWidth="1"/>
    <col min="6140" max="6140" width="10.5" style="1" customWidth="1"/>
    <col min="6141" max="6141" width="10.1640625" style="1" customWidth="1"/>
    <col min="6142" max="6142" width="11" style="1" customWidth="1"/>
    <col min="6143" max="6143" width="10.33203125" style="1" customWidth="1"/>
    <col min="6144" max="6144" width="9.83203125" style="1" customWidth="1"/>
    <col min="6145" max="6145" width="11.1640625" style="1" customWidth="1"/>
    <col min="6146" max="6146" width="10.5" style="1" customWidth="1"/>
    <col min="6147" max="6147" width="8.83203125" style="1" customWidth="1"/>
    <col min="6148" max="6148" width="10.33203125" style="1" customWidth="1"/>
    <col min="6149" max="6149" width="10.6640625" style="1" customWidth="1"/>
    <col min="6150" max="6150" width="12.5" style="1" customWidth="1"/>
    <col min="6151" max="6151" width="11.83203125" style="1" customWidth="1"/>
    <col min="6152" max="6152" width="11.1640625" style="1" customWidth="1"/>
    <col min="6153" max="6153" width="11" style="1" customWidth="1"/>
    <col min="6154" max="6154" width="11.1640625" style="1" customWidth="1"/>
    <col min="6155" max="6155" width="10.1640625" style="1" customWidth="1"/>
    <col min="6156" max="6156" width="11.83203125" style="1" customWidth="1"/>
    <col min="6157" max="6157" width="9.33203125" style="1"/>
    <col min="6158" max="6158" width="10.1640625" style="1" customWidth="1"/>
    <col min="6159" max="6159" width="10" style="1" customWidth="1"/>
    <col min="6160" max="6160" width="10.83203125" style="1" customWidth="1"/>
    <col min="6161" max="6161" width="11.33203125" style="1" customWidth="1"/>
    <col min="6162" max="6389" width="9.33203125" style="1"/>
    <col min="6390" max="6391" width="4.5" style="1" customWidth="1"/>
    <col min="6392" max="6392" width="8.6640625" style="1" customWidth="1"/>
    <col min="6393" max="6393" width="49.1640625" style="1" customWidth="1"/>
    <col min="6394" max="6394" width="3.1640625" style="1" customWidth="1"/>
    <col min="6395" max="6395" width="8.6640625" style="1" customWidth="1"/>
    <col min="6396" max="6396" width="10.5" style="1" customWidth="1"/>
    <col min="6397" max="6397" width="10.1640625" style="1" customWidth="1"/>
    <col min="6398" max="6398" width="11" style="1" customWidth="1"/>
    <col min="6399" max="6399" width="10.33203125" style="1" customWidth="1"/>
    <col min="6400" max="6400" width="9.83203125" style="1" customWidth="1"/>
    <col min="6401" max="6401" width="11.1640625" style="1" customWidth="1"/>
    <col min="6402" max="6402" width="10.5" style="1" customWidth="1"/>
    <col min="6403" max="6403" width="8.83203125" style="1" customWidth="1"/>
    <col min="6404" max="6404" width="10.33203125" style="1" customWidth="1"/>
    <col min="6405" max="6405" width="10.6640625" style="1" customWidth="1"/>
    <col min="6406" max="6406" width="12.5" style="1" customWidth="1"/>
    <col min="6407" max="6407" width="11.83203125" style="1" customWidth="1"/>
    <col min="6408" max="6408" width="11.1640625" style="1" customWidth="1"/>
    <col min="6409" max="6409" width="11" style="1" customWidth="1"/>
    <col min="6410" max="6410" width="11.1640625" style="1" customWidth="1"/>
    <col min="6411" max="6411" width="10.1640625" style="1" customWidth="1"/>
    <col min="6412" max="6412" width="11.83203125" style="1" customWidth="1"/>
    <col min="6413" max="6413" width="9.33203125" style="1"/>
    <col min="6414" max="6414" width="10.1640625" style="1" customWidth="1"/>
    <col min="6415" max="6415" width="10" style="1" customWidth="1"/>
    <col min="6416" max="6416" width="10.83203125" style="1" customWidth="1"/>
    <col min="6417" max="6417" width="11.33203125" style="1" customWidth="1"/>
    <col min="6418" max="6645" width="9.33203125" style="1"/>
    <col min="6646" max="6647" width="4.5" style="1" customWidth="1"/>
    <col min="6648" max="6648" width="8.6640625" style="1" customWidth="1"/>
    <col min="6649" max="6649" width="49.1640625" style="1" customWidth="1"/>
    <col min="6650" max="6650" width="3.1640625" style="1" customWidth="1"/>
    <col min="6651" max="6651" width="8.6640625" style="1" customWidth="1"/>
    <col min="6652" max="6652" width="10.5" style="1" customWidth="1"/>
    <col min="6653" max="6653" width="10.1640625" style="1" customWidth="1"/>
    <col min="6654" max="6654" width="11" style="1" customWidth="1"/>
    <col min="6655" max="6655" width="10.33203125" style="1" customWidth="1"/>
    <col min="6656" max="6656" width="9.83203125" style="1" customWidth="1"/>
    <col min="6657" max="6657" width="11.1640625" style="1" customWidth="1"/>
    <col min="6658" max="6658" width="10.5" style="1" customWidth="1"/>
    <col min="6659" max="6659" width="8.83203125" style="1" customWidth="1"/>
    <col min="6660" max="6660" width="10.33203125" style="1" customWidth="1"/>
    <col min="6661" max="6661" width="10.6640625" style="1" customWidth="1"/>
    <col min="6662" max="6662" width="12.5" style="1" customWidth="1"/>
    <col min="6663" max="6663" width="11.83203125" style="1" customWidth="1"/>
    <col min="6664" max="6664" width="11.1640625" style="1" customWidth="1"/>
    <col min="6665" max="6665" width="11" style="1" customWidth="1"/>
    <col min="6666" max="6666" width="11.1640625" style="1" customWidth="1"/>
    <col min="6667" max="6667" width="10.1640625" style="1" customWidth="1"/>
    <col min="6668" max="6668" width="11.83203125" style="1" customWidth="1"/>
    <col min="6669" max="6669" width="9.33203125" style="1"/>
    <col min="6670" max="6670" width="10.1640625" style="1" customWidth="1"/>
    <col min="6671" max="6671" width="10" style="1" customWidth="1"/>
    <col min="6672" max="6672" width="10.83203125" style="1" customWidth="1"/>
    <col min="6673" max="6673" width="11.33203125" style="1" customWidth="1"/>
    <col min="6674" max="6901" width="9.33203125" style="1"/>
    <col min="6902" max="6903" width="4.5" style="1" customWidth="1"/>
    <col min="6904" max="6904" width="8.6640625" style="1" customWidth="1"/>
    <col min="6905" max="6905" width="49.1640625" style="1" customWidth="1"/>
    <col min="6906" max="6906" width="3.1640625" style="1" customWidth="1"/>
    <col min="6907" max="6907" width="8.6640625" style="1" customWidth="1"/>
    <col min="6908" max="6908" width="10.5" style="1" customWidth="1"/>
    <col min="6909" max="6909" width="10.1640625" style="1" customWidth="1"/>
    <col min="6910" max="6910" width="11" style="1" customWidth="1"/>
    <col min="6911" max="6911" width="10.33203125" style="1" customWidth="1"/>
    <col min="6912" max="6912" width="9.83203125" style="1" customWidth="1"/>
    <col min="6913" max="6913" width="11.1640625" style="1" customWidth="1"/>
    <col min="6914" max="6914" width="10.5" style="1" customWidth="1"/>
    <col min="6915" max="6915" width="8.83203125" style="1" customWidth="1"/>
    <col min="6916" max="6916" width="10.33203125" style="1" customWidth="1"/>
    <col min="6917" max="6917" width="10.6640625" style="1" customWidth="1"/>
    <col min="6918" max="6918" width="12.5" style="1" customWidth="1"/>
    <col min="6919" max="6919" width="11.83203125" style="1" customWidth="1"/>
    <col min="6920" max="6920" width="11.1640625" style="1" customWidth="1"/>
    <col min="6921" max="6921" width="11" style="1" customWidth="1"/>
    <col min="6922" max="6922" width="11.1640625" style="1" customWidth="1"/>
    <col min="6923" max="6923" width="10.1640625" style="1" customWidth="1"/>
    <col min="6924" max="6924" width="11.83203125" style="1" customWidth="1"/>
    <col min="6925" max="6925" width="9.33203125" style="1"/>
    <col min="6926" max="6926" width="10.1640625" style="1" customWidth="1"/>
    <col min="6927" max="6927" width="10" style="1" customWidth="1"/>
    <col min="6928" max="6928" width="10.83203125" style="1" customWidth="1"/>
    <col min="6929" max="6929" width="11.33203125" style="1" customWidth="1"/>
    <col min="6930" max="7157" width="9.33203125" style="1"/>
    <col min="7158" max="7159" width="4.5" style="1" customWidth="1"/>
    <col min="7160" max="7160" width="8.6640625" style="1" customWidth="1"/>
    <col min="7161" max="7161" width="49.1640625" style="1" customWidth="1"/>
    <col min="7162" max="7162" width="3.1640625" style="1" customWidth="1"/>
    <col min="7163" max="7163" width="8.6640625" style="1" customWidth="1"/>
    <col min="7164" max="7164" width="10.5" style="1" customWidth="1"/>
    <col min="7165" max="7165" width="10.1640625" style="1" customWidth="1"/>
    <col min="7166" max="7166" width="11" style="1" customWidth="1"/>
    <col min="7167" max="7167" width="10.33203125" style="1" customWidth="1"/>
    <col min="7168" max="7168" width="9.83203125" style="1" customWidth="1"/>
    <col min="7169" max="7169" width="11.1640625" style="1" customWidth="1"/>
    <col min="7170" max="7170" width="10.5" style="1" customWidth="1"/>
    <col min="7171" max="7171" width="8.83203125" style="1" customWidth="1"/>
    <col min="7172" max="7172" width="10.33203125" style="1" customWidth="1"/>
    <col min="7173" max="7173" width="10.6640625" style="1" customWidth="1"/>
    <col min="7174" max="7174" width="12.5" style="1" customWidth="1"/>
    <col min="7175" max="7175" width="11.83203125" style="1" customWidth="1"/>
    <col min="7176" max="7176" width="11.1640625" style="1" customWidth="1"/>
    <col min="7177" max="7177" width="11" style="1" customWidth="1"/>
    <col min="7178" max="7178" width="11.1640625" style="1" customWidth="1"/>
    <col min="7179" max="7179" width="10.1640625" style="1" customWidth="1"/>
    <col min="7180" max="7180" width="11.83203125" style="1" customWidth="1"/>
    <col min="7181" max="7181" width="9.33203125" style="1"/>
    <col min="7182" max="7182" width="10.1640625" style="1" customWidth="1"/>
    <col min="7183" max="7183" width="10" style="1" customWidth="1"/>
    <col min="7184" max="7184" width="10.83203125" style="1" customWidth="1"/>
    <col min="7185" max="7185" width="11.33203125" style="1" customWidth="1"/>
    <col min="7186" max="7413" width="9.33203125" style="1"/>
    <col min="7414" max="7415" width="4.5" style="1" customWidth="1"/>
    <col min="7416" max="7416" width="8.6640625" style="1" customWidth="1"/>
    <col min="7417" max="7417" width="49.1640625" style="1" customWidth="1"/>
    <col min="7418" max="7418" width="3.1640625" style="1" customWidth="1"/>
    <col min="7419" max="7419" width="8.6640625" style="1" customWidth="1"/>
    <col min="7420" max="7420" width="10.5" style="1" customWidth="1"/>
    <col min="7421" max="7421" width="10.1640625" style="1" customWidth="1"/>
    <col min="7422" max="7422" width="11" style="1" customWidth="1"/>
    <col min="7423" max="7423" width="10.33203125" style="1" customWidth="1"/>
    <col min="7424" max="7424" width="9.83203125" style="1" customWidth="1"/>
    <col min="7425" max="7425" width="11.1640625" style="1" customWidth="1"/>
    <col min="7426" max="7426" width="10.5" style="1" customWidth="1"/>
    <col min="7427" max="7427" width="8.83203125" style="1" customWidth="1"/>
    <col min="7428" max="7428" width="10.33203125" style="1" customWidth="1"/>
    <col min="7429" max="7429" width="10.6640625" style="1" customWidth="1"/>
    <col min="7430" max="7430" width="12.5" style="1" customWidth="1"/>
    <col min="7431" max="7431" width="11.83203125" style="1" customWidth="1"/>
    <col min="7432" max="7432" width="11.1640625" style="1" customWidth="1"/>
    <col min="7433" max="7433" width="11" style="1" customWidth="1"/>
    <col min="7434" max="7434" width="11.1640625" style="1" customWidth="1"/>
    <col min="7435" max="7435" width="10.1640625" style="1" customWidth="1"/>
    <col min="7436" max="7436" width="11.83203125" style="1" customWidth="1"/>
    <col min="7437" max="7437" width="9.33203125" style="1"/>
    <col min="7438" max="7438" width="10.1640625" style="1" customWidth="1"/>
    <col min="7439" max="7439" width="10" style="1" customWidth="1"/>
    <col min="7440" max="7440" width="10.83203125" style="1" customWidth="1"/>
    <col min="7441" max="7441" width="11.33203125" style="1" customWidth="1"/>
    <col min="7442" max="7669" width="9.33203125" style="1"/>
    <col min="7670" max="7671" width="4.5" style="1" customWidth="1"/>
    <col min="7672" max="7672" width="8.6640625" style="1" customWidth="1"/>
    <col min="7673" max="7673" width="49.1640625" style="1" customWidth="1"/>
    <col min="7674" max="7674" width="3.1640625" style="1" customWidth="1"/>
    <col min="7675" max="7675" width="8.6640625" style="1" customWidth="1"/>
    <col min="7676" max="7676" width="10.5" style="1" customWidth="1"/>
    <col min="7677" max="7677" width="10.1640625" style="1" customWidth="1"/>
    <col min="7678" max="7678" width="11" style="1" customWidth="1"/>
    <col min="7679" max="7679" width="10.33203125" style="1" customWidth="1"/>
    <col min="7680" max="7680" width="9.83203125" style="1" customWidth="1"/>
    <col min="7681" max="7681" width="11.1640625" style="1" customWidth="1"/>
    <col min="7682" max="7682" width="10.5" style="1" customWidth="1"/>
    <col min="7683" max="7683" width="8.83203125" style="1" customWidth="1"/>
    <col min="7684" max="7684" width="10.33203125" style="1" customWidth="1"/>
    <col min="7685" max="7685" width="10.6640625" style="1" customWidth="1"/>
    <col min="7686" max="7686" width="12.5" style="1" customWidth="1"/>
    <col min="7687" max="7687" width="11.83203125" style="1" customWidth="1"/>
    <col min="7688" max="7688" width="11.1640625" style="1" customWidth="1"/>
    <col min="7689" max="7689" width="11" style="1" customWidth="1"/>
    <col min="7690" max="7690" width="11.1640625" style="1" customWidth="1"/>
    <col min="7691" max="7691" width="10.1640625" style="1" customWidth="1"/>
    <col min="7692" max="7692" width="11.83203125" style="1" customWidth="1"/>
    <col min="7693" max="7693" width="9.33203125" style="1"/>
    <col min="7694" max="7694" width="10.1640625" style="1" customWidth="1"/>
    <col min="7695" max="7695" width="10" style="1" customWidth="1"/>
    <col min="7696" max="7696" width="10.83203125" style="1" customWidth="1"/>
    <col min="7697" max="7697" width="11.33203125" style="1" customWidth="1"/>
    <col min="7698" max="7925" width="9.33203125" style="1"/>
    <col min="7926" max="7927" width="4.5" style="1" customWidth="1"/>
    <col min="7928" max="7928" width="8.6640625" style="1" customWidth="1"/>
    <col min="7929" max="7929" width="49.1640625" style="1" customWidth="1"/>
    <col min="7930" max="7930" width="3.1640625" style="1" customWidth="1"/>
    <col min="7931" max="7931" width="8.6640625" style="1" customWidth="1"/>
    <col min="7932" max="7932" width="10.5" style="1" customWidth="1"/>
    <col min="7933" max="7933" width="10.1640625" style="1" customWidth="1"/>
    <col min="7934" max="7934" width="11" style="1" customWidth="1"/>
    <col min="7935" max="7935" width="10.33203125" style="1" customWidth="1"/>
    <col min="7936" max="7936" width="9.83203125" style="1" customWidth="1"/>
    <col min="7937" max="7937" width="11.1640625" style="1" customWidth="1"/>
    <col min="7938" max="7938" width="10.5" style="1" customWidth="1"/>
    <col min="7939" max="7939" width="8.83203125" style="1" customWidth="1"/>
    <col min="7940" max="7940" width="10.33203125" style="1" customWidth="1"/>
    <col min="7941" max="7941" width="10.6640625" style="1" customWidth="1"/>
    <col min="7942" max="7942" width="12.5" style="1" customWidth="1"/>
    <col min="7943" max="7943" width="11.83203125" style="1" customWidth="1"/>
    <col min="7944" max="7944" width="11.1640625" style="1" customWidth="1"/>
    <col min="7945" max="7945" width="11" style="1" customWidth="1"/>
    <col min="7946" max="7946" width="11.1640625" style="1" customWidth="1"/>
    <col min="7947" max="7947" width="10.1640625" style="1" customWidth="1"/>
    <col min="7948" max="7948" width="11.83203125" style="1" customWidth="1"/>
    <col min="7949" max="7949" width="9.33203125" style="1"/>
    <col min="7950" max="7950" width="10.1640625" style="1" customWidth="1"/>
    <col min="7951" max="7951" width="10" style="1" customWidth="1"/>
    <col min="7952" max="7952" width="10.83203125" style="1" customWidth="1"/>
    <col min="7953" max="7953" width="11.33203125" style="1" customWidth="1"/>
    <col min="7954" max="8181" width="9.33203125" style="1"/>
    <col min="8182" max="8183" width="4.5" style="1" customWidth="1"/>
    <col min="8184" max="8184" width="8.6640625" style="1" customWidth="1"/>
    <col min="8185" max="8185" width="49.1640625" style="1" customWidth="1"/>
    <col min="8186" max="8186" width="3.1640625" style="1" customWidth="1"/>
    <col min="8187" max="8187" width="8.6640625" style="1" customWidth="1"/>
    <col min="8188" max="8188" width="10.5" style="1" customWidth="1"/>
    <col min="8189" max="8189" width="10.1640625" style="1" customWidth="1"/>
    <col min="8190" max="8190" width="11" style="1" customWidth="1"/>
    <col min="8191" max="8191" width="10.33203125" style="1" customWidth="1"/>
    <col min="8192" max="8192" width="9.83203125" style="1" customWidth="1"/>
    <col min="8193" max="8193" width="11.1640625" style="1" customWidth="1"/>
    <col min="8194" max="8194" width="10.5" style="1" customWidth="1"/>
    <col min="8195" max="8195" width="8.83203125" style="1" customWidth="1"/>
    <col min="8196" max="8196" width="10.33203125" style="1" customWidth="1"/>
    <col min="8197" max="8197" width="10.6640625" style="1" customWidth="1"/>
    <col min="8198" max="8198" width="12.5" style="1" customWidth="1"/>
    <col min="8199" max="8199" width="11.83203125" style="1" customWidth="1"/>
    <col min="8200" max="8200" width="11.1640625" style="1" customWidth="1"/>
    <col min="8201" max="8201" width="11" style="1" customWidth="1"/>
    <col min="8202" max="8202" width="11.1640625" style="1" customWidth="1"/>
    <col min="8203" max="8203" width="10.1640625" style="1" customWidth="1"/>
    <col min="8204" max="8204" width="11.83203125" style="1" customWidth="1"/>
    <col min="8205" max="8205" width="9.33203125" style="1"/>
    <col min="8206" max="8206" width="10.1640625" style="1" customWidth="1"/>
    <col min="8207" max="8207" width="10" style="1" customWidth="1"/>
    <col min="8208" max="8208" width="10.83203125" style="1" customWidth="1"/>
    <col min="8209" max="8209" width="11.33203125" style="1" customWidth="1"/>
    <col min="8210" max="8437" width="9.33203125" style="1"/>
    <col min="8438" max="8439" width="4.5" style="1" customWidth="1"/>
    <col min="8440" max="8440" width="8.6640625" style="1" customWidth="1"/>
    <col min="8441" max="8441" width="49.1640625" style="1" customWidth="1"/>
    <col min="8442" max="8442" width="3.1640625" style="1" customWidth="1"/>
    <col min="8443" max="8443" width="8.6640625" style="1" customWidth="1"/>
    <col min="8444" max="8444" width="10.5" style="1" customWidth="1"/>
    <col min="8445" max="8445" width="10.1640625" style="1" customWidth="1"/>
    <col min="8446" max="8446" width="11" style="1" customWidth="1"/>
    <col min="8447" max="8447" width="10.33203125" style="1" customWidth="1"/>
    <col min="8448" max="8448" width="9.83203125" style="1" customWidth="1"/>
    <col min="8449" max="8449" width="11.1640625" style="1" customWidth="1"/>
    <col min="8450" max="8450" width="10.5" style="1" customWidth="1"/>
    <col min="8451" max="8451" width="8.83203125" style="1" customWidth="1"/>
    <col min="8452" max="8452" width="10.33203125" style="1" customWidth="1"/>
    <col min="8453" max="8453" width="10.6640625" style="1" customWidth="1"/>
    <col min="8454" max="8454" width="12.5" style="1" customWidth="1"/>
    <col min="8455" max="8455" width="11.83203125" style="1" customWidth="1"/>
    <col min="8456" max="8456" width="11.1640625" style="1" customWidth="1"/>
    <col min="8457" max="8457" width="11" style="1" customWidth="1"/>
    <col min="8458" max="8458" width="11.1640625" style="1" customWidth="1"/>
    <col min="8459" max="8459" width="10.1640625" style="1" customWidth="1"/>
    <col min="8460" max="8460" width="11.83203125" style="1" customWidth="1"/>
    <col min="8461" max="8461" width="9.33203125" style="1"/>
    <col min="8462" max="8462" width="10.1640625" style="1" customWidth="1"/>
    <col min="8463" max="8463" width="10" style="1" customWidth="1"/>
    <col min="8464" max="8464" width="10.83203125" style="1" customWidth="1"/>
    <col min="8465" max="8465" width="11.33203125" style="1" customWidth="1"/>
    <col min="8466" max="8693" width="9.33203125" style="1"/>
    <col min="8694" max="8695" width="4.5" style="1" customWidth="1"/>
    <col min="8696" max="8696" width="8.6640625" style="1" customWidth="1"/>
    <col min="8697" max="8697" width="49.1640625" style="1" customWidth="1"/>
    <col min="8698" max="8698" width="3.1640625" style="1" customWidth="1"/>
    <col min="8699" max="8699" width="8.6640625" style="1" customWidth="1"/>
    <col min="8700" max="8700" width="10.5" style="1" customWidth="1"/>
    <col min="8701" max="8701" width="10.1640625" style="1" customWidth="1"/>
    <col min="8702" max="8702" width="11" style="1" customWidth="1"/>
    <col min="8703" max="8703" width="10.33203125" style="1" customWidth="1"/>
    <col min="8704" max="8704" width="9.83203125" style="1" customWidth="1"/>
    <col min="8705" max="8705" width="11.1640625" style="1" customWidth="1"/>
    <col min="8706" max="8706" width="10.5" style="1" customWidth="1"/>
    <col min="8707" max="8707" width="8.83203125" style="1" customWidth="1"/>
    <col min="8708" max="8708" width="10.33203125" style="1" customWidth="1"/>
    <col min="8709" max="8709" width="10.6640625" style="1" customWidth="1"/>
    <col min="8710" max="8710" width="12.5" style="1" customWidth="1"/>
    <col min="8711" max="8711" width="11.83203125" style="1" customWidth="1"/>
    <col min="8712" max="8712" width="11.1640625" style="1" customWidth="1"/>
    <col min="8713" max="8713" width="11" style="1" customWidth="1"/>
    <col min="8714" max="8714" width="11.1640625" style="1" customWidth="1"/>
    <col min="8715" max="8715" width="10.1640625" style="1" customWidth="1"/>
    <col min="8716" max="8716" width="11.83203125" style="1" customWidth="1"/>
    <col min="8717" max="8717" width="9.33203125" style="1"/>
    <col min="8718" max="8718" width="10.1640625" style="1" customWidth="1"/>
    <col min="8719" max="8719" width="10" style="1" customWidth="1"/>
    <col min="8720" max="8720" width="10.83203125" style="1" customWidth="1"/>
    <col min="8721" max="8721" width="11.33203125" style="1" customWidth="1"/>
    <col min="8722" max="8949" width="9.33203125" style="1"/>
    <col min="8950" max="8951" width="4.5" style="1" customWidth="1"/>
    <col min="8952" max="8952" width="8.6640625" style="1" customWidth="1"/>
    <col min="8953" max="8953" width="49.1640625" style="1" customWidth="1"/>
    <col min="8954" max="8954" width="3.1640625" style="1" customWidth="1"/>
    <col min="8955" max="8955" width="8.6640625" style="1" customWidth="1"/>
    <col min="8956" max="8956" width="10.5" style="1" customWidth="1"/>
    <col min="8957" max="8957" width="10.1640625" style="1" customWidth="1"/>
    <col min="8958" max="8958" width="11" style="1" customWidth="1"/>
    <col min="8959" max="8959" width="10.33203125" style="1" customWidth="1"/>
    <col min="8960" max="8960" width="9.83203125" style="1" customWidth="1"/>
    <col min="8961" max="8961" width="11.1640625" style="1" customWidth="1"/>
    <col min="8962" max="8962" width="10.5" style="1" customWidth="1"/>
    <col min="8963" max="8963" width="8.83203125" style="1" customWidth="1"/>
    <col min="8964" max="8964" width="10.33203125" style="1" customWidth="1"/>
    <col min="8965" max="8965" width="10.6640625" style="1" customWidth="1"/>
    <col min="8966" max="8966" width="12.5" style="1" customWidth="1"/>
    <col min="8967" max="8967" width="11.83203125" style="1" customWidth="1"/>
    <col min="8968" max="8968" width="11.1640625" style="1" customWidth="1"/>
    <col min="8969" max="8969" width="11" style="1" customWidth="1"/>
    <col min="8970" max="8970" width="11.1640625" style="1" customWidth="1"/>
    <col min="8971" max="8971" width="10.1640625" style="1" customWidth="1"/>
    <col min="8972" max="8972" width="11.83203125" style="1" customWidth="1"/>
    <col min="8973" max="8973" width="9.33203125" style="1"/>
    <col min="8974" max="8974" width="10.1640625" style="1" customWidth="1"/>
    <col min="8975" max="8975" width="10" style="1" customWidth="1"/>
    <col min="8976" max="8976" width="10.83203125" style="1" customWidth="1"/>
    <col min="8977" max="8977" width="11.33203125" style="1" customWidth="1"/>
    <col min="8978" max="9205" width="9.33203125" style="1"/>
    <col min="9206" max="9207" width="4.5" style="1" customWidth="1"/>
    <col min="9208" max="9208" width="8.6640625" style="1" customWidth="1"/>
    <col min="9209" max="9209" width="49.1640625" style="1" customWidth="1"/>
    <col min="9210" max="9210" width="3.1640625" style="1" customWidth="1"/>
    <col min="9211" max="9211" width="8.6640625" style="1" customWidth="1"/>
    <col min="9212" max="9212" width="10.5" style="1" customWidth="1"/>
    <col min="9213" max="9213" width="10.1640625" style="1" customWidth="1"/>
    <col min="9214" max="9214" width="11" style="1" customWidth="1"/>
    <col min="9215" max="9215" width="10.33203125" style="1" customWidth="1"/>
    <col min="9216" max="9216" width="9.83203125" style="1" customWidth="1"/>
    <col min="9217" max="9217" width="11.1640625" style="1" customWidth="1"/>
    <col min="9218" max="9218" width="10.5" style="1" customWidth="1"/>
    <col min="9219" max="9219" width="8.83203125" style="1" customWidth="1"/>
    <col min="9220" max="9220" width="10.33203125" style="1" customWidth="1"/>
    <col min="9221" max="9221" width="10.6640625" style="1" customWidth="1"/>
    <col min="9222" max="9222" width="12.5" style="1" customWidth="1"/>
    <col min="9223" max="9223" width="11.83203125" style="1" customWidth="1"/>
    <col min="9224" max="9224" width="11.1640625" style="1" customWidth="1"/>
    <col min="9225" max="9225" width="11" style="1" customWidth="1"/>
    <col min="9226" max="9226" width="11.1640625" style="1" customWidth="1"/>
    <col min="9227" max="9227" width="10.1640625" style="1" customWidth="1"/>
    <col min="9228" max="9228" width="11.83203125" style="1" customWidth="1"/>
    <col min="9229" max="9229" width="9.33203125" style="1"/>
    <col min="9230" max="9230" width="10.1640625" style="1" customWidth="1"/>
    <col min="9231" max="9231" width="10" style="1" customWidth="1"/>
    <col min="9232" max="9232" width="10.83203125" style="1" customWidth="1"/>
    <col min="9233" max="9233" width="11.33203125" style="1" customWidth="1"/>
    <col min="9234" max="9461" width="9.33203125" style="1"/>
    <col min="9462" max="9463" width="4.5" style="1" customWidth="1"/>
    <col min="9464" max="9464" width="8.6640625" style="1" customWidth="1"/>
    <col min="9465" max="9465" width="49.1640625" style="1" customWidth="1"/>
    <col min="9466" max="9466" width="3.1640625" style="1" customWidth="1"/>
    <col min="9467" max="9467" width="8.6640625" style="1" customWidth="1"/>
    <col min="9468" max="9468" width="10.5" style="1" customWidth="1"/>
    <col min="9469" max="9469" width="10.1640625" style="1" customWidth="1"/>
    <col min="9470" max="9470" width="11" style="1" customWidth="1"/>
    <col min="9471" max="9471" width="10.33203125" style="1" customWidth="1"/>
    <col min="9472" max="9472" width="9.83203125" style="1" customWidth="1"/>
    <col min="9473" max="9473" width="11.1640625" style="1" customWidth="1"/>
    <col min="9474" max="9474" width="10.5" style="1" customWidth="1"/>
    <col min="9475" max="9475" width="8.83203125" style="1" customWidth="1"/>
    <col min="9476" max="9476" width="10.33203125" style="1" customWidth="1"/>
    <col min="9477" max="9477" width="10.6640625" style="1" customWidth="1"/>
    <col min="9478" max="9478" width="12.5" style="1" customWidth="1"/>
    <col min="9479" max="9479" width="11.83203125" style="1" customWidth="1"/>
    <col min="9480" max="9480" width="11.1640625" style="1" customWidth="1"/>
    <col min="9481" max="9481" width="11" style="1" customWidth="1"/>
    <col min="9482" max="9482" width="11.1640625" style="1" customWidth="1"/>
    <col min="9483" max="9483" width="10.1640625" style="1" customWidth="1"/>
    <col min="9484" max="9484" width="11.83203125" style="1" customWidth="1"/>
    <col min="9485" max="9485" width="9.33203125" style="1"/>
    <col min="9486" max="9486" width="10.1640625" style="1" customWidth="1"/>
    <col min="9487" max="9487" width="10" style="1" customWidth="1"/>
    <col min="9488" max="9488" width="10.83203125" style="1" customWidth="1"/>
    <col min="9489" max="9489" width="11.33203125" style="1" customWidth="1"/>
    <col min="9490" max="9717" width="9.33203125" style="1"/>
    <col min="9718" max="9719" width="4.5" style="1" customWidth="1"/>
    <col min="9720" max="9720" width="8.6640625" style="1" customWidth="1"/>
    <col min="9721" max="9721" width="49.1640625" style="1" customWidth="1"/>
    <col min="9722" max="9722" width="3.1640625" style="1" customWidth="1"/>
    <col min="9723" max="9723" width="8.6640625" style="1" customWidth="1"/>
    <col min="9724" max="9724" width="10.5" style="1" customWidth="1"/>
    <col min="9725" max="9725" width="10.1640625" style="1" customWidth="1"/>
    <col min="9726" max="9726" width="11" style="1" customWidth="1"/>
    <col min="9727" max="9727" width="10.33203125" style="1" customWidth="1"/>
    <col min="9728" max="9728" width="9.83203125" style="1" customWidth="1"/>
    <col min="9729" max="9729" width="11.1640625" style="1" customWidth="1"/>
    <col min="9730" max="9730" width="10.5" style="1" customWidth="1"/>
    <col min="9731" max="9731" width="8.83203125" style="1" customWidth="1"/>
    <col min="9732" max="9732" width="10.33203125" style="1" customWidth="1"/>
    <col min="9733" max="9733" width="10.6640625" style="1" customWidth="1"/>
    <col min="9734" max="9734" width="12.5" style="1" customWidth="1"/>
    <col min="9735" max="9735" width="11.83203125" style="1" customWidth="1"/>
    <col min="9736" max="9736" width="11.1640625" style="1" customWidth="1"/>
    <col min="9737" max="9737" width="11" style="1" customWidth="1"/>
    <col min="9738" max="9738" width="11.1640625" style="1" customWidth="1"/>
    <col min="9739" max="9739" width="10.1640625" style="1" customWidth="1"/>
    <col min="9740" max="9740" width="11.83203125" style="1" customWidth="1"/>
    <col min="9741" max="9741" width="9.33203125" style="1"/>
    <col min="9742" max="9742" width="10.1640625" style="1" customWidth="1"/>
    <col min="9743" max="9743" width="10" style="1" customWidth="1"/>
    <col min="9744" max="9744" width="10.83203125" style="1" customWidth="1"/>
    <col min="9745" max="9745" width="11.33203125" style="1" customWidth="1"/>
    <col min="9746" max="9973" width="9.33203125" style="1"/>
    <col min="9974" max="9975" width="4.5" style="1" customWidth="1"/>
    <col min="9976" max="9976" width="8.6640625" style="1" customWidth="1"/>
    <col min="9977" max="9977" width="49.1640625" style="1" customWidth="1"/>
    <col min="9978" max="9978" width="3.1640625" style="1" customWidth="1"/>
    <col min="9979" max="9979" width="8.6640625" style="1" customWidth="1"/>
    <col min="9980" max="9980" width="10.5" style="1" customWidth="1"/>
    <col min="9981" max="9981" width="10.1640625" style="1" customWidth="1"/>
    <col min="9982" max="9982" width="11" style="1" customWidth="1"/>
    <col min="9983" max="9983" width="10.33203125" style="1" customWidth="1"/>
    <col min="9984" max="9984" width="9.83203125" style="1" customWidth="1"/>
    <col min="9985" max="9985" width="11.1640625" style="1" customWidth="1"/>
    <col min="9986" max="9986" width="10.5" style="1" customWidth="1"/>
    <col min="9987" max="9987" width="8.83203125" style="1" customWidth="1"/>
    <col min="9988" max="9988" width="10.33203125" style="1" customWidth="1"/>
    <col min="9989" max="9989" width="10.6640625" style="1" customWidth="1"/>
    <col min="9990" max="9990" width="12.5" style="1" customWidth="1"/>
    <col min="9991" max="9991" width="11.83203125" style="1" customWidth="1"/>
    <col min="9992" max="9992" width="11.1640625" style="1" customWidth="1"/>
    <col min="9993" max="9993" width="11" style="1" customWidth="1"/>
    <col min="9994" max="9994" width="11.1640625" style="1" customWidth="1"/>
    <col min="9995" max="9995" width="10.1640625" style="1" customWidth="1"/>
    <col min="9996" max="9996" width="11.83203125" style="1" customWidth="1"/>
    <col min="9997" max="9997" width="9.33203125" style="1"/>
    <col min="9998" max="9998" width="10.1640625" style="1" customWidth="1"/>
    <col min="9999" max="9999" width="10" style="1" customWidth="1"/>
    <col min="10000" max="10000" width="10.83203125" style="1" customWidth="1"/>
    <col min="10001" max="10001" width="11.33203125" style="1" customWidth="1"/>
    <col min="10002" max="10229" width="9.33203125" style="1"/>
    <col min="10230" max="10231" width="4.5" style="1" customWidth="1"/>
    <col min="10232" max="10232" width="8.6640625" style="1" customWidth="1"/>
    <col min="10233" max="10233" width="49.1640625" style="1" customWidth="1"/>
    <col min="10234" max="10234" width="3.1640625" style="1" customWidth="1"/>
    <col min="10235" max="10235" width="8.6640625" style="1" customWidth="1"/>
    <col min="10236" max="10236" width="10.5" style="1" customWidth="1"/>
    <col min="10237" max="10237" width="10.1640625" style="1" customWidth="1"/>
    <col min="10238" max="10238" width="11" style="1" customWidth="1"/>
    <col min="10239" max="10239" width="10.33203125" style="1" customWidth="1"/>
    <col min="10240" max="10240" width="9.83203125" style="1" customWidth="1"/>
    <col min="10241" max="10241" width="11.1640625" style="1" customWidth="1"/>
    <col min="10242" max="10242" width="10.5" style="1" customWidth="1"/>
    <col min="10243" max="10243" width="8.83203125" style="1" customWidth="1"/>
    <col min="10244" max="10244" width="10.33203125" style="1" customWidth="1"/>
    <col min="10245" max="10245" width="10.6640625" style="1" customWidth="1"/>
    <col min="10246" max="10246" width="12.5" style="1" customWidth="1"/>
    <col min="10247" max="10247" width="11.83203125" style="1" customWidth="1"/>
    <col min="10248" max="10248" width="11.1640625" style="1" customWidth="1"/>
    <col min="10249" max="10249" width="11" style="1" customWidth="1"/>
    <col min="10250" max="10250" width="11.1640625" style="1" customWidth="1"/>
    <col min="10251" max="10251" width="10.1640625" style="1" customWidth="1"/>
    <col min="10252" max="10252" width="11.83203125" style="1" customWidth="1"/>
    <col min="10253" max="10253" width="9.33203125" style="1"/>
    <col min="10254" max="10254" width="10.1640625" style="1" customWidth="1"/>
    <col min="10255" max="10255" width="10" style="1" customWidth="1"/>
    <col min="10256" max="10256" width="10.83203125" style="1" customWidth="1"/>
    <col min="10257" max="10257" width="11.33203125" style="1" customWidth="1"/>
    <col min="10258" max="10485" width="9.33203125" style="1"/>
    <col min="10486" max="10487" width="4.5" style="1" customWidth="1"/>
    <col min="10488" max="10488" width="8.6640625" style="1" customWidth="1"/>
    <col min="10489" max="10489" width="49.1640625" style="1" customWidth="1"/>
    <col min="10490" max="10490" width="3.1640625" style="1" customWidth="1"/>
    <col min="10491" max="10491" width="8.6640625" style="1" customWidth="1"/>
    <col min="10492" max="10492" width="10.5" style="1" customWidth="1"/>
    <col min="10493" max="10493" width="10.1640625" style="1" customWidth="1"/>
    <col min="10494" max="10494" width="11" style="1" customWidth="1"/>
    <col min="10495" max="10495" width="10.33203125" style="1" customWidth="1"/>
    <col min="10496" max="10496" width="9.83203125" style="1" customWidth="1"/>
    <col min="10497" max="10497" width="11.1640625" style="1" customWidth="1"/>
    <col min="10498" max="10498" width="10.5" style="1" customWidth="1"/>
    <col min="10499" max="10499" width="8.83203125" style="1" customWidth="1"/>
    <col min="10500" max="10500" width="10.33203125" style="1" customWidth="1"/>
    <col min="10501" max="10501" width="10.6640625" style="1" customWidth="1"/>
    <col min="10502" max="10502" width="12.5" style="1" customWidth="1"/>
    <col min="10503" max="10503" width="11.83203125" style="1" customWidth="1"/>
    <col min="10504" max="10504" width="11.1640625" style="1" customWidth="1"/>
    <col min="10505" max="10505" width="11" style="1" customWidth="1"/>
    <col min="10506" max="10506" width="11.1640625" style="1" customWidth="1"/>
    <col min="10507" max="10507" width="10.1640625" style="1" customWidth="1"/>
    <col min="10508" max="10508" width="11.83203125" style="1" customWidth="1"/>
    <col min="10509" max="10509" width="9.33203125" style="1"/>
    <col min="10510" max="10510" width="10.1640625" style="1" customWidth="1"/>
    <col min="10511" max="10511" width="10" style="1" customWidth="1"/>
    <col min="10512" max="10512" width="10.83203125" style="1" customWidth="1"/>
    <col min="10513" max="10513" width="11.33203125" style="1" customWidth="1"/>
    <col min="10514" max="10741" width="9.33203125" style="1"/>
    <col min="10742" max="10743" width="4.5" style="1" customWidth="1"/>
    <col min="10744" max="10744" width="8.6640625" style="1" customWidth="1"/>
    <col min="10745" max="10745" width="49.1640625" style="1" customWidth="1"/>
    <col min="10746" max="10746" width="3.1640625" style="1" customWidth="1"/>
    <col min="10747" max="10747" width="8.6640625" style="1" customWidth="1"/>
    <col min="10748" max="10748" width="10.5" style="1" customWidth="1"/>
    <col min="10749" max="10749" width="10.1640625" style="1" customWidth="1"/>
    <col min="10750" max="10750" width="11" style="1" customWidth="1"/>
    <col min="10751" max="10751" width="10.33203125" style="1" customWidth="1"/>
    <col min="10752" max="10752" width="9.83203125" style="1" customWidth="1"/>
    <col min="10753" max="10753" width="11.1640625" style="1" customWidth="1"/>
    <col min="10754" max="10754" width="10.5" style="1" customWidth="1"/>
    <col min="10755" max="10755" width="8.83203125" style="1" customWidth="1"/>
    <col min="10756" max="10756" width="10.33203125" style="1" customWidth="1"/>
    <col min="10757" max="10757" width="10.6640625" style="1" customWidth="1"/>
    <col min="10758" max="10758" width="12.5" style="1" customWidth="1"/>
    <col min="10759" max="10759" width="11.83203125" style="1" customWidth="1"/>
    <col min="10760" max="10760" width="11.1640625" style="1" customWidth="1"/>
    <col min="10761" max="10761" width="11" style="1" customWidth="1"/>
    <col min="10762" max="10762" width="11.1640625" style="1" customWidth="1"/>
    <col min="10763" max="10763" width="10.1640625" style="1" customWidth="1"/>
    <col min="10764" max="10764" width="11.83203125" style="1" customWidth="1"/>
    <col min="10765" max="10765" width="9.33203125" style="1"/>
    <col min="10766" max="10766" width="10.1640625" style="1" customWidth="1"/>
    <col min="10767" max="10767" width="10" style="1" customWidth="1"/>
    <col min="10768" max="10768" width="10.83203125" style="1" customWidth="1"/>
    <col min="10769" max="10769" width="11.33203125" style="1" customWidth="1"/>
    <col min="10770" max="10997" width="9.33203125" style="1"/>
    <col min="10998" max="10999" width="4.5" style="1" customWidth="1"/>
    <col min="11000" max="11000" width="8.6640625" style="1" customWidth="1"/>
    <col min="11001" max="11001" width="49.1640625" style="1" customWidth="1"/>
    <col min="11002" max="11002" width="3.1640625" style="1" customWidth="1"/>
    <col min="11003" max="11003" width="8.6640625" style="1" customWidth="1"/>
    <col min="11004" max="11004" width="10.5" style="1" customWidth="1"/>
    <col min="11005" max="11005" width="10.1640625" style="1" customWidth="1"/>
    <col min="11006" max="11006" width="11" style="1" customWidth="1"/>
    <col min="11007" max="11007" width="10.33203125" style="1" customWidth="1"/>
    <col min="11008" max="11008" width="9.83203125" style="1" customWidth="1"/>
    <col min="11009" max="11009" width="11.1640625" style="1" customWidth="1"/>
    <col min="11010" max="11010" width="10.5" style="1" customWidth="1"/>
    <col min="11011" max="11011" width="8.83203125" style="1" customWidth="1"/>
    <col min="11012" max="11012" width="10.33203125" style="1" customWidth="1"/>
    <col min="11013" max="11013" width="10.6640625" style="1" customWidth="1"/>
    <col min="11014" max="11014" width="12.5" style="1" customWidth="1"/>
    <col min="11015" max="11015" width="11.83203125" style="1" customWidth="1"/>
    <col min="11016" max="11016" width="11.1640625" style="1" customWidth="1"/>
    <col min="11017" max="11017" width="11" style="1" customWidth="1"/>
    <col min="11018" max="11018" width="11.1640625" style="1" customWidth="1"/>
    <col min="11019" max="11019" width="10.1640625" style="1" customWidth="1"/>
    <col min="11020" max="11020" width="11.83203125" style="1" customWidth="1"/>
    <col min="11021" max="11021" width="9.33203125" style="1"/>
    <col min="11022" max="11022" width="10.1640625" style="1" customWidth="1"/>
    <col min="11023" max="11023" width="10" style="1" customWidth="1"/>
    <col min="11024" max="11024" width="10.83203125" style="1" customWidth="1"/>
    <col min="11025" max="11025" width="11.33203125" style="1" customWidth="1"/>
    <col min="11026" max="11253" width="9.33203125" style="1"/>
    <col min="11254" max="11255" width="4.5" style="1" customWidth="1"/>
    <col min="11256" max="11256" width="8.6640625" style="1" customWidth="1"/>
    <col min="11257" max="11257" width="49.1640625" style="1" customWidth="1"/>
    <col min="11258" max="11258" width="3.1640625" style="1" customWidth="1"/>
    <col min="11259" max="11259" width="8.6640625" style="1" customWidth="1"/>
    <col min="11260" max="11260" width="10.5" style="1" customWidth="1"/>
    <col min="11261" max="11261" width="10.1640625" style="1" customWidth="1"/>
    <col min="11262" max="11262" width="11" style="1" customWidth="1"/>
    <col min="11263" max="11263" width="10.33203125" style="1" customWidth="1"/>
    <col min="11264" max="11264" width="9.83203125" style="1" customWidth="1"/>
    <col min="11265" max="11265" width="11.1640625" style="1" customWidth="1"/>
    <col min="11266" max="11266" width="10.5" style="1" customWidth="1"/>
    <col min="11267" max="11267" width="8.83203125" style="1" customWidth="1"/>
    <col min="11268" max="11268" width="10.33203125" style="1" customWidth="1"/>
    <col min="11269" max="11269" width="10.6640625" style="1" customWidth="1"/>
    <col min="11270" max="11270" width="12.5" style="1" customWidth="1"/>
    <col min="11271" max="11271" width="11.83203125" style="1" customWidth="1"/>
    <col min="11272" max="11272" width="11.1640625" style="1" customWidth="1"/>
    <col min="11273" max="11273" width="11" style="1" customWidth="1"/>
    <col min="11274" max="11274" width="11.1640625" style="1" customWidth="1"/>
    <col min="11275" max="11275" width="10.1640625" style="1" customWidth="1"/>
    <col min="11276" max="11276" width="11.83203125" style="1" customWidth="1"/>
    <col min="11277" max="11277" width="9.33203125" style="1"/>
    <col min="11278" max="11278" width="10.1640625" style="1" customWidth="1"/>
    <col min="11279" max="11279" width="10" style="1" customWidth="1"/>
    <col min="11280" max="11280" width="10.83203125" style="1" customWidth="1"/>
    <col min="11281" max="11281" width="11.33203125" style="1" customWidth="1"/>
    <col min="11282" max="11509" width="9.33203125" style="1"/>
    <col min="11510" max="11511" width="4.5" style="1" customWidth="1"/>
    <col min="11512" max="11512" width="8.6640625" style="1" customWidth="1"/>
    <col min="11513" max="11513" width="49.1640625" style="1" customWidth="1"/>
    <col min="11514" max="11514" width="3.1640625" style="1" customWidth="1"/>
    <col min="11515" max="11515" width="8.6640625" style="1" customWidth="1"/>
    <col min="11516" max="11516" width="10.5" style="1" customWidth="1"/>
    <col min="11517" max="11517" width="10.1640625" style="1" customWidth="1"/>
    <col min="11518" max="11518" width="11" style="1" customWidth="1"/>
    <col min="11519" max="11519" width="10.33203125" style="1" customWidth="1"/>
    <col min="11520" max="11520" width="9.83203125" style="1" customWidth="1"/>
    <col min="11521" max="11521" width="11.1640625" style="1" customWidth="1"/>
    <col min="11522" max="11522" width="10.5" style="1" customWidth="1"/>
    <col min="11523" max="11523" width="8.83203125" style="1" customWidth="1"/>
    <col min="11524" max="11524" width="10.33203125" style="1" customWidth="1"/>
    <col min="11525" max="11525" width="10.6640625" style="1" customWidth="1"/>
    <col min="11526" max="11526" width="12.5" style="1" customWidth="1"/>
    <col min="11527" max="11527" width="11.83203125" style="1" customWidth="1"/>
    <col min="11528" max="11528" width="11.1640625" style="1" customWidth="1"/>
    <col min="11529" max="11529" width="11" style="1" customWidth="1"/>
    <col min="11530" max="11530" width="11.1640625" style="1" customWidth="1"/>
    <col min="11531" max="11531" width="10.1640625" style="1" customWidth="1"/>
    <col min="11532" max="11532" width="11.83203125" style="1" customWidth="1"/>
    <col min="11533" max="11533" width="9.33203125" style="1"/>
    <col min="11534" max="11534" width="10.1640625" style="1" customWidth="1"/>
    <col min="11535" max="11535" width="10" style="1" customWidth="1"/>
    <col min="11536" max="11536" width="10.83203125" style="1" customWidth="1"/>
    <col min="11537" max="11537" width="11.33203125" style="1" customWidth="1"/>
    <col min="11538" max="11765" width="9.33203125" style="1"/>
    <col min="11766" max="11767" width="4.5" style="1" customWidth="1"/>
    <col min="11768" max="11768" width="8.6640625" style="1" customWidth="1"/>
    <col min="11769" max="11769" width="49.1640625" style="1" customWidth="1"/>
    <col min="11770" max="11770" width="3.1640625" style="1" customWidth="1"/>
    <col min="11771" max="11771" width="8.6640625" style="1" customWidth="1"/>
    <col min="11772" max="11772" width="10.5" style="1" customWidth="1"/>
    <col min="11773" max="11773" width="10.1640625" style="1" customWidth="1"/>
    <col min="11774" max="11774" width="11" style="1" customWidth="1"/>
    <col min="11775" max="11775" width="10.33203125" style="1" customWidth="1"/>
    <col min="11776" max="11776" width="9.83203125" style="1" customWidth="1"/>
    <col min="11777" max="11777" width="11.1640625" style="1" customWidth="1"/>
    <col min="11778" max="11778" width="10.5" style="1" customWidth="1"/>
    <col min="11779" max="11779" width="8.83203125" style="1" customWidth="1"/>
    <col min="11780" max="11780" width="10.33203125" style="1" customWidth="1"/>
    <col min="11781" max="11781" width="10.6640625" style="1" customWidth="1"/>
    <col min="11782" max="11782" width="12.5" style="1" customWidth="1"/>
    <col min="11783" max="11783" width="11.83203125" style="1" customWidth="1"/>
    <col min="11784" max="11784" width="11.1640625" style="1" customWidth="1"/>
    <col min="11785" max="11785" width="11" style="1" customWidth="1"/>
    <col min="11786" max="11786" width="11.1640625" style="1" customWidth="1"/>
    <col min="11787" max="11787" width="10.1640625" style="1" customWidth="1"/>
    <col min="11788" max="11788" width="11.83203125" style="1" customWidth="1"/>
    <col min="11789" max="11789" width="9.33203125" style="1"/>
    <col min="11790" max="11790" width="10.1640625" style="1" customWidth="1"/>
    <col min="11791" max="11791" width="10" style="1" customWidth="1"/>
    <col min="11792" max="11792" width="10.83203125" style="1" customWidth="1"/>
    <col min="11793" max="11793" width="11.33203125" style="1" customWidth="1"/>
    <col min="11794" max="12021" width="9.33203125" style="1"/>
    <col min="12022" max="12023" width="4.5" style="1" customWidth="1"/>
    <col min="12024" max="12024" width="8.6640625" style="1" customWidth="1"/>
    <col min="12025" max="12025" width="49.1640625" style="1" customWidth="1"/>
    <col min="12026" max="12026" width="3.1640625" style="1" customWidth="1"/>
    <col min="12027" max="12027" width="8.6640625" style="1" customWidth="1"/>
    <col min="12028" max="12028" width="10.5" style="1" customWidth="1"/>
    <col min="12029" max="12029" width="10.1640625" style="1" customWidth="1"/>
    <col min="12030" max="12030" width="11" style="1" customWidth="1"/>
    <col min="12031" max="12031" width="10.33203125" style="1" customWidth="1"/>
    <col min="12032" max="12032" width="9.83203125" style="1" customWidth="1"/>
    <col min="12033" max="12033" width="11.1640625" style="1" customWidth="1"/>
    <col min="12034" max="12034" width="10.5" style="1" customWidth="1"/>
    <col min="12035" max="12035" width="8.83203125" style="1" customWidth="1"/>
    <col min="12036" max="12036" width="10.33203125" style="1" customWidth="1"/>
    <col min="12037" max="12037" width="10.6640625" style="1" customWidth="1"/>
    <col min="12038" max="12038" width="12.5" style="1" customWidth="1"/>
    <col min="12039" max="12039" width="11.83203125" style="1" customWidth="1"/>
    <col min="12040" max="12040" width="11.1640625" style="1" customWidth="1"/>
    <col min="12041" max="12041" width="11" style="1" customWidth="1"/>
    <col min="12042" max="12042" width="11.1640625" style="1" customWidth="1"/>
    <col min="12043" max="12043" width="10.1640625" style="1" customWidth="1"/>
    <col min="12044" max="12044" width="11.83203125" style="1" customWidth="1"/>
    <col min="12045" max="12045" width="9.33203125" style="1"/>
    <col min="12046" max="12046" width="10.1640625" style="1" customWidth="1"/>
    <col min="12047" max="12047" width="10" style="1" customWidth="1"/>
    <col min="12048" max="12048" width="10.83203125" style="1" customWidth="1"/>
    <col min="12049" max="12049" width="11.33203125" style="1" customWidth="1"/>
    <col min="12050" max="12277" width="9.33203125" style="1"/>
    <col min="12278" max="12279" width="4.5" style="1" customWidth="1"/>
    <col min="12280" max="12280" width="8.6640625" style="1" customWidth="1"/>
    <col min="12281" max="12281" width="49.1640625" style="1" customWidth="1"/>
    <col min="12282" max="12282" width="3.1640625" style="1" customWidth="1"/>
    <col min="12283" max="12283" width="8.6640625" style="1" customWidth="1"/>
    <col min="12284" max="12284" width="10.5" style="1" customWidth="1"/>
    <col min="12285" max="12285" width="10.1640625" style="1" customWidth="1"/>
    <col min="12286" max="12286" width="11" style="1" customWidth="1"/>
    <col min="12287" max="12287" width="10.33203125" style="1" customWidth="1"/>
    <col min="12288" max="12288" width="9.83203125" style="1" customWidth="1"/>
    <col min="12289" max="12289" width="11.1640625" style="1" customWidth="1"/>
    <col min="12290" max="12290" width="10.5" style="1" customWidth="1"/>
    <col min="12291" max="12291" width="8.83203125" style="1" customWidth="1"/>
    <col min="12292" max="12292" width="10.33203125" style="1" customWidth="1"/>
    <col min="12293" max="12293" width="10.6640625" style="1" customWidth="1"/>
    <col min="12294" max="12294" width="12.5" style="1" customWidth="1"/>
    <col min="12295" max="12295" width="11.83203125" style="1" customWidth="1"/>
    <col min="12296" max="12296" width="11.1640625" style="1" customWidth="1"/>
    <col min="12297" max="12297" width="11" style="1" customWidth="1"/>
    <col min="12298" max="12298" width="11.1640625" style="1" customWidth="1"/>
    <col min="12299" max="12299" width="10.1640625" style="1" customWidth="1"/>
    <col min="12300" max="12300" width="11.83203125" style="1" customWidth="1"/>
    <col min="12301" max="12301" width="9.33203125" style="1"/>
    <col min="12302" max="12302" width="10.1640625" style="1" customWidth="1"/>
    <col min="12303" max="12303" width="10" style="1" customWidth="1"/>
    <col min="12304" max="12304" width="10.83203125" style="1" customWidth="1"/>
    <col min="12305" max="12305" width="11.33203125" style="1" customWidth="1"/>
    <col min="12306" max="12533" width="9.33203125" style="1"/>
    <col min="12534" max="12535" width="4.5" style="1" customWidth="1"/>
    <col min="12536" max="12536" width="8.6640625" style="1" customWidth="1"/>
    <col min="12537" max="12537" width="49.1640625" style="1" customWidth="1"/>
    <col min="12538" max="12538" width="3.1640625" style="1" customWidth="1"/>
    <col min="12539" max="12539" width="8.6640625" style="1" customWidth="1"/>
    <col min="12540" max="12540" width="10.5" style="1" customWidth="1"/>
    <col min="12541" max="12541" width="10.1640625" style="1" customWidth="1"/>
    <col min="12542" max="12542" width="11" style="1" customWidth="1"/>
    <col min="12543" max="12543" width="10.33203125" style="1" customWidth="1"/>
    <col min="12544" max="12544" width="9.83203125" style="1" customWidth="1"/>
    <col min="12545" max="12545" width="11.1640625" style="1" customWidth="1"/>
    <col min="12546" max="12546" width="10.5" style="1" customWidth="1"/>
    <col min="12547" max="12547" width="8.83203125" style="1" customWidth="1"/>
    <col min="12548" max="12548" width="10.33203125" style="1" customWidth="1"/>
    <col min="12549" max="12549" width="10.6640625" style="1" customWidth="1"/>
    <col min="12550" max="12550" width="12.5" style="1" customWidth="1"/>
    <col min="12551" max="12551" width="11.83203125" style="1" customWidth="1"/>
    <col min="12552" max="12552" width="11.1640625" style="1" customWidth="1"/>
    <col min="12553" max="12553" width="11" style="1" customWidth="1"/>
    <col min="12554" max="12554" width="11.1640625" style="1" customWidth="1"/>
    <col min="12555" max="12555" width="10.1640625" style="1" customWidth="1"/>
    <col min="12556" max="12556" width="11.83203125" style="1" customWidth="1"/>
    <col min="12557" max="12557" width="9.33203125" style="1"/>
    <col min="12558" max="12558" width="10.1640625" style="1" customWidth="1"/>
    <col min="12559" max="12559" width="10" style="1" customWidth="1"/>
    <col min="12560" max="12560" width="10.83203125" style="1" customWidth="1"/>
    <col min="12561" max="12561" width="11.33203125" style="1" customWidth="1"/>
    <col min="12562" max="12789" width="9.33203125" style="1"/>
    <col min="12790" max="12791" width="4.5" style="1" customWidth="1"/>
    <col min="12792" max="12792" width="8.6640625" style="1" customWidth="1"/>
    <col min="12793" max="12793" width="49.1640625" style="1" customWidth="1"/>
    <col min="12794" max="12794" width="3.1640625" style="1" customWidth="1"/>
    <col min="12795" max="12795" width="8.6640625" style="1" customWidth="1"/>
    <col min="12796" max="12796" width="10.5" style="1" customWidth="1"/>
    <col min="12797" max="12797" width="10.1640625" style="1" customWidth="1"/>
    <col min="12798" max="12798" width="11" style="1" customWidth="1"/>
    <col min="12799" max="12799" width="10.33203125" style="1" customWidth="1"/>
    <col min="12800" max="12800" width="9.83203125" style="1" customWidth="1"/>
    <col min="12801" max="12801" width="11.1640625" style="1" customWidth="1"/>
    <col min="12802" max="12802" width="10.5" style="1" customWidth="1"/>
    <col min="12803" max="12803" width="8.83203125" style="1" customWidth="1"/>
    <col min="12804" max="12804" width="10.33203125" style="1" customWidth="1"/>
    <col min="12805" max="12805" width="10.6640625" style="1" customWidth="1"/>
    <col min="12806" max="12806" width="12.5" style="1" customWidth="1"/>
    <col min="12807" max="12807" width="11.83203125" style="1" customWidth="1"/>
    <col min="12808" max="12808" width="11.1640625" style="1" customWidth="1"/>
    <col min="12809" max="12809" width="11" style="1" customWidth="1"/>
    <col min="12810" max="12810" width="11.1640625" style="1" customWidth="1"/>
    <col min="12811" max="12811" width="10.1640625" style="1" customWidth="1"/>
    <col min="12812" max="12812" width="11.83203125" style="1" customWidth="1"/>
    <col min="12813" max="12813" width="9.33203125" style="1"/>
    <col min="12814" max="12814" width="10.1640625" style="1" customWidth="1"/>
    <col min="12815" max="12815" width="10" style="1" customWidth="1"/>
    <col min="12816" max="12816" width="10.83203125" style="1" customWidth="1"/>
    <col min="12817" max="12817" width="11.33203125" style="1" customWidth="1"/>
    <col min="12818" max="13045" width="9.33203125" style="1"/>
    <col min="13046" max="13047" width="4.5" style="1" customWidth="1"/>
    <col min="13048" max="13048" width="8.6640625" style="1" customWidth="1"/>
    <col min="13049" max="13049" width="49.1640625" style="1" customWidth="1"/>
    <col min="13050" max="13050" width="3.1640625" style="1" customWidth="1"/>
    <col min="13051" max="13051" width="8.6640625" style="1" customWidth="1"/>
    <col min="13052" max="13052" width="10.5" style="1" customWidth="1"/>
    <col min="13053" max="13053" width="10.1640625" style="1" customWidth="1"/>
    <col min="13054" max="13054" width="11" style="1" customWidth="1"/>
    <col min="13055" max="13055" width="10.33203125" style="1" customWidth="1"/>
    <col min="13056" max="13056" width="9.83203125" style="1" customWidth="1"/>
    <col min="13057" max="13057" width="11.1640625" style="1" customWidth="1"/>
    <col min="13058" max="13058" width="10.5" style="1" customWidth="1"/>
    <col min="13059" max="13059" width="8.83203125" style="1" customWidth="1"/>
    <col min="13060" max="13060" width="10.33203125" style="1" customWidth="1"/>
    <col min="13061" max="13061" width="10.6640625" style="1" customWidth="1"/>
    <col min="13062" max="13062" width="12.5" style="1" customWidth="1"/>
    <col min="13063" max="13063" width="11.83203125" style="1" customWidth="1"/>
    <col min="13064" max="13064" width="11.1640625" style="1" customWidth="1"/>
    <col min="13065" max="13065" width="11" style="1" customWidth="1"/>
    <col min="13066" max="13066" width="11.1640625" style="1" customWidth="1"/>
    <col min="13067" max="13067" width="10.1640625" style="1" customWidth="1"/>
    <col min="13068" max="13068" width="11.83203125" style="1" customWidth="1"/>
    <col min="13069" max="13069" width="9.33203125" style="1"/>
    <col min="13070" max="13070" width="10.1640625" style="1" customWidth="1"/>
    <col min="13071" max="13071" width="10" style="1" customWidth="1"/>
    <col min="13072" max="13072" width="10.83203125" style="1" customWidth="1"/>
    <col min="13073" max="13073" width="11.33203125" style="1" customWidth="1"/>
    <col min="13074" max="13301" width="9.33203125" style="1"/>
    <col min="13302" max="13303" width="4.5" style="1" customWidth="1"/>
    <col min="13304" max="13304" width="8.6640625" style="1" customWidth="1"/>
    <col min="13305" max="13305" width="49.1640625" style="1" customWidth="1"/>
    <col min="13306" max="13306" width="3.1640625" style="1" customWidth="1"/>
    <col min="13307" max="13307" width="8.6640625" style="1" customWidth="1"/>
    <col min="13308" max="13308" width="10.5" style="1" customWidth="1"/>
    <col min="13309" max="13309" width="10.1640625" style="1" customWidth="1"/>
    <col min="13310" max="13310" width="11" style="1" customWidth="1"/>
    <col min="13311" max="13311" width="10.33203125" style="1" customWidth="1"/>
    <col min="13312" max="13312" width="9.83203125" style="1" customWidth="1"/>
    <col min="13313" max="13313" width="11.1640625" style="1" customWidth="1"/>
    <col min="13314" max="13314" width="10.5" style="1" customWidth="1"/>
    <col min="13315" max="13315" width="8.83203125" style="1" customWidth="1"/>
    <col min="13316" max="13316" width="10.33203125" style="1" customWidth="1"/>
    <col min="13317" max="13317" width="10.6640625" style="1" customWidth="1"/>
    <col min="13318" max="13318" width="12.5" style="1" customWidth="1"/>
    <col min="13319" max="13319" width="11.83203125" style="1" customWidth="1"/>
    <col min="13320" max="13320" width="11.1640625" style="1" customWidth="1"/>
    <col min="13321" max="13321" width="11" style="1" customWidth="1"/>
    <col min="13322" max="13322" width="11.1640625" style="1" customWidth="1"/>
    <col min="13323" max="13323" width="10.1640625" style="1" customWidth="1"/>
    <col min="13324" max="13324" width="11.83203125" style="1" customWidth="1"/>
    <col min="13325" max="13325" width="9.33203125" style="1"/>
    <col min="13326" max="13326" width="10.1640625" style="1" customWidth="1"/>
    <col min="13327" max="13327" width="10" style="1" customWidth="1"/>
    <col min="13328" max="13328" width="10.83203125" style="1" customWidth="1"/>
    <col min="13329" max="13329" width="11.33203125" style="1" customWidth="1"/>
    <col min="13330" max="13557" width="9.33203125" style="1"/>
    <col min="13558" max="13559" width="4.5" style="1" customWidth="1"/>
    <col min="13560" max="13560" width="8.6640625" style="1" customWidth="1"/>
    <col min="13561" max="13561" width="49.1640625" style="1" customWidth="1"/>
    <col min="13562" max="13562" width="3.1640625" style="1" customWidth="1"/>
    <col min="13563" max="13563" width="8.6640625" style="1" customWidth="1"/>
    <col min="13564" max="13564" width="10.5" style="1" customWidth="1"/>
    <col min="13565" max="13565" width="10.1640625" style="1" customWidth="1"/>
    <col min="13566" max="13566" width="11" style="1" customWidth="1"/>
    <col min="13567" max="13567" width="10.33203125" style="1" customWidth="1"/>
    <col min="13568" max="13568" width="9.83203125" style="1" customWidth="1"/>
    <col min="13569" max="13569" width="11.1640625" style="1" customWidth="1"/>
    <col min="13570" max="13570" width="10.5" style="1" customWidth="1"/>
    <col min="13571" max="13571" width="8.83203125" style="1" customWidth="1"/>
    <col min="13572" max="13572" width="10.33203125" style="1" customWidth="1"/>
    <col min="13573" max="13573" width="10.6640625" style="1" customWidth="1"/>
    <col min="13574" max="13574" width="12.5" style="1" customWidth="1"/>
    <col min="13575" max="13575" width="11.83203125" style="1" customWidth="1"/>
    <col min="13576" max="13576" width="11.1640625" style="1" customWidth="1"/>
    <col min="13577" max="13577" width="11" style="1" customWidth="1"/>
    <col min="13578" max="13578" width="11.1640625" style="1" customWidth="1"/>
    <col min="13579" max="13579" width="10.1640625" style="1" customWidth="1"/>
    <col min="13580" max="13580" width="11.83203125" style="1" customWidth="1"/>
    <col min="13581" max="13581" width="9.33203125" style="1"/>
    <col min="13582" max="13582" width="10.1640625" style="1" customWidth="1"/>
    <col min="13583" max="13583" width="10" style="1" customWidth="1"/>
    <col min="13584" max="13584" width="10.83203125" style="1" customWidth="1"/>
    <col min="13585" max="13585" width="11.33203125" style="1" customWidth="1"/>
    <col min="13586" max="13813" width="9.33203125" style="1"/>
    <col min="13814" max="13815" width="4.5" style="1" customWidth="1"/>
    <col min="13816" max="13816" width="8.6640625" style="1" customWidth="1"/>
    <col min="13817" max="13817" width="49.1640625" style="1" customWidth="1"/>
    <col min="13818" max="13818" width="3.1640625" style="1" customWidth="1"/>
    <col min="13819" max="13819" width="8.6640625" style="1" customWidth="1"/>
    <col min="13820" max="13820" width="10.5" style="1" customWidth="1"/>
    <col min="13821" max="13821" width="10.1640625" style="1" customWidth="1"/>
    <col min="13822" max="13822" width="11" style="1" customWidth="1"/>
    <col min="13823" max="13823" width="10.33203125" style="1" customWidth="1"/>
    <col min="13824" max="13824" width="9.83203125" style="1" customWidth="1"/>
    <col min="13825" max="13825" width="11.1640625" style="1" customWidth="1"/>
    <col min="13826" max="13826" width="10.5" style="1" customWidth="1"/>
    <col min="13827" max="13827" width="8.83203125" style="1" customWidth="1"/>
    <col min="13828" max="13828" width="10.33203125" style="1" customWidth="1"/>
    <col min="13829" max="13829" width="10.6640625" style="1" customWidth="1"/>
    <col min="13830" max="13830" width="12.5" style="1" customWidth="1"/>
    <col min="13831" max="13831" width="11.83203125" style="1" customWidth="1"/>
    <col min="13832" max="13832" width="11.1640625" style="1" customWidth="1"/>
    <col min="13833" max="13833" width="11" style="1" customWidth="1"/>
    <col min="13834" max="13834" width="11.1640625" style="1" customWidth="1"/>
    <col min="13835" max="13835" width="10.1640625" style="1" customWidth="1"/>
    <col min="13836" max="13836" width="11.83203125" style="1" customWidth="1"/>
    <col min="13837" max="13837" width="9.33203125" style="1"/>
    <col min="13838" max="13838" width="10.1640625" style="1" customWidth="1"/>
    <col min="13839" max="13839" width="10" style="1" customWidth="1"/>
    <col min="13840" max="13840" width="10.83203125" style="1" customWidth="1"/>
    <col min="13841" max="13841" width="11.33203125" style="1" customWidth="1"/>
    <col min="13842" max="14069" width="9.33203125" style="1"/>
    <col min="14070" max="14071" width="4.5" style="1" customWidth="1"/>
    <col min="14072" max="14072" width="8.6640625" style="1" customWidth="1"/>
    <col min="14073" max="14073" width="49.1640625" style="1" customWidth="1"/>
    <col min="14074" max="14074" width="3.1640625" style="1" customWidth="1"/>
    <col min="14075" max="14075" width="8.6640625" style="1" customWidth="1"/>
    <col min="14076" max="14076" width="10.5" style="1" customWidth="1"/>
    <col min="14077" max="14077" width="10.1640625" style="1" customWidth="1"/>
    <col min="14078" max="14078" width="11" style="1" customWidth="1"/>
    <col min="14079" max="14079" width="10.33203125" style="1" customWidth="1"/>
    <col min="14080" max="14080" width="9.83203125" style="1" customWidth="1"/>
    <col min="14081" max="14081" width="11.1640625" style="1" customWidth="1"/>
    <col min="14082" max="14082" width="10.5" style="1" customWidth="1"/>
    <col min="14083" max="14083" width="8.83203125" style="1" customWidth="1"/>
    <col min="14084" max="14084" width="10.33203125" style="1" customWidth="1"/>
    <col min="14085" max="14085" width="10.6640625" style="1" customWidth="1"/>
    <col min="14086" max="14086" width="12.5" style="1" customWidth="1"/>
    <col min="14087" max="14087" width="11.83203125" style="1" customWidth="1"/>
    <col min="14088" max="14088" width="11.1640625" style="1" customWidth="1"/>
    <col min="14089" max="14089" width="11" style="1" customWidth="1"/>
    <col min="14090" max="14090" width="11.1640625" style="1" customWidth="1"/>
    <col min="14091" max="14091" width="10.1640625" style="1" customWidth="1"/>
    <col min="14092" max="14092" width="11.83203125" style="1" customWidth="1"/>
    <col min="14093" max="14093" width="9.33203125" style="1"/>
    <col min="14094" max="14094" width="10.1640625" style="1" customWidth="1"/>
    <col min="14095" max="14095" width="10" style="1" customWidth="1"/>
    <col min="14096" max="14096" width="10.83203125" style="1" customWidth="1"/>
    <col min="14097" max="14097" width="11.33203125" style="1" customWidth="1"/>
    <col min="14098" max="14325" width="9.33203125" style="1"/>
    <col min="14326" max="14327" width="4.5" style="1" customWidth="1"/>
    <col min="14328" max="14328" width="8.6640625" style="1" customWidth="1"/>
    <col min="14329" max="14329" width="49.1640625" style="1" customWidth="1"/>
    <col min="14330" max="14330" width="3.1640625" style="1" customWidth="1"/>
    <col min="14331" max="14331" width="8.6640625" style="1" customWidth="1"/>
    <col min="14332" max="14332" width="10.5" style="1" customWidth="1"/>
    <col min="14333" max="14333" width="10.1640625" style="1" customWidth="1"/>
    <col min="14334" max="14334" width="11" style="1" customWidth="1"/>
    <col min="14335" max="14335" width="10.33203125" style="1" customWidth="1"/>
    <col min="14336" max="14336" width="9.83203125" style="1" customWidth="1"/>
    <col min="14337" max="14337" width="11.1640625" style="1" customWidth="1"/>
    <col min="14338" max="14338" width="10.5" style="1" customWidth="1"/>
    <col min="14339" max="14339" width="8.83203125" style="1" customWidth="1"/>
    <col min="14340" max="14340" width="10.33203125" style="1" customWidth="1"/>
    <col min="14341" max="14341" width="10.6640625" style="1" customWidth="1"/>
    <col min="14342" max="14342" width="12.5" style="1" customWidth="1"/>
    <col min="14343" max="14343" width="11.83203125" style="1" customWidth="1"/>
    <col min="14344" max="14344" width="11.1640625" style="1" customWidth="1"/>
    <col min="14345" max="14345" width="11" style="1" customWidth="1"/>
    <col min="14346" max="14346" width="11.1640625" style="1" customWidth="1"/>
    <col min="14347" max="14347" width="10.1640625" style="1" customWidth="1"/>
    <col min="14348" max="14348" width="11.83203125" style="1" customWidth="1"/>
    <col min="14349" max="14349" width="9.33203125" style="1"/>
    <col min="14350" max="14350" width="10.1640625" style="1" customWidth="1"/>
    <col min="14351" max="14351" width="10" style="1" customWidth="1"/>
    <col min="14352" max="14352" width="10.83203125" style="1" customWidth="1"/>
    <col min="14353" max="14353" width="11.33203125" style="1" customWidth="1"/>
    <col min="14354" max="14581" width="9.33203125" style="1"/>
    <col min="14582" max="14583" width="4.5" style="1" customWidth="1"/>
    <col min="14584" max="14584" width="8.6640625" style="1" customWidth="1"/>
    <col min="14585" max="14585" width="49.1640625" style="1" customWidth="1"/>
    <col min="14586" max="14586" width="3.1640625" style="1" customWidth="1"/>
    <col min="14587" max="14587" width="8.6640625" style="1" customWidth="1"/>
    <col min="14588" max="14588" width="10.5" style="1" customWidth="1"/>
    <col min="14589" max="14589" width="10.1640625" style="1" customWidth="1"/>
    <col min="14590" max="14590" width="11" style="1" customWidth="1"/>
    <col min="14591" max="14591" width="10.33203125" style="1" customWidth="1"/>
    <col min="14592" max="14592" width="9.83203125" style="1" customWidth="1"/>
    <col min="14593" max="14593" width="11.1640625" style="1" customWidth="1"/>
    <col min="14594" max="14594" width="10.5" style="1" customWidth="1"/>
    <col min="14595" max="14595" width="8.83203125" style="1" customWidth="1"/>
    <col min="14596" max="14596" width="10.33203125" style="1" customWidth="1"/>
    <col min="14597" max="14597" width="10.6640625" style="1" customWidth="1"/>
    <col min="14598" max="14598" width="12.5" style="1" customWidth="1"/>
    <col min="14599" max="14599" width="11.83203125" style="1" customWidth="1"/>
    <col min="14600" max="14600" width="11.1640625" style="1" customWidth="1"/>
    <col min="14601" max="14601" width="11" style="1" customWidth="1"/>
    <col min="14602" max="14602" width="11.1640625" style="1" customWidth="1"/>
    <col min="14603" max="14603" width="10.1640625" style="1" customWidth="1"/>
    <col min="14604" max="14604" width="11.83203125" style="1" customWidth="1"/>
    <col min="14605" max="14605" width="9.33203125" style="1"/>
    <col min="14606" max="14606" width="10.1640625" style="1" customWidth="1"/>
    <col min="14607" max="14607" width="10" style="1" customWidth="1"/>
    <col min="14608" max="14608" width="10.83203125" style="1" customWidth="1"/>
    <col min="14609" max="14609" width="11.33203125" style="1" customWidth="1"/>
    <col min="14610" max="14837" width="9.33203125" style="1"/>
    <col min="14838" max="14839" width="4.5" style="1" customWidth="1"/>
    <col min="14840" max="14840" width="8.6640625" style="1" customWidth="1"/>
    <col min="14841" max="14841" width="49.1640625" style="1" customWidth="1"/>
    <col min="14842" max="14842" width="3.1640625" style="1" customWidth="1"/>
    <col min="14843" max="14843" width="8.6640625" style="1" customWidth="1"/>
    <col min="14844" max="14844" width="10.5" style="1" customWidth="1"/>
    <col min="14845" max="14845" width="10.1640625" style="1" customWidth="1"/>
    <col min="14846" max="14846" width="11" style="1" customWidth="1"/>
    <col min="14847" max="14847" width="10.33203125" style="1" customWidth="1"/>
    <col min="14848" max="14848" width="9.83203125" style="1" customWidth="1"/>
    <col min="14849" max="14849" width="11.1640625" style="1" customWidth="1"/>
    <col min="14850" max="14850" width="10.5" style="1" customWidth="1"/>
    <col min="14851" max="14851" width="8.83203125" style="1" customWidth="1"/>
    <col min="14852" max="14852" width="10.33203125" style="1" customWidth="1"/>
    <col min="14853" max="14853" width="10.6640625" style="1" customWidth="1"/>
    <col min="14854" max="14854" width="12.5" style="1" customWidth="1"/>
    <col min="14855" max="14855" width="11.83203125" style="1" customWidth="1"/>
    <col min="14856" max="14856" width="11.1640625" style="1" customWidth="1"/>
    <col min="14857" max="14857" width="11" style="1" customWidth="1"/>
    <col min="14858" max="14858" width="11.1640625" style="1" customWidth="1"/>
    <col min="14859" max="14859" width="10.1640625" style="1" customWidth="1"/>
    <col min="14860" max="14860" width="11.83203125" style="1" customWidth="1"/>
    <col min="14861" max="14861" width="9.33203125" style="1"/>
    <col min="14862" max="14862" width="10.1640625" style="1" customWidth="1"/>
    <col min="14863" max="14863" width="10" style="1" customWidth="1"/>
    <col min="14864" max="14864" width="10.83203125" style="1" customWidth="1"/>
    <col min="14865" max="14865" width="11.33203125" style="1" customWidth="1"/>
    <col min="14866" max="15093" width="9.33203125" style="1"/>
    <col min="15094" max="15095" width="4.5" style="1" customWidth="1"/>
    <col min="15096" max="15096" width="8.6640625" style="1" customWidth="1"/>
    <col min="15097" max="15097" width="49.1640625" style="1" customWidth="1"/>
    <col min="15098" max="15098" width="3.1640625" style="1" customWidth="1"/>
    <col min="15099" max="15099" width="8.6640625" style="1" customWidth="1"/>
    <col min="15100" max="15100" width="10.5" style="1" customWidth="1"/>
    <col min="15101" max="15101" width="10.1640625" style="1" customWidth="1"/>
    <col min="15102" max="15102" width="11" style="1" customWidth="1"/>
    <col min="15103" max="15103" width="10.33203125" style="1" customWidth="1"/>
    <col min="15104" max="15104" width="9.83203125" style="1" customWidth="1"/>
    <col min="15105" max="15105" width="11.1640625" style="1" customWidth="1"/>
    <col min="15106" max="15106" width="10.5" style="1" customWidth="1"/>
    <col min="15107" max="15107" width="8.83203125" style="1" customWidth="1"/>
    <col min="15108" max="15108" width="10.33203125" style="1" customWidth="1"/>
    <col min="15109" max="15109" width="10.6640625" style="1" customWidth="1"/>
    <col min="15110" max="15110" width="12.5" style="1" customWidth="1"/>
    <col min="15111" max="15111" width="11.83203125" style="1" customWidth="1"/>
    <col min="15112" max="15112" width="11.1640625" style="1" customWidth="1"/>
    <col min="15113" max="15113" width="11" style="1" customWidth="1"/>
    <col min="15114" max="15114" width="11.1640625" style="1" customWidth="1"/>
    <col min="15115" max="15115" width="10.1640625" style="1" customWidth="1"/>
    <col min="15116" max="15116" width="11.83203125" style="1" customWidth="1"/>
    <col min="15117" max="15117" width="9.33203125" style="1"/>
    <col min="15118" max="15118" width="10.1640625" style="1" customWidth="1"/>
    <col min="15119" max="15119" width="10" style="1" customWidth="1"/>
    <col min="15120" max="15120" width="10.83203125" style="1" customWidth="1"/>
    <col min="15121" max="15121" width="11.33203125" style="1" customWidth="1"/>
    <col min="15122" max="15349" width="9.33203125" style="1"/>
    <col min="15350" max="15351" width="4.5" style="1" customWidth="1"/>
    <col min="15352" max="15352" width="8.6640625" style="1" customWidth="1"/>
    <col min="15353" max="15353" width="49.1640625" style="1" customWidth="1"/>
    <col min="15354" max="15354" width="3.1640625" style="1" customWidth="1"/>
    <col min="15355" max="15355" width="8.6640625" style="1" customWidth="1"/>
    <col min="15356" max="15356" width="10.5" style="1" customWidth="1"/>
    <col min="15357" max="15357" width="10.1640625" style="1" customWidth="1"/>
    <col min="15358" max="15358" width="11" style="1" customWidth="1"/>
    <col min="15359" max="15359" width="10.33203125" style="1" customWidth="1"/>
    <col min="15360" max="15360" width="9.83203125" style="1" customWidth="1"/>
    <col min="15361" max="15361" width="11.1640625" style="1" customWidth="1"/>
    <col min="15362" max="15362" width="10.5" style="1" customWidth="1"/>
    <col min="15363" max="15363" width="8.83203125" style="1" customWidth="1"/>
    <col min="15364" max="15364" width="10.33203125" style="1" customWidth="1"/>
    <col min="15365" max="15365" width="10.6640625" style="1" customWidth="1"/>
    <col min="15366" max="15366" width="12.5" style="1" customWidth="1"/>
    <col min="15367" max="15367" width="11.83203125" style="1" customWidth="1"/>
    <col min="15368" max="15368" width="11.1640625" style="1" customWidth="1"/>
    <col min="15369" max="15369" width="11" style="1" customWidth="1"/>
    <col min="15370" max="15370" width="11.1640625" style="1" customWidth="1"/>
    <col min="15371" max="15371" width="10.1640625" style="1" customWidth="1"/>
    <col min="15372" max="15372" width="11.83203125" style="1" customWidth="1"/>
    <col min="15373" max="15373" width="9.33203125" style="1"/>
    <col min="15374" max="15374" width="10.1640625" style="1" customWidth="1"/>
    <col min="15375" max="15375" width="10" style="1" customWidth="1"/>
    <col min="15376" max="15376" width="10.83203125" style="1" customWidth="1"/>
    <col min="15377" max="15377" width="11.33203125" style="1" customWidth="1"/>
    <col min="15378" max="15605" width="9.33203125" style="1"/>
    <col min="15606" max="15607" width="4.5" style="1" customWidth="1"/>
    <col min="15608" max="15608" width="8.6640625" style="1" customWidth="1"/>
    <col min="15609" max="15609" width="49.1640625" style="1" customWidth="1"/>
    <col min="15610" max="15610" width="3.1640625" style="1" customWidth="1"/>
    <col min="15611" max="15611" width="8.6640625" style="1" customWidth="1"/>
    <col min="15612" max="15612" width="10.5" style="1" customWidth="1"/>
    <col min="15613" max="15613" width="10.1640625" style="1" customWidth="1"/>
    <col min="15614" max="15614" width="11" style="1" customWidth="1"/>
    <col min="15615" max="15615" width="10.33203125" style="1" customWidth="1"/>
    <col min="15616" max="15616" width="9.83203125" style="1" customWidth="1"/>
    <col min="15617" max="15617" width="11.1640625" style="1" customWidth="1"/>
    <col min="15618" max="15618" width="10.5" style="1" customWidth="1"/>
    <col min="15619" max="15619" width="8.83203125" style="1" customWidth="1"/>
    <col min="15620" max="15620" width="10.33203125" style="1" customWidth="1"/>
    <col min="15621" max="15621" width="10.6640625" style="1" customWidth="1"/>
    <col min="15622" max="15622" width="12.5" style="1" customWidth="1"/>
    <col min="15623" max="15623" width="11.83203125" style="1" customWidth="1"/>
    <col min="15624" max="15624" width="11.1640625" style="1" customWidth="1"/>
    <col min="15625" max="15625" width="11" style="1" customWidth="1"/>
    <col min="15626" max="15626" width="11.1640625" style="1" customWidth="1"/>
    <col min="15627" max="15627" width="10.1640625" style="1" customWidth="1"/>
    <col min="15628" max="15628" width="11.83203125" style="1" customWidth="1"/>
    <col min="15629" max="15629" width="9.33203125" style="1"/>
    <col min="15630" max="15630" width="10.1640625" style="1" customWidth="1"/>
    <col min="15631" max="15631" width="10" style="1" customWidth="1"/>
    <col min="15632" max="15632" width="10.83203125" style="1" customWidth="1"/>
    <col min="15633" max="15633" width="11.33203125" style="1" customWidth="1"/>
    <col min="15634" max="15861" width="9.33203125" style="1"/>
    <col min="15862" max="15863" width="4.5" style="1" customWidth="1"/>
    <col min="15864" max="15864" width="8.6640625" style="1" customWidth="1"/>
    <col min="15865" max="15865" width="49.1640625" style="1" customWidth="1"/>
    <col min="15866" max="15866" width="3.1640625" style="1" customWidth="1"/>
    <col min="15867" max="15867" width="8.6640625" style="1" customWidth="1"/>
    <col min="15868" max="15868" width="10.5" style="1" customWidth="1"/>
    <col min="15869" max="15869" width="10.1640625" style="1" customWidth="1"/>
    <col min="15870" max="15870" width="11" style="1" customWidth="1"/>
    <col min="15871" max="15871" width="10.33203125" style="1" customWidth="1"/>
    <col min="15872" max="15872" width="9.83203125" style="1" customWidth="1"/>
    <col min="15873" max="15873" width="11.1640625" style="1" customWidth="1"/>
    <col min="15874" max="15874" width="10.5" style="1" customWidth="1"/>
    <col min="15875" max="15875" width="8.83203125" style="1" customWidth="1"/>
    <col min="15876" max="15876" width="10.33203125" style="1" customWidth="1"/>
    <col min="15877" max="15877" width="10.6640625" style="1" customWidth="1"/>
    <col min="15878" max="15878" width="12.5" style="1" customWidth="1"/>
    <col min="15879" max="15879" width="11.83203125" style="1" customWidth="1"/>
    <col min="15880" max="15880" width="11.1640625" style="1" customWidth="1"/>
    <col min="15881" max="15881" width="11" style="1" customWidth="1"/>
    <col min="15882" max="15882" width="11.1640625" style="1" customWidth="1"/>
    <col min="15883" max="15883" width="10.1640625" style="1" customWidth="1"/>
    <col min="15884" max="15884" width="11.83203125" style="1" customWidth="1"/>
    <col min="15885" max="15885" width="9.33203125" style="1"/>
    <col min="15886" max="15886" width="10.1640625" style="1" customWidth="1"/>
    <col min="15887" max="15887" width="10" style="1" customWidth="1"/>
    <col min="15888" max="15888" width="10.83203125" style="1" customWidth="1"/>
    <col min="15889" max="15889" width="11.33203125" style="1" customWidth="1"/>
    <col min="15890" max="16117" width="9.33203125" style="1"/>
    <col min="16118" max="16119" width="4.5" style="1" customWidth="1"/>
    <col min="16120" max="16120" width="8.6640625" style="1" customWidth="1"/>
    <col min="16121" max="16121" width="49.1640625" style="1" customWidth="1"/>
    <col min="16122" max="16122" width="3.1640625" style="1" customWidth="1"/>
    <col min="16123" max="16123" width="8.6640625" style="1" customWidth="1"/>
    <col min="16124" max="16124" width="10.5" style="1" customWidth="1"/>
    <col min="16125" max="16125" width="10.1640625" style="1" customWidth="1"/>
    <col min="16126" max="16126" width="11" style="1" customWidth="1"/>
    <col min="16127" max="16127" width="10.33203125" style="1" customWidth="1"/>
    <col min="16128" max="16128" width="9.83203125" style="1" customWidth="1"/>
    <col min="16129" max="16129" width="11.1640625" style="1" customWidth="1"/>
    <col min="16130" max="16130" width="10.5" style="1" customWidth="1"/>
    <col min="16131" max="16131" width="8.83203125" style="1" customWidth="1"/>
    <col min="16132" max="16132" width="10.33203125" style="1" customWidth="1"/>
    <col min="16133" max="16133" width="10.6640625" style="1" customWidth="1"/>
    <col min="16134" max="16134" width="12.5" style="1" customWidth="1"/>
    <col min="16135" max="16135" width="11.83203125" style="1" customWidth="1"/>
    <col min="16136" max="16136" width="11.1640625" style="1" customWidth="1"/>
    <col min="16137" max="16137" width="11" style="1" customWidth="1"/>
    <col min="16138" max="16138" width="11.1640625" style="1" customWidth="1"/>
    <col min="16139" max="16139" width="10.1640625" style="1" customWidth="1"/>
    <col min="16140" max="16140" width="11.83203125" style="1" customWidth="1"/>
    <col min="16141" max="16141" width="9.33203125" style="1"/>
    <col min="16142" max="16142" width="10.1640625" style="1" customWidth="1"/>
    <col min="16143" max="16143" width="10" style="1" customWidth="1"/>
    <col min="16144" max="16144" width="10.83203125" style="1" customWidth="1"/>
    <col min="16145" max="16145" width="11.33203125" style="1" customWidth="1"/>
    <col min="16146" max="16384" width="9.33203125" style="1"/>
  </cols>
  <sheetData>
    <row r="1" spans="1:17" ht="25.5" customHeight="1" x14ac:dyDescent="0.2">
      <c r="A1" s="949" t="s">
        <v>122</v>
      </c>
      <c r="B1" s="949" t="s">
        <v>123</v>
      </c>
      <c r="C1" s="949" t="s">
        <v>29</v>
      </c>
      <c r="D1" s="951" t="s">
        <v>176</v>
      </c>
      <c r="E1" s="953" t="s">
        <v>465</v>
      </c>
      <c r="F1" s="955" t="s">
        <v>332</v>
      </c>
      <c r="G1" s="942" t="s">
        <v>182</v>
      </c>
      <c r="H1" s="943"/>
      <c r="I1" s="943"/>
      <c r="J1" s="943"/>
      <c r="K1" s="943"/>
      <c r="L1" s="943"/>
      <c r="M1" s="943"/>
      <c r="N1" s="944"/>
      <c r="O1" s="945" t="s">
        <v>181</v>
      </c>
      <c r="P1" s="944"/>
      <c r="Q1" s="946" t="s">
        <v>466</v>
      </c>
    </row>
    <row r="2" spans="1:17" ht="57.95" customHeight="1" thickBot="1" x14ac:dyDescent="0.25">
      <c r="A2" s="950"/>
      <c r="B2" s="950"/>
      <c r="C2" s="950"/>
      <c r="D2" s="952"/>
      <c r="E2" s="954"/>
      <c r="F2" s="956"/>
      <c r="G2" s="656" t="s">
        <v>156</v>
      </c>
      <c r="H2" s="186" t="s">
        <v>255</v>
      </c>
      <c r="I2" s="186" t="s">
        <v>249</v>
      </c>
      <c r="J2" s="186" t="s">
        <v>26</v>
      </c>
      <c r="K2" s="186" t="s">
        <v>42</v>
      </c>
      <c r="L2" s="186" t="s">
        <v>32</v>
      </c>
      <c r="M2" s="186" t="s">
        <v>31</v>
      </c>
      <c r="N2" s="186" t="s">
        <v>27</v>
      </c>
      <c r="O2" s="187" t="s">
        <v>186</v>
      </c>
      <c r="P2" s="188" t="s">
        <v>188</v>
      </c>
      <c r="Q2" s="947"/>
    </row>
    <row r="3" spans="1:17" ht="16.5" customHeight="1" x14ac:dyDescent="0.2">
      <c r="A3" s="189">
        <v>1</v>
      </c>
      <c r="B3" s="190"/>
      <c r="C3" s="191"/>
      <c r="D3" s="192" t="s">
        <v>467</v>
      </c>
      <c r="E3" s="193"/>
      <c r="F3" s="194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6"/>
    </row>
    <row r="4" spans="1:17" ht="12.75" customHeight="1" x14ac:dyDescent="0.2">
      <c r="A4" s="190">
        <v>1</v>
      </c>
      <c r="B4" s="190">
        <v>1</v>
      </c>
      <c r="C4" s="190"/>
      <c r="D4" s="192" t="s">
        <v>12</v>
      </c>
      <c r="E4" s="170"/>
      <c r="F4" s="197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</row>
    <row r="5" spans="1:17" ht="12" customHeight="1" x14ac:dyDescent="0.2">
      <c r="A5" s="198">
        <v>1</v>
      </c>
      <c r="B5" s="198">
        <v>12</v>
      </c>
      <c r="C5" s="198"/>
      <c r="D5" s="199" t="s">
        <v>143</v>
      </c>
      <c r="E5" s="200"/>
      <c r="F5" s="201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</row>
    <row r="6" spans="1:17" ht="14.45" customHeight="1" x14ac:dyDescent="0.2">
      <c r="A6" s="198"/>
      <c r="B6" s="198"/>
      <c r="C6" s="203"/>
      <c r="D6" s="204" t="s">
        <v>468</v>
      </c>
      <c r="E6" s="205"/>
      <c r="F6" s="206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</row>
    <row r="7" spans="1:17" ht="14.45" customHeight="1" x14ac:dyDescent="0.2">
      <c r="A7" s="198"/>
      <c r="B7" s="198"/>
      <c r="C7" s="203"/>
      <c r="D7" s="207" t="s">
        <v>469</v>
      </c>
      <c r="E7" s="208">
        <v>2</v>
      </c>
      <c r="F7" s="209">
        <v>121103</v>
      </c>
      <c r="G7" s="202">
        <f>0+táj.2!G7</f>
        <v>0</v>
      </c>
      <c r="H7" s="202">
        <f>0+táj.2!H7</f>
        <v>0</v>
      </c>
      <c r="I7" s="202">
        <f>0+táj.2!I7</f>
        <v>0</v>
      </c>
      <c r="J7" s="202">
        <f>5700+táj.2!J7</f>
        <v>5700</v>
      </c>
      <c r="K7" s="202">
        <f>0+táj.2!K7</f>
        <v>0</v>
      </c>
      <c r="L7" s="202">
        <f>0+táj.2!L7</f>
        <v>0</v>
      </c>
      <c r="M7" s="202">
        <f>0+táj.2!M7</f>
        <v>0</v>
      </c>
      <c r="N7" s="202">
        <f>0+táj.2!N7</f>
        <v>0</v>
      </c>
      <c r="O7" s="202">
        <f>0+táj.2!O7</f>
        <v>0</v>
      </c>
      <c r="P7" s="202">
        <f>0+táj.2!P7</f>
        <v>0</v>
      </c>
      <c r="Q7" s="202">
        <f>SUM(G7:P7)</f>
        <v>5700</v>
      </c>
    </row>
    <row r="8" spans="1:17" ht="14.45" customHeight="1" x14ac:dyDescent="0.2">
      <c r="A8" s="198"/>
      <c r="B8" s="198"/>
      <c r="C8" s="203"/>
      <c r="D8" s="207" t="s">
        <v>470</v>
      </c>
      <c r="E8" s="208"/>
      <c r="F8" s="209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</row>
    <row r="9" spans="1:17" ht="14.45" customHeight="1" x14ac:dyDescent="0.2">
      <c r="A9" s="198"/>
      <c r="B9" s="198"/>
      <c r="C9" s="203"/>
      <c r="D9" s="207" t="s">
        <v>471</v>
      </c>
      <c r="E9" s="208">
        <v>2</v>
      </c>
      <c r="F9" s="209">
        <v>121104</v>
      </c>
      <c r="G9" s="202">
        <f>0+táj.2!G9</f>
        <v>0</v>
      </c>
      <c r="H9" s="202">
        <f>0+táj.2!H9</f>
        <v>0</v>
      </c>
      <c r="I9" s="202">
        <f>0+táj.2!I9</f>
        <v>0</v>
      </c>
      <c r="J9" s="202">
        <f>22000+táj.2!J9</f>
        <v>22000</v>
      </c>
      <c r="K9" s="202">
        <f>0+táj.2!K9</f>
        <v>0</v>
      </c>
      <c r="L9" s="202">
        <f>0+táj.2!L9</f>
        <v>0</v>
      </c>
      <c r="M9" s="202">
        <f>0+táj.2!M9</f>
        <v>0</v>
      </c>
      <c r="N9" s="202">
        <f>0+táj.2!N9</f>
        <v>0</v>
      </c>
      <c r="O9" s="202">
        <f>0+táj.2!O9</f>
        <v>0</v>
      </c>
      <c r="P9" s="202">
        <f>0+táj.2!P9</f>
        <v>0</v>
      </c>
      <c r="Q9" s="202">
        <f>SUM(G9:P9)</f>
        <v>22000</v>
      </c>
    </row>
    <row r="10" spans="1:17" ht="24" customHeight="1" x14ac:dyDescent="0.2">
      <c r="A10" s="198"/>
      <c r="B10" s="198"/>
      <c r="C10" s="203"/>
      <c r="D10" s="580" t="s">
        <v>472</v>
      </c>
      <c r="E10" s="208">
        <v>2</v>
      </c>
      <c r="F10" s="209">
        <v>121117</v>
      </c>
      <c r="G10" s="202">
        <f>0+táj.2!G10</f>
        <v>0</v>
      </c>
      <c r="H10" s="202">
        <f>0+táj.2!H10</f>
        <v>0</v>
      </c>
      <c r="I10" s="202">
        <f>0+táj.2!I10</f>
        <v>0</v>
      </c>
      <c r="J10" s="202">
        <f>8000+táj.2!J10</f>
        <v>8000</v>
      </c>
      <c r="K10" s="202">
        <f>0+táj.2!K10</f>
        <v>0</v>
      </c>
      <c r="L10" s="202">
        <f>0+táj.2!L10</f>
        <v>0</v>
      </c>
      <c r="M10" s="202">
        <f>0+táj.2!M10</f>
        <v>0</v>
      </c>
      <c r="N10" s="202">
        <f>0+táj.2!N10</f>
        <v>0</v>
      </c>
      <c r="O10" s="202">
        <f>0+táj.2!O10</f>
        <v>0</v>
      </c>
      <c r="P10" s="202">
        <f>0+táj.2!P10</f>
        <v>0</v>
      </c>
      <c r="Q10" s="202">
        <f>SUM(G10:P10)</f>
        <v>8000</v>
      </c>
    </row>
    <row r="11" spans="1:17" ht="14.45" customHeight="1" x14ac:dyDescent="0.2">
      <c r="A11" s="198"/>
      <c r="B11" s="198"/>
      <c r="C11" s="203"/>
      <c r="D11" s="581" t="s">
        <v>473</v>
      </c>
      <c r="E11" s="208"/>
      <c r="F11" s="209"/>
      <c r="G11" s="202"/>
      <c r="H11" s="202"/>
      <c r="I11" s="202"/>
      <c r="J11" s="202"/>
      <c r="K11" s="202"/>
      <c r="L11" s="202"/>
      <c r="M11" s="202"/>
      <c r="N11" s="202"/>
      <c r="O11" s="202"/>
      <c r="P11" s="202"/>
      <c r="Q11" s="202"/>
    </row>
    <row r="12" spans="1:17" ht="14.45" customHeight="1" x14ac:dyDescent="0.2">
      <c r="A12" s="198"/>
      <c r="B12" s="198"/>
      <c r="C12" s="203"/>
      <c r="D12" s="581" t="s">
        <v>474</v>
      </c>
      <c r="E12" s="208">
        <v>2</v>
      </c>
      <c r="F12" s="209">
        <v>121111</v>
      </c>
      <c r="G12" s="202">
        <f>0+táj.2!G12</f>
        <v>0</v>
      </c>
      <c r="H12" s="202">
        <f>0+táj.2!H12</f>
        <v>0</v>
      </c>
      <c r="I12" s="202">
        <f>0+táj.2!I12</f>
        <v>0</v>
      </c>
      <c r="J12" s="202">
        <f>2000+táj.2!J12</f>
        <v>2000</v>
      </c>
      <c r="K12" s="202">
        <f>0+táj.2!K12</f>
        <v>0</v>
      </c>
      <c r="L12" s="202">
        <f>0+táj.2!L12</f>
        <v>0</v>
      </c>
      <c r="M12" s="202">
        <f>0+táj.2!M12</f>
        <v>0</v>
      </c>
      <c r="N12" s="202">
        <f>0+táj.2!N12</f>
        <v>0</v>
      </c>
      <c r="O12" s="202">
        <f>0+táj.2!O12</f>
        <v>0</v>
      </c>
      <c r="P12" s="202">
        <f>0+táj.2!P12</f>
        <v>0</v>
      </c>
      <c r="Q12" s="202">
        <f t="shared" ref="Q12:Q17" si="0">SUM(G12:P12)</f>
        <v>2000</v>
      </c>
    </row>
    <row r="13" spans="1:17" ht="14.45" customHeight="1" x14ac:dyDescent="0.2">
      <c r="A13" s="198"/>
      <c r="B13" s="198"/>
      <c r="C13" s="203"/>
      <c r="D13" s="581" t="s">
        <v>475</v>
      </c>
      <c r="E13" s="208">
        <v>2</v>
      </c>
      <c r="F13" s="208">
        <v>121127</v>
      </c>
      <c r="G13" s="202">
        <f>0+táj.2!G13</f>
        <v>0</v>
      </c>
      <c r="H13" s="202">
        <f>0+táj.2!H13</f>
        <v>0</v>
      </c>
      <c r="I13" s="202">
        <f>0+táj.2!I13</f>
        <v>0</v>
      </c>
      <c r="J13" s="202">
        <f>3000+táj.2!J13</f>
        <v>3000</v>
      </c>
      <c r="K13" s="202">
        <f>0+táj.2!K13</f>
        <v>0</v>
      </c>
      <c r="L13" s="202">
        <f>0+táj.2!L13</f>
        <v>0</v>
      </c>
      <c r="M13" s="202">
        <f>0+táj.2!M13</f>
        <v>0</v>
      </c>
      <c r="N13" s="202">
        <f>0+táj.2!N13</f>
        <v>0</v>
      </c>
      <c r="O13" s="202">
        <f>0+táj.2!O13</f>
        <v>0</v>
      </c>
      <c r="P13" s="202">
        <f>0+táj.2!P13</f>
        <v>0</v>
      </c>
      <c r="Q13" s="202">
        <f t="shared" si="0"/>
        <v>3000</v>
      </c>
    </row>
    <row r="14" spans="1:17" ht="14.45" customHeight="1" x14ac:dyDescent="0.2">
      <c r="A14" s="198"/>
      <c r="B14" s="198"/>
      <c r="C14" s="203"/>
      <c r="D14" s="581" t="s">
        <v>476</v>
      </c>
      <c r="E14" s="208">
        <v>2</v>
      </c>
      <c r="F14" s="208">
        <v>121115</v>
      </c>
      <c r="G14" s="202">
        <f>0+táj.2!G14</f>
        <v>0</v>
      </c>
      <c r="H14" s="202">
        <f>0+táj.2!H14</f>
        <v>0</v>
      </c>
      <c r="I14" s="202">
        <f>0+táj.2!I14</f>
        <v>0</v>
      </c>
      <c r="J14" s="202">
        <f>1000+táj.2!J14</f>
        <v>1000</v>
      </c>
      <c r="K14" s="202">
        <f>0+táj.2!K14</f>
        <v>0</v>
      </c>
      <c r="L14" s="202">
        <f>0+táj.2!L14</f>
        <v>0</v>
      </c>
      <c r="M14" s="202">
        <f>0+táj.2!M14</f>
        <v>0</v>
      </c>
      <c r="N14" s="202">
        <f>0+táj.2!N14</f>
        <v>0</v>
      </c>
      <c r="O14" s="202">
        <f>0+táj.2!O14</f>
        <v>0</v>
      </c>
      <c r="P14" s="202">
        <f>0+táj.2!P14</f>
        <v>0</v>
      </c>
      <c r="Q14" s="202">
        <f t="shared" si="0"/>
        <v>1000</v>
      </c>
    </row>
    <row r="15" spans="1:17" ht="14.45" customHeight="1" x14ac:dyDescent="0.2">
      <c r="A15" s="198"/>
      <c r="B15" s="198"/>
      <c r="C15" s="203"/>
      <c r="D15" s="581" t="s">
        <v>477</v>
      </c>
      <c r="E15" s="208">
        <v>2</v>
      </c>
      <c r="F15" s="208">
        <v>121128</v>
      </c>
      <c r="G15" s="202">
        <f>0+táj.2!G15</f>
        <v>0</v>
      </c>
      <c r="H15" s="202">
        <f>0+táj.2!H15</f>
        <v>0</v>
      </c>
      <c r="I15" s="202">
        <f>0+táj.2!I15</f>
        <v>0</v>
      </c>
      <c r="J15" s="202">
        <f>500+táj.2!J15</f>
        <v>500</v>
      </c>
      <c r="K15" s="202">
        <f>0+táj.2!K15</f>
        <v>0</v>
      </c>
      <c r="L15" s="202">
        <f>0+táj.2!L15</f>
        <v>0</v>
      </c>
      <c r="M15" s="202">
        <f>0+táj.2!M15</f>
        <v>0</v>
      </c>
      <c r="N15" s="202">
        <f>0+táj.2!N15</f>
        <v>0</v>
      </c>
      <c r="O15" s="202">
        <f>0+táj.2!O15</f>
        <v>0</v>
      </c>
      <c r="P15" s="202">
        <f>0+táj.2!P15</f>
        <v>0</v>
      </c>
      <c r="Q15" s="202">
        <f t="shared" si="0"/>
        <v>500</v>
      </c>
    </row>
    <row r="16" spans="1:17" ht="14.45" customHeight="1" x14ac:dyDescent="0.2">
      <c r="A16" s="198"/>
      <c r="B16" s="198"/>
      <c r="C16" s="203"/>
      <c r="D16" s="581" t="s">
        <v>478</v>
      </c>
      <c r="E16" s="208">
        <v>2</v>
      </c>
      <c r="F16" s="208">
        <v>121129</v>
      </c>
      <c r="G16" s="202">
        <f>0+táj.2!G16</f>
        <v>0</v>
      </c>
      <c r="H16" s="202">
        <f>0+táj.2!H16</f>
        <v>0</v>
      </c>
      <c r="I16" s="202">
        <f>0+táj.2!I16</f>
        <v>0</v>
      </c>
      <c r="J16" s="202">
        <f>3000+táj.2!J16</f>
        <v>2500</v>
      </c>
      <c r="K16" s="202">
        <f>0+táj.2!K16</f>
        <v>0</v>
      </c>
      <c r="L16" s="202">
        <f>0+táj.2!L16</f>
        <v>0</v>
      </c>
      <c r="M16" s="202">
        <f>0+táj.2!M16</f>
        <v>0</v>
      </c>
      <c r="N16" s="202">
        <f>0+táj.2!N16</f>
        <v>0</v>
      </c>
      <c r="O16" s="202">
        <f>0+táj.2!O16</f>
        <v>0</v>
      </c>
      <c r="P16" s="202">
        <f>0+táj.2!P16</f>
        <v>0</v>
      </c>
      <c r="Q16" s="202">
        <f t="shared" si="0"/>
        <v>2500</v>
      </c>
    </row>
    <row r="17" spans="1:17" ht="14.45" customHeight="1" x14ac:dyDescent="0.2">
      <c r="A17" s="198"/>
      <c r="B17" s="198"/>
      <c r="C17" s="203"/>
      <c r="D17" s="582" t="s">
        <v>479</v>
      </c>
      <c r="E17" s="208">
        <v>2</v>
      </c>
      <c r="F17" s="208">
        <v>121106</v>
      </c>
      <c r="G17" s="202">
        <f>0+táj.2!G17</f>
        <v>0</v>
      </c>
      <c r="H17" s="202">
        <f>0+táj.2!H17</f>
        <v>0</v>
      </c>
      <c r="I17" s="202">
        <f>0+táj.2!I17</f>
        <v>0</v>
      </c>
      <c r="J17" s="202">
        <f>2000+táj.2!J17</f>
        <v>2000</v>
      </c>
      <c r="K17" s="202">
        <f>0+táj.2!K17</f>
        <v>0</v>
      </c>
      <c r="L17" s="202">
        <f>0+táj.2!L17</f>
        <v>0</v>
      </c>
      <c r="M17" s="202">
        <f>0+táj.2!M17</f>
        <v>0</v>
      </c>
      <c r="N17" s="202">
        <f>0+táj.2!N17</f>
        <v>0</v>
      </c>
      <c r="O17" s="202">
        <f>0+táj.2!O17</f>
        <v>0</v>
      </c>
      <c r="P17" s="202">
        <f>0+táj.2!P17</f>
        <v>0</v>
      </c>
      <c r="Q17" s="202">
        <f t="shared" si="0"/>
        <v>2000</v>
      </c>
    </row>
    <row r="18" spans="1:17" ht="27" customHeight="1" x14ac:dyDescent="0.2">
      <c r="A18" s="198"/>
      <c r="B18" s="198"/>
      <c r="C18" s="203"/>
      <c r="D18" s="583" t="s">
        <v>480</v>
      </c>
      <c r="E18" s="208"/>
      <c r="F18" s="208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</row>
    <row r="19" spans="1:17" ht="14.45" customHeight="1" x14ac:dyDescent="0.2">
      <c r="A19" s="198"/>
      <c r="B19" s="198"/>
      <c r="C19" s="203"/>
      <c r="D19" s="581" t="s">
        <v>481</v>
      </c>
      <c r="E19" s="208">
        <v>2</v>
      </c>
      <c r="F19" s="208">
        <v>121131</v>
      </c>
      <c r="G19" s="202">
        <f>0+táj.2!G19</f>
        <v>0</v>
      </c>
      <c r="H19" s="202">
        <f>0+táj.2!H19</f>
        <v>0</v>
      </c>
      <c r="I19" s="202">
        <f>0+táj.2!I19</f>
        <v>0</v>
      </c>
      <c r="J19" s="202">
        <f>2000+táj.2!J19</f>
        <v>1700</v>
      </c>
      <c r="K19" s="202">
        <f>0+táj.2!K19</f>
        <v>0</v>
      </c>
      <c r="L19" s="202">
        <f>0+táj.2!L19</f>
        <v>0</v>
      </c>
      <c r="M19" s="202">
        <f>0+táj.2!M19</f>
        <v>0</v>
      </c>
      <c r="N19" s="202">
        <f>0+táj.2!N19</f>
        <v>0</v>
      </c>
      <c r="O19" s="202">
        <f>0+táj.2!O19</f>
        <v>0</v>
      </c>
      <c r="P19" s="202">
        <f>0+táj.2!P19</f>
        <v>0</v>
      </c>
      <c r="Q19" s="202">
        <f>SUM(G19:P19)</f>
        <v>1700</v>
      </c>
    </row>
    <row r="20" spans="1:17" ht="14.45" customHeight="1" x14ac:dyDescent="0.2">
      <c r="A20" s="198"/>
      <c r="B20" s="198"/>
      <c r="C20" s="203"/>
      <c r="D20" s="581" t="s">
        <v>470</v>
      </c>
      <c r="E20" s="208"/>
      <c r="F20" s="208"/>
      <c r="G20" s="202"/>
      <c r="H20" s="202"/>
      <c r="I20" s="202"/>
      <c r="J20" s="202"/>
      <c r="K20" s="202"/>
      <c r="L20" s="202"/>
      <c r="M20" s="202"/>
      <c r="N20" s="202"/>
      <c r="O20" s="202"/>
      <c r="P20" s="202"/>
      <c r="Q20" s="202"/>
    </row>
    <row r="21" spans="1:17" ht="14.45" customHeight="1" x14ac:dyDescent="0.2">
      <c r="A21" s="198"/>
      <c r="B21" s="198"/>
      <c r="C21" s="203"/>
      <c r="D21" s="581" t="s">
        <v>482</v>
      </c>
      <c r="E21" s="208">
        <v>2</v>
      </c>
      <c r="F21" s="208">
        <v>121130</v>
      </c>
      <c r="G21" s="202">
        <f>0+táj.2!G21</f>
        <v>0</v>
      </c>
      <c r="H21" s="202">
        <f>0+táj.2!H21</f>
        <v>0</v>
      </c>
      <c r="I21" s="202">
        <f>0+táj.2!I21</f>
        <v>0</v>
      </c>
      <c r="J21" s="202">
        <f>2000+táj.2!J21</f>
        <v>2000</v>
      </c>
      <c r="K21" s="202">
        <f>0+táj.2!K21</f>
        <v>0</v>
      </c>
      <c r="L21" s="202">
        <f>0+táj.2!L21</f>
        <v>0</v>
      </c>
      <c r="M21" s="202">
        <f>0+táj.2!M21</f>
        <v>0</v>
      </c>
      <c r="N21" s="202">
        <f>0+táj.2!N21</f>
        <v>0</v>
      </c>
      <c r="O21" s="202">
        <f>0+táj.2!O21</f>
        <v>0</v>
      </c>
      <c r="P21" s="202">
        <f>0+táj.2!P21</f>
        <v>0</v>
      </c>
      <c r="Q21" s="202">
        <f>SUM(G21:P21)</f>
        <v>2000</v>
      </c>
    </row>
    <row r="22" spans="1:17" ht="14.45" customHeight="1" x14ac:dyDescent="0.2">
      <c r="A22" s="198"/>
      <c r="B22" s="198"/>
      <c r="C22" s="203"/>
      <c r="D22" s="207" t="s">
        <v>473</v>
      </c>
      <c r="E22" s="208"/>
      <c r="F22" s="208"/>
      <c r="G22" s="202"/>
      <c r="H22" s="202"/>
      <c r="I22" s="202"/>
      <c r="J22" s="202"/>
      <c r="K22" s="202"/>
      <c r="L22" s="202"/>
      <c r="M22" s="202"/>
      <c r="N22" s="202"/>
      <c r="O22" s="202"/>
      <c r="P22" s="202"/>
      <c r="Q22" s="202"/>
    </row>
    <row r="23" spans="1:17" ht="14.45" customHeight="1" x14ac:dyDescent="0.2">
      <c r="A23" s="198"/>
      <c r="B23" s="198"/>
      <c r="C23" s="203"/>
      <c r="D23" s="207" t="s">
        <v>483</v>
      </c>
      <c r="E23" s="208">
        <v>1</v>
      </c>
      <c r="F23" s="209">
        <v>121204</v>
      </c>
      <c r="G23" s="202">
        <f>0+táj.2!G23</f>
        <v>0</v>
      </c>
      <c r="H23" s="202">
        <f>0+táj.2!H23</f>
        <v>0</v>
      </c>
      <c r="I23" s="202">
        <f>0+táj.2!I23</f>
        <v>0</v>
      </c>
      <c r="J23" s="202">
        <f>15000+táj.2!J23</f>
        <v>15000</v>
      </c>
      <c r="K23" s="202">
        <f>0+táj.2!K23</f>
        <v>0</v>
      </c>
      <c r="L23" s="202">
        <f>0+táj.2!L23</f>
        <v>0</v>
      </c>
      <c r="M23" s="202">
        <f>0+táj.2!M23</f>
        <v>0</v>
      </c>
      <c r="N23" s="202">
        <f>0+táj.2!N23</f>
        <v>0</v>
      </c>
      <c r="O23" s="202">
        <f>0+táj.2!O23</f>
        <v>0</v>
      </c>
      <c r="P23" s="202">
        <f>0+táj.2!P23</f>
        <v>0</v>
      </c>
      <c r="Q23" s="202">
        <f>SUM(G23:P23)</f>
        <v>15000</v>
      </c>
    </row>
    <row r="24" spans="1:17" ht="14.45" customHeight="1" x14ac:dyDescent="0.2">
      <c r="A24" s="198"/>
      <c r="B24" s="198"/>
      <c r="C24" s="203"/>
      <c r="D24" s="210" t="s">
        <v>484</v>
      </c>
      <c r="E24" s="211">
        <v>1</v>
      </c>
      <c r="F24" s="209">
        <v>121132</v>
      </c>
      <c r="G24" s="202">
        <f>0+táj.2!G24</f>
        <v>0</v>
      </c>
      <c r="H24" s="202">
        <f>0+táj.2!H24</f>
        <v>0</v>
      </c>
      <c r="I24" s="202">
        <f>0+táj.2!I24</f>
        <v>0</v>
      </c>
      <c r="J24" s="202">
        <f>250+táj.2!J24</f>
        <v>250</v>
      </c>
      <c r="K24" s="202">
        <f>0+táj.2!K24</f>
        <v>0</v>
      </c>
      <c r="L24" s="202">
        <f>0+táj.2!L24</f>
        <v>0</v>
      </c>
      <c r="M24" s="202">
        <f>0+táj.2!M24</f>
        <v>0</v>
      </c>
      <c r="N24" s="202">
        <f>0+táj.2!N24</f>
        <v>0</v>
      </c>
      <c r="O24" s="202">
        <f>0+táj.2!O24</f>
        <v>0</v>
      </c>
      <c r="P24" s="202">
        <f>0+táj.2!P24</f>
        <v>0</v>
      </c>
      <c r="Q24" s="202">
        <f>SUM(G24:P24)</f>
        <v>250</v>
      </c>
    </row>
    <row r="25" spans="1:17" ht="14.45" customHeight="1" x14ac:dyDescent="0.2">
      <c r="A25" s="198"/>
      <c r="B25" s="198"/>
      <c r="C25" s="203"/>
      <c r="D25" s="212" t="s">
        <v>485</v>
      </c>
      <c r="E25" s="208">
        <v>1</v>
      </c>
      <c r="F25" s="209">
        <v>121203</v>
      </c>
      <c r="G25" s="202">
        <f>0+táj.2!G25</f>
        <v>0</v>
      </c>
      <c r="H25" s="202">
        <f>0+táj.2!H25</f>
        <v>0</v>
      </c>
      <c r="I25" s="202">
        <f>600+táj.2!I25</f>
        <v>920</v>
      </c>
      <c r="J25" s="202">
        <f>4400+táj.2!J25</f>
        <v>4080</v>
      </c>
      <c r="K25" s="202">
        <f>0+táj.2!K25</f>
        <v>0</v>
      </c>
      <c r="L25" s="202">
        <f>0+táj.2!L25</f>
        <v>0</v>
      </c>
      <c r="M25" s="202">
        <f>0+táj.2!M25</f>
        <v>0</v>
      </c>
      <c r="N25" s="202">
        <f>0+táj.2!N25</f>
        <v>0</v>
      </c>
      <c r="O25" s="202">
        <f>0+táj.2!O25</f>
        <v>0</v>
      </c>
      <c r="P25" s="202">
        <f>0+táj.2!P25</f>
        <v>0</v>
      </c>
      <c r="Q25" s="202">
        <f>SUM(G25:P25)</f>
        <v>5000</v>
      </c>
    </row>
    <row r="26" spans="1:17" ht="14.45" customHeight="1" x14ac:dyDescent="0.2">
      <c r="A26" s="198"/>
      <c r="B26" s="198"/>
      <c r="C26" s="203"/>
      <c r="D26" s="213" t="s">
        <v>486</v>
      </c>
      <c r="E26" s="208"/>
      <c r="F26" s="170"/>
      <c r="G26" s="202"/>
      <c r="H26" s="202"/>
      <c r="I26" s="202"/>
      <c r="J26" s="202"/>
      <c r="K26" s="202"/>
      <c r="L26" s="202"/>
      <c r="M26" s="202"/>
      <c r="N26" s="202"/>
      <c r="O26" s="202"/>
      <c r="P26" s="202"/>
      <c r="Q26" s="202"/>
    </row>
    <row r="27" spans="1:17" ht="14.45" customHeight="1" x14ac:dyDescent="0.2">
      <c r="A27" s="198"/>
      <c r="B27" s="198"/>
      <c r="C27" s="203"/>
      <c r="D27" s="207" t="s">
        <v>487</v>
      </c>
      <c r="E27" s="208">
        <v>2</v>
      </c>
      <c r="F27" s="209">
        <v>121504</v>
      </c>
      <c r="G27" s="202">
        <f>0+táj.2!G27</f>
        <v>0</v>
      </c>
      <c r="H27" s="202">
        <f>0+táj.2!H27</f>
        <v>0</v>
      </c>
      <c r="I27" s="202">
        <f>0+táj.2!I27</f>
        <v>0</v>
      </c>
      <c r="J27" s="202">
        <f>4600+táj.2!J27</f>
        <v>4600</v>
      </c>
      <c r="K27" s="202">
        <f>0+táj.2!K27</f>
        <v>0</v>
      </c>
      <c r="L27" s="202">
        <f>0+táj.2!L27</f>
        <v>0</v>
      </c>
      <c r="M27" s="202">
        <f>0+táj.2!M27</f>
        <v>0</v>
      </c>
      <c r="N27" s="202">
        <f>0+táj.2!N27</f>
        <v>0</v>
      </c>
      <c r="O27" s="202">
        <f>0+táj.2!O27</f>
        <v>0</v>
      </c>
      <c r="P27" s="202">
        <f>0+táj.2!P27</f>
        <v>0</v>
      </c>
      <c r="Q27" s="202">
        <f>SUM(G27:P27)</f>
        <v>4600</v>
      </c>
    </row>
    <row r="28" spans="1:17" ht="14.45" customHeight="1" x14ac:dyDescent="0.2">
      <c r="A28" s="198"/>
      <c r="B28" s="198"/>
      <c r="C28" s="203"/>
      <c r="D28" s="207" t="s">
        <v>427</v>
      </c>
      <c r="E28" s="208"/>
      <c r="F28" s="209"/>
      <c r="G28" s="202"/>
      <c r="H28" s="202"/>
      <c r="I28" s="202"/>
      <c r="J28" s="202"/>
      <c r="K28" s="202"/>
      <c r="L28" s="202"/>
      <c r="M28" s="202"/>
      <c r="N28" s="202"/>
      <c r="O28" s="202"/>
      <c r="P28" s="202"/>
      <c r="Q28" s="202"/>
    </row>
    <row r="29" spans="1:17" ht="12.6" customHeight="1" x14ac:dyDescent="0.2">
      <c r="A29" s="197"/>
      <c r="B29" s="215"/>
      <c r="C29" s="216"/>
      <c r="D29" s="170" t="s">
        <v>488</v>
      </c>
      <c r="E29" s="208">
        <v>1</v>
      </c>
      <c r="F29" s="170">
        <v>121403</v>
      </c>
      <c r="G29" s="202">
        <f>0+táj.2!G29</f>
        <v>0</v>
      </c>
      <c r="H29" s="202">
        <f>0+táj.2!H29</f>
        <v>0</v>
      </c>
      <c r="I29" s="202">
        <f>50+táj.2!I29</f>
        <v>45</v>
      </c>
      <c r="J29" s="202">
        <f>0+táj.2!J29</f>
        <v>0</v>
      </c>
      <c r="K29" s="202">
        <f>0+táj.2!K29</f>
        <v>0</v>
      </c>
      <c r="L29" s="202">
        <f>0+táj.2!L29</f>
        <v>0</v>
      </c>
      <c r="M29" s="202">
        <f>0+táj.2!M29</f>
        <v>0</v>
      </c>
      <c r="N29" s="202">
        <f>0+táj.2!N29</f>
        <v>0</v>
      </c>
      <c r="O29" s="202">
        <f>0+táj.2!O29</f>
        <v>0</v>
      </c>
      <c r="P29" s="202">
        <f>0+táj.2!P29</f>
        <v>0</v>
      </c>
      <c r="Q29" s="202">
        <f>SUM(G29:P29)</f>
        <v>45</v>
      </c>
    </row>
    <row r="30" spans="1:17" ht="12.6" customHeight="1" x14ac:dyDescent="0.2">
      <c r="A30" s="197"/>
      <c r="B30" s="215"/>
      <c r="C30" s="216"/>
      <c r="D30" s="170" t="s">
        <v>489</v>
      </c>
      <c r="E30" s="170"/>
      <c r="F30" s="170"/>
      <c r="G30" s="202"/>
      <c r="H30" s="202"/>
      <c r="I30" s="202"/>
      <c r="J30" s="202"/>
      <c r="K30" s="202"/>
      <c r="L30" s="202"/>
      <c r="M30" s="202"/>
      <c r="N30" s="202"/>
      <c r="O30" s="202"/>
      <c r="P30" s="202"/>
      <c r="Q30" s="202"/>
    </row>
    <row r="31" spans="1:17" ht="12.6" customHeight="1" x14ac:dyDescent="0.2">
      <c r="A31" s="197"/>
      <c r="B31" s="197"/>
      <c r="C31" s="217"/>
      <c r="D31" s="213" t="s">
        <v>490</v>
      </c>
      <c r="E31" s="170">
        <v>1</v>
      </c>
      <c r="F31" s="170">
        <v>121301</v>
      </c>
      <c r="G31" s="202">
        <f>0+táj.2!G31</f>
        <v>0</v>
      </c>
      <c r="H31" s="202">
        <f>0+táj.2!H31</f>
        <v>0</v>
      </c>
      <c r="I31" s="202">
        <f>0+táj.2!I31</f>
        <v>0</v>
      </c>
      <c r="J31" s="202">
        <f>0+táj.2!J31</f>
        <v>0</v>
      </c>
      <c r="K31" s="202">
        <f>0+táj.2!K31</f>
        <v>0</v>
      </c>
      <c r="L31" s="202">
        <f>0+táj.2!L31</f>
        <v>0</v>
      </c>
      <c r="M31" s="202">
        <f>0+táj.2!M31</f>
        <v>0</v>
      </c>
      <c r="N31" s="202">
        <f>0+táj.2!N31</f>
        <v>0</v>
      </c>
      <c r="O31" s="202">
        <f>0+táj.2!O31</f>
        <v>0</v>
      </c>
      <c r="P31" s="202">
        <f>0+táj.2!P31</f>
        <v>0</v>
      </c>
      <c r="Q31" s="202">
        <f>SUM(G31:P31)</f>
        <v>0</v>
      </c>
    </row>
    <row r="32" spans="1:17" ht="12.6" customHeight="1" x14ac:dyDescent="0.2">
      <c r="A32" s="197"/>
      <c r="B32" s="197"/>
      <c r="C32" s="217"/>
      <c r="D32" s="218" t="s">
        <v>333</v>
      </c>
      <c r="E32" s="208"/>
      <c r="F32" s="170"/>
      <c r="G32" s="202"/>
      <c r="H32" s="202"/>
      <c r="I32" s="202"/>
      <c r="J32" s="202"/>
      <c r="K32" s="202"/>
      <c r="L32" s="202"/>
      <c r="M32" s="202"/>
      <c r="N32" s="202"/>
      <c r="O32" s="202"/>
      <c r="P32" s="202"/>
      <c r="Q32" s="202"/>
    </row>
    <row r="33" spans="1:17" ht="12.6" customHeight="1" x14ac:dyDescent="0.2">
      <c r="A33" s="197"/>
      <c r="B33" s="197"/>
      <c r="C33" s="217"/>
      <c r="D33" s="219" t="s">
        <v>491</v>
      </c>
      <c r="E33" s="208">
        <v>2</v>
      </c>
      <c r="F33" s="170">
        <v>221902</v>
      </c>
      <c r="G33" s="202">
        <f>0+táj.2!G33</f>
        <v>0</v>
      </c>
      <c r="H33" s="202">
        <f>0+táj.2!H33</f>
        <v>0</v>
      </c>
      <c r="I33" s="202">
        <f>29390+táj.2!I33</f>
        <v>29390</v>
      </c>
      <c r="J33" s="202">
        <f>0+táj.2!J33</f>
        <v>0</v>
      </c>
      <c r="K33" s="202">
        <f>0+táj.2!K33</f>
        <v>0</v>
      </c>
      <c r="L33" s="202">
        <f>0+táj.2!L33</f>
        <v>0</v>
      </c>
      <c r="M33" s="202">
        <f>0+táj.2!M33</f>
        <v>0</v>
      </c>
      <c r="N33" s="202">
        <f>0+táj.2!N33</f>
        <v>0</v>
      </c>
      <c r="O33" s="202">
        <f>0+táj.2!O33</f>
        <v>0</v>
      </c>
      <c r="P33" s="202">
        <f>0+táj.2!P33</f>
        <v>0</v>
      </c>
      <c r="Q33" s="202">
        <f>SUM(G33:P33)</f>
        <v>29390</v>
      </c>
    </row>
    <row r="34" spans="1:17" ht="12.6" customHeight="1" x14ac:dyDescent="0.2">
      <c r="A34" s="197"/>
      <c r="B34" s="197"/>
      <c r="C34" s="217"/>
      <c r="D34" s="220" t="s">
        <v>492</v>
      </c>
      <c r="E34" s="208">
        <v>2</v>
      </c>
      <c r="F34" s="170" t="s">
        <v>493</v>
      </c>
      <c r="G34" s="202">
        <f>0+táj.2!G34</f>
        <v>0</v>
      </c>
      <c r="H34" s="202">
        <f>4900+táj.2!H34</f>
        <v>4900</v>
      </c>
      <c r="I34" s="202">
        <f>200+táj.2!I34</f>
        <v>200</v>
      </c>
      <c r="J34" s="202">
        <f>14900+táj.2!J34</f>
        <v>14900</v>
      </c>
      <c r="K34" s="202">
        <f>0+táj.2!K34</f>
        <v>0</v>
      </c>
      <c r="L34" s="202">
        <f>0+táj.2!L34</f>
        <v>0</v>
      </c>
      <c r="M34" s="202">
        <f>0+táj.2!M34</f>
        <v>0</v>
      </c>
      <c r="N34" s="202">
        <f>0+táj.2!N34</f>
        <v>0</v>
      </c>
      <c r="O34" s="202">
        <f>0+táj.2!O34</f>
        <v>0</v>
      </c>
      <c r="P34" s="202">
        <f>0+táj.2!P34</f>
        <v>0</v>
      </c>
      <c r="Q34" s="202">
        <f>SUM(G34:P34)</f>
        <v>20000</v>
      </c>
    </row>
    <row r="35" spans="1:17" ht="14.1" customHeight="1" x14ac:dyDescent="0.2">
      <c r="A35" s="197"/>
      <c r="B35" s="197"/>
      <c r="C35" s="217"/>
      <c r="D35" s="204" t="s">
        <v>494</v>
      </c>
      <c r="E35" s="208"/>
      <c r="F35" s="170"/>
      <c r="G35" s="202"/>
      <c r="H35" s="202"/>
      <c r="I35" s="202"/>
      <c r="J35" s="202"/>
      <c r="K35" s="202"/>
      <c r="L35" s="202"/>
      <c r="M35" s="202"/>
      <c r="N35" s="202"/>
      <c r="O35" s="202"/>
      <c r="P35" s="202"/>
      <c r="Q35" s="202"/>
    </row>
    <row r="36" spans="1:17" ht="14.1" customHeight="1" x14ac:dyDescent="0.2">
      <c r="A36" s="197"/>
      <c r="B36" s="197"/>
      <c r="C36" s="217"/>
      <c r="D36" s="213" t="s">
        <v>495</v>
      </c>
      <c r="E36" s="208">
        <v>1</v>
      </c>
      <c r="F36" s="170">
        <v>121601</v>
      </c>
      <c r="G36" s="202">
        <f>0+táj.2!G36</f>
        <v>0</v>
      </c>
      <c r="H36" s="202">
        <f>0+táj.2!H36</f>
        <v>0</v>
      </c>
      <c r="I36" s="202">
        <f>300+táj.2!I36</f>
        <v>300</v>
      </c>
      <c r="J36" s="202">
        <f>0+táj.2!J36</f>
        <v>0</v>
      </c>
      <c r="K36" s="202">
        <f>200+táj.2!K36</f>
        <v>200</v>
      </c>
      <c r="L36" s="202">
        <f>0+táj.2!L36</f>
        <v>0</v>
      </c>
      <c r="M36" s="202">
        <f>0+táj.2!M36</f>
        <v>0</v>
      </c>
      <c r="N36" s="202">
        <f>0+táj.2!N36</f>
        <v>0</v>
      </c>
      <c r="O36" s="202">
        <f>0+táj.2!O36</f>
        <v>0</v>
      </c>
      <c r="P36" s="202">
        <f>0+táj.2!P36</f>
        <v>0</v>
      </c>
      <c r="Q36" s="202">
        <f>SUM(G36:P36)</f>
        <v>500</v>
      </c>
    </row>
    <row r="37" spans="1:17" ht="14.1" customHeight="1" x14ac:dyDescent="0.2">
      <c r="A37" s="197"/>
      <c r="B37" s="197"/>
      <c r="C37" s="217"/>
      <c r="D37" s="222" t="s">
        <v>496</v>
      </c>
      <c r="E37" s="208"/>
      <c r="F37" s="208"/>
      <c r="G37" s="202"/>
      <c r="H37" s="202"/>
      <c r="I37" s="202"/>
      <c r="J37" s="202"/>
      <c r="K37" s="202"/>
      <c r="L37" s="202"/>
      <c r="M37" s="202"/>
      <c r="N37" s="202"/>
      <c r="O37" s="202"/>
      <c r="P37" s="202"/>
      <c r="Q37" s="202"/>
    </row>
    <row r="38" spans="1:17" ht="14.1" customHeight="1" x14ac:dyDescent="0.2">
      <c r="A38" s="197"/>
      <c r="B38" s="197"/>
      <c r="C38" s="217"/>
      <c r="D38" s="213" t="s">
        <v>497</v>
      </c>
      <c r="E38" s="176">
        <v>2</v>
      </c>
      <c r="F38" s="170">
        <v>121517</v>
      </c>
      <c r="G38" s="202">
        <f>0+táj.2!G38</f>
        <v>0</v>
      </c>
      <c r="H38" s="202">
        <f>0+táj.2!H38</f>
        <v>0</v>
      </c>
      <c r="I38" s="202">
        <f>0+táj.2!I38</f>
        <v>0</v>
      </c>
      <c r="J38" s="202">
        <f>0+táj.2!J38</f>
        <v>0</v>
      </c>
      <c r="K38" s="202">
        <f>3000+táj.2!K38</f>
        <v>3000</v>
      </c>
      <c r="L38" s="202">
        <f>0+táj.2!L38</f>
        <v>0</v>
      </c>
      <c r="M38" s="202">
        <f>0+táj.2!M38</f>
        <v>0</v>
      </c>
      <c r="N38" s="202">
        <f>0+táj.2!N38</f>
        <v>0</v>
      </c>
      <c r="O38" s="202">
        <f>0+táj.2!O38</f>
        <v>0</v>
      </c>
      <c r="P38" s="202">
        <f>0+táj.2!P38</f>
        <v>0</v>
      </c>
      <c r="Q38" s="202">
        <f>SUM(G38:P38)</f>
        <v>3000</v>
      </c>
    </row>
    <row r="39" spans="1:17" ht="13.5" x14ac:dyDescent="0.2">
      <c r="A39" s="223"/>
      <c r="B39" s="223"/>
      <c r="C39" s="224"/>
      <c r="D39" s="225" t="s">
        <v>498</v>
      </c>
      <c r="E39" s="226"/>
      <c r="F39" s="227"/>
      <c r="G39" s="228">
        <f t="shared" ref="G39:Q39" si="1">SUM(G7:G38)</f>
        <v>0</v>
      </c>
      <c r="H39" s="228">
        <f t="shared" si="1"/>
        <v>4900</v>
      </c>
      <c r="I39" s="228">
        <f t="shared" si="1"/>
        <v>30855</v>
      </c>
      <c r="J39" s="228">
        <f t="shared" si="1"/>
        <v>89230</v>
      </c>
      <c r="K39" s="228">
        <f t="shared" si="1"/>
        <v>3200</v>
      </c>
      <c r="L39" s="228">
        <f t="shared" si="1"/>
        <v>0</v>
      </c>
      <c r="M39" s="228">
        <f t="shared" si="1"/>
        <v>0</v>
      </c>
      <c r="N39" s="228">
        <f t="shared" si="1"/>
        <v>0</v>
      </c>
      <c r="O39" s="228">
        <f t="shared" si="1"/>
        <v>0</v>
      </c>
      <c r="P39" s="228">
        <f t="shared" si="1"/>
        <v>0</v>
      </c>
      <c r="Q39" s="228">
        <f t="shared" si="1"/>
        <v>128185</v>
      </c>
    </row>
    <row r="40" spans="1:17" ht="13.5" x14ac:dyDescent="0.2">
      <c r="A40" s="229"/>
      <c r="B40" s="229"/>
      <c r="C40" s="217"/>
      <c r="D40" s="213" t="s">
        <v>499</v>
      </c>
      <c r="E40" s="230"/>
      <c r="F40" s="170"/>
      <c r="G40" s="231"/>
      <c r="H40" s="231"/>
      <c r="I40" s="231"/>
      <c r="J40" s="231"/>
      <c r="K40" s="231"/>
      <c r="L40" s="231"/>
      <c r="M40" s="231"/>
      <c r="N40" s="231"/>
      <c r="O40" s="231"/>
      <c r="P40" s="231"/>
      <c r="Q40" s="231"/>
    </row>
    <row r="41" spans="1:17" ht="24" x14ac:dyDescent="0.2">
      <c r="A41" s="229"/>
      <c r="B41" s="229"/>
      <c r="C41" s="217" t="s">
        <v>500</v>
      </c>
      <c r="D41" s="584" t="s">
        <v>501</v>
      </c>
      <c r="E41" s="230"/>
      <c r="F41" s="170">
        <v>121401</v>
      </c>
      <c r="G41" s="180">
        <f>0+táj.2!G41</f>
        <v>0</v>
      </c>
      <c r="H41" s="180">
        <f>0+táj.2!H41</f>
        <v>0</v>
      </c>
      <c r="I41" s="180">
        <f>0+táj.2!I41</f>
        <v>0</v>
      </c>
      <c r="J41" s="180">
        <f>0+táj.2!J41</f>
        <v>0</v>
      </c>
      <c r="K41" s="180">
        <f>0+táj.2!K41</f>
        <v>0</v>
      </c>
      <c r="L41" s="180">
        <f>0+táj.2!L41</f>
        <v>0</v>
      </c>
      <c r="M41" s="180">
        <f>0+táj.2!M41</f>
        <v>0</v>
      </c>
      <c r="N41" s="180">
        <f>10000+táj.2!N41</f>
        <v>10000</v>
      </c>
      <c r="O41" s="180">
        <f>0+táj.2!O41</f>
        <v>0</v>
      </c>
      <c r="P41" s="180">
        <f>0+táj.2!P41</f>
        <v>0</v>
      </c>
      <c r="Q41" s="170">
        <f>SUM(G41:P41)</f>
        <v>10000</v>
      </c>
    </row>
    <row r="42" spans="1:17" ht="12.75" x14ac:dyDescent="0.2">
      <c r="A42" s="229"/>
      <c r="B42" s="229"/>
      <c r="C42" s="217"/>
      <c r="D42" s="585" t="s">
        <v>502</v>
      </c>
      <c r="E42" s="230"/>
      <c r="F42" s="170"/>
      <c r="G42" s="180"/>
      <c r="H42" s="180"/>
      <c r="I42" s="180"/>
      <c r="J42" s="180"/>
      <c r="K42" s="180"/>
      <c r="L42" s="180"/>
      <c r="M42" s="180"/>
      <c r="N42" s="180"/>
      <c r="O42" s="180"/>
      <c r="P42" s="180"/>
      <c r="Q42" s="170"/>
    </row>
    <row r="43" spans="1:17" ht="12.75" x14ac:dyDescent="0.2">
      <c r="A43" s="229"/>
      <c r="B43" s="229"/>
      <c r="C43" s="217" t="s">
        <v>503</v>
      </c>
      <c r="D43" s="586" t="s">
        <v>504</v>
      </c>
      <c r="E43" s="230"/>
      <c r="F43" s="170">
        <v>121405</v>
      </c>
      <c r="G43" s="180">
        <f>0+táj.2!G43</f>
        <v>0</v>
      </c>
      <c r="H43" s="180">
        <f>0+táj.2!H43</f>
        <v>0</v>
      </c>
      <c r="I43" s="180">
        <f>0+táj.2!I43</f>
        <v>0</v>
      </c>
      <c r="J43" s="180">
        <f>0+táj.2!J43</f>
        <v>0</v>
      </c>
      <c r="K43" s="180">
        <f>0+táj.2!K43</f>
        <v>0</v>
      </c>
      <c r="L43" s="180">
        <f>0+táj.2!L43</f>
        <v>0</v>
      </c>
      <c r="M43" s="180">
        <f>0+táj.2!M43</f>
        <v>0</v>
      </c>
      <c r="N43" s="180">
        <f>1500+táj.2!N43</f>
        <v>1500</v>
      </c>
      <c r="O43" s="180">
        <f>0+táj.2!O43</f>
        <v>0</v>
      </c>
      <c r="P43" s="180">
        <f>0+táj.2!P43</f>
        <v>0</v>
      </c>
      <c r="Q43" s="170">
        <f>SUM(G43:P43)</f>
        <v>1500</v>
      </c>
    </row>
    <row r="44" spans="1:17" ht="24" x14ac:dyDescent="0.2">
      <c r="A44" s="229"/>
      <c r="B44" s="229"/>
      <c r="C44" s="217" t="s">
        <v>505</v>
      </c>
      <c r="D44" s="587" t="s">
        <v>506</v>
      </c>
      <c r="E44" s="230"/>
      <c r="F44" s="170">
        <v>121402</v>
      </c>
      <c r="G44" s="180">
        <f>0+táj.2!G44</f>
        <v>0</v>
      </c>
      <c r="H44" s="180">
        <f>0+táj.2!H44</f>
        <v>0</v>
      </c>
      <c r="I44" s="180">
        <f>0+táj.2!I44</f>
        <v>0</v>
      </c>
      <c r="J44" s="180">
        <f>0+táj.2!J44</f>
        <v>0</v>
      </c>
      <c r="K44" s="180">
        <f>0+táj.2!K44</f>
        <v>0</v>
      </c>
      <c r="L44" s="180">
        <f>0+táj.2!L44</f>
        <v>0</v>
      </c>
      <c r="M44" s="180">
        <f>0+táj.2!M44</f>
        <v>0</v>
      </c>
      <c r="N44" s="180">
        <f>13819+táj.2!N44</f>
        <v>13819</v>
      </c>
      <c r="O44" s="180">
        <f>0+táj.2!O44</f>
        <v>0</v>
      </c>
      <c r="P44" s="180">
        <f>0+táj.2!P44</f>
        <v>0</v>
      </c>
      <c r="Q44" s="170">
        <f>SUM(G44:P44)</f>
        <v>13819</v>
      </c>
    </row>
    <row r="45" spans="1:17" ht="13.5" x14ac:dyDescent="0.2">
      <c r="A45" s="223"/>
      <c r="B45" s="223"/>
      <c r="C45" s="224"/>
      <c r="D45" s="225" t="s">
        <v>507</v>
      </c>
      <c r="E45" s="226"/>
      <c r="F45" s="227"/>
      <c r="G45" s="228">
        <f t="shared" ref="G45:Q45" si="2">SUM(G39:G44)</f>
        <v>0</v>
      </c>
      <c r="H45" s="228">
        <f t="shared" si="2"/>
        <v>4900</v>
      </c>
      <c r="I45" s="228">
        <f t="shared" si="2"/>
        <v>30855</v>
      </c>
      <c r="J45" s="228">
        <f t="shared" si="2"/>
        <v>89230</v>
      </c>
      <c r="K45" s="228">
        <f t="shared" si="2"/>
        <v>3200</v>
      </c>
      <c r="L45" s="228">
        <f t="shared" si="2"/>
        <v>0</v>
      </c>
      <c r="M45" s="228">
        <f t="shared" si="2"/>
        <v>0</v>
      </c>
      <c r="N45" s="228">
        <f t="shared" si="2"/>
        <v>25319</v>
      </c>
      <c r="O45" s="228">
        <f t="shared" si="2"/>
        <v>0</v>
      </c>
      <c r="P45" s="228">
        <f t="shared" si="2"/>
        <v>0</v>
      </c>
      <c r="Q45" s="228">
        <f t="shared" si="2"/>
        <v>153504</v>
      </c>
    </row>
    <row r="46" spans="1:17" ht="12" customHeight="1" x14ac:dyDescent="0.2">
      <c r="A46" s="197">
        <v>1</v>
      </c>
      <c r="B46" s="197">
        <v>13</v>
      </c>
      <c r="C46" s="197"/>
      <c r="D46" s="199" t="s">
        <v>144</v>
      </c>
      <c r="E46" s="232" t="s">
        <v>508</v>
      </c>
      <c r="F46" s="233"/>
      <c r="G46" s="233"/>
      <c r="H46" s="202"/>
      <c r="I46" s="202"/>
      <c r="J46" s="202"/>
      <c r="K46" s="202"/>
      <c r="L46" s="202"/>
      <c r="M46" s="233"/>
      <c r="N46" s="233"/>
      <c r="O46" s="233"/>
      <c r="P46" s="233"/>
      <c r="Q46" s="233"/>
    </row>
    <row r="47" spans="1:17" x14ac:dyDescent="0.2">
      <c r="A47" s="197"/>
      <c r="B47" s="197"/>
      <c r="C47" s="217"/>
      <c r="D47" s="234" t="s">
        <v>509</v>
      </c>
      <c r="E47" s="232"/>
      <c r="F47" s="233"/>
      <c r="G47" s="233"/>
      <c r="H47" s="202"/>
      <c r="I47" s="202"/>
      <c r="J47" s="202"/>
      <c r="K47" s="202"/>
      <c r="L47" s="202"/>
      <c r="M47" s="233"/>
      <c r="N47" s="233"/>
      <c r="O47" s="233"/>
      <c r="P47" s="233"/>
      <c r="Q47" s="233"/>
    </row>
    <row r="48" spans="1:17" ht="12" customHeight="1" x14ac:dyDescent="0.2">
      <c r="A48" s="197"/>
      <c r="B48" s="197"/>
      <c r="C48" s="217"/>
      <c r="D48" s="212" t="s">
        <v>510</v>
      </c>
      <c r="E48" s="235"/>
      <c r="F48" s="208"/>
      <c r="G48" s="170"/>
      <c r="H48" s="202"/>
      <c r="I48" s="202"/>
      <c r="J48" s="202"/>
      <c r="K48" s="202"/>
      <c r="L48" s="202"/>
      <c r="M48" s="170"/>
      <c r="N48" s="170"/>
      <c r="O48" s="170"/>
      <c r="P48" s="170"/>
      <c r="Q48" s="170"/>
    </row>
    <row r="49" spans="1:17" ht="27" customHeight="1" x14ac:dyDescent="0.2">
      <c r="A49" s="197"/>
      <c r="B49" s="197"/>
      <c r="C49" s="217"/>
      <c r="D49" s="222" t="s">
        <v>511</v>
      </c>
      <c r="E49" s="170">
        <v>2</v>
      </c>
      <c r="F49" s="170">
        <v>131112</v>
      </c>
      <c r="G49" s="170">
        <f>0+táj.2!G49</f>
        <v>0</v>
      </c>
      <c r="H49" s="170">
        <f>0+táj.2!H49</f>
        <v>0</v>
      </c>
      <c r="I49" s="170">
        <f>0+táj.2!I49</f>
        <v>0</v>
      </c>
      <c r="J49" s="170">
        <f>0+táj.2!J49</f>
        <v>0</v>
      </c>
      <c r="K49" s="170">
        <f>12000+táj.2!K49</f>
        <v>12000</v>
      </c>
      <c r="L49" s="170">
        <f>0+táj.2!L49</f>
        <v>0</v>
      </c>
      <c r="M49" s="170">
        <f>0+táj.2!M49</f>
        <v>0</v>
      </c>
      <c r="N49" s="170">
        <f>0+táj.2!N49</f>
        <v>0</v>
      </c>
      <c r="O49" s="170">
        <f>0+táj.2!O49</f>
        <v>0</v>
      </c>
      <c r="P49" s="170">
        <f>0+táj.2!P49</f>
        <v>0</v>
      </c>
      <c r="Q49" s="170">
        <f t="shared" ref="Q49:Q54" si="3">SUM(G49:P49)</f>
        <v>12000</v>
      </c>
    </row>
    <row r="50" spans="1:17" ht="24.75" customHeight="1" x14ac:dyDescent="0.2">
      <c r="A50" s="197"/>
      <c r="B50" s="197"/>
      <c r="C50" s="217"/>
      <c r="D50" s="236" t="s">
        <v>512</v>
      </c>
      <c r="E50" s="170">
        <v>2</v>
      </c>
      <c r="F50" s="170">
        <v>131123</v>
      </c>
      <c r="G50" s="170">
        <f>0+táj.2!G50</f>
        <v>0</v>
      </c>
      <c r="H50" s="170">
        <f>0+táj.2!H50</f>
        <v>0</v>
      </c>
      <c r="I50" s="170">
        <f>0+táj.2!I50</f>
        <v>0</v>
      </c>
      <c r="J50" s="170">
        <f>0+táj.2!J50</f>
        <v>0</v>
      </c>
      <c r="K50" s="170">
        <f>3000+táj.2!K50</f>
        <v>3000</v>
      </c>
      <c r="L50" s="170">
        <f>0+táj.2!L50</f>
        <v>0</v>
      </c>
      <c r="M50" s="170">
        <f>0+táj.2!M50</f>
        <v>0</v>
      </c>
      <c r="N50" s="170">
        <f>0+táj.2!N50</f>
        <v>0</v>
      </c>
      <c r="O50" s="170">
        <f>0+táj.2!O50</f>
        <v>0</v>
      </c>
      <c r="P50" s="170">
        <f>0+táj.2!P50</f>
        <v>0</v>
      </c>
      <c r="Q50" s="170">
        <f t="shared" si="3"/>
        <v>3000</v>
      </c>
    </row>
    <row r="51" spans="1:17" ht="15" customHeight="1" x14ac:dyDescent="0.2">
      <c r="A51" s="197"/>
      <c r="B51" s="197"/>
      <c r="C51" s="217"/>
      <c r="D51" s="236" t="s">
        <v>513</v>
      </c>
      <c r="E51" s="170">
        <v>2</v>
      </c>
      <c r="F51" s="170">
        <v>131122</v>
      </c>
      <c r="G51" s="170">
        <f>906+táj.2!G51</f>
        <v>906</v>
      </c>
      <c r="H51" s="170">
        <f>159+táj.2!H51</f>
        <v>159</v>
      </c>
      <c r="I51" s="170">
        <f>435+táj.2!I51</f>
        <v>435</v>
      </c>
      <c r="J51" s="170">
        <f>0+táj.2!J51</f>
        <v>0</v>
      </c>
      <c r="K51" s="170">
        <f>500+táj.2!K51</f>
        <v>500</v>
      </c>
      <c r="L51" s="170">
        <f>0+táj.2!L51</f>
        <v>0</v>
      </c>
      <c r="M51" s="170">
        <f>0+táj.2!M51</f>
        <v>0</v>
      </c>
      <c r="N51" s="170">
        <f>0+táj.2!N51</f>
        <v>0</v>
      </c>
      <c r="O51" s="170">
        <f>0+táj.2!O51</f>
        <v>0</v>
      </c>
      <c r="P51" s="170">
        <f>0+táj.2!P51</f>
        <v>0</v>
      </c>
      <c r="Q51" s="170">
        <f t="shared" si="3"/>
        <v>2000</v>
      </c>
    </row>
    <row r="52" spans="1:17" ht="15" customHeight="1" x14ac:dyDescent="0.2">
      <c r="A52" s="197"/>
      <c r="B52" s="197"/>
      <c r="C52" s="217"/>
      <c r="D52" s="213" t="s">
        <v>514</v>
      </c>
      <c r="E52" s="170">
        <v>2</v>
      </c>
      <c r="F52" s="170">
        <v>131107</v>
      </c>
      <c r="G52" s="170">
        <f>0+táj.2!G52</f>
        <v>0</v>
      </c>
      <c r="H52" s="170">
        <f>0+táj.2!H52</f>
        <v>0</v>
      </c>
      <c r="I52" s="170">
        <f>0+táj.2!I52</f>
        <v>0</v>
      </c>
      <c r="J52" s="170">
        <f>0+táj.2!J52</f>
        <v>0</v>
      </c>
      <c r="K52" s="170">
        <f>45000+táj.2!K52</f>
        <v>45000</v>
      </c>
      <c r="L52" s="170">
        <f>0+táj.2!L52</f>
        <v>0</v>
      </c>
      <c r="M52" s="170">
        <f>0+táj.2!M52</f>
        <v>0</v>
      </c>
      <c r="N52" s="170">
        <f>0+táj.2!N52</f>
        <v>0</v>
      </c>
      <c r="O52" s="170">
        <f>0+táj.2!O52</f>
        <v>0</v>
      </c>
      <c r="P52" s="170">
        <f>0+táj.2!P52</f>
        <v>0</v>
      </c>
      <c r="Q52" s="170">
        <f t="shared" si="3"/>
        <v>45000</v>
      </c>
    </row>
    <row r="53" spans="1:17" ht="24" x14ac:dyDescent="0.2">
      <c r="A53" s="197"/>
      <c r="B53" s="197"/>
      <c r="C53" s="217"/>
      <c r="D53" s="237" t="s">
        <v>515</v>
      </c>
      <c r="E53" s="170">
        <v>2</v>
      </c>
      <c r="F53" s="170">
        <v>131103</v>
      </c>
      <c r="G53" s="170">
        <f>0+táj.2!G53</f>
        <v>0</v>
      </c>
      <c r="H53" s="170">
        <f>0+táj.2!H53</f>
        <v>0</v>
      </c>
      <c r="I53" s="170">
        <f>0+táj.2!I53</f>
        <v>0</v>
      </c>
      <c r="J53" s="170">
        <f>0+táj.2!J53</f>
        <v>0</v>
      </c>
      <c r="K53" s="170">
        <f>5000+táj.2!K53</f>
        <v>0</v>
      </c>
      <c r="L53" s="170">
        <f>0+táj.2!L53</f>
        <v>0</v>
      </c>
      <c r="M53" s="170">
        <f>0+táj.2!M53</f>
        <v>0</v>
      </c>
      <c r="N53" s="170">
        <f>0+táj.2!N53</f>
        <v>0</v>
      </c>
      <c r="O53" s="170">
        <f>0+táj.2!O53</f>
        <v>0</v>
      </c>
      <c r="P53" s="170">
        <f>0+táj.2!P53</f>
        <v>0</v>
      </c>
      <c r="Q53" s="170">
        <f t="shared" si="3"/>
        <v>0</v>
      </c>
    </row>
    <row r="54" spans="1:17" ht="15" customHeight="1" x14ac:dyDescent="0.2">
      <c r="A54" s="197"/>
      <c r="B54" s="197"/>
      <c r="C54" s="217"/>
      <c r="D54" s="213" t="s">
        <v>516</v>
      </c>
      <c r="E54" s="170">
        <v>2</v>
      </c>
      <c r="F54" s="170">
        <v>131128</v>
      </c>
      <c r="G54" s="170">
        <f>0+táj.2!G54</f>
        <v>0</v>
      </c>
      <c r="H54" s="170">
        <f>0+táj.2!H54</f>
        <v>0</v>
      </c>
      <c r="I54" s="170">
        <f>0+táj.2!I54</f>
        <v>0</v>
      </c>
      <c r="J54" s="170">
        <f>0+táj.2!J54</f>
        <v>0</v>
      </c>
      <c r="K54" s="170">
        <f>0+táj.2!K54</f>
        <v>0</v>
      </c>
      <c r="L54" s="170">
        <f>0+táj.2!L54</f>
        <v>0</v>
      </c>
      <c r="M54" s="170">
        <f>0+táj.2!M54</f>
        <v>0</v>
      </c>
      <c r="N54" s="170">
        <f>0+táj.2!N54</f>
        <v>0</v>
      </c>
      <c r="O54" s="170">
        <f>0+táj.2!O54</f>
        <v>0</v>
      </c>
      <c r="P54" s="170">
        <f>0+táj.2!P54</f>
        <v>0</v>
      </c>
      <c r="Q54" s="170">
        <f t="shared" si="3"/>
        <v>0</v>
      </c>
    </row>
    <row r="55" spans="1:17" ht="14.1" customHeight="1" x14ac:dyDescent="0.2">
      <c r="A55" s="197"/>
      <c r="B55" s="197"/>
      <c r="C55" s="217"/>
      <c r="D55" s="238" t="s">
        <v>517</v>
      </c>
      <c r="E55" s="239"/>
      <c r="F55" s="240"/>
      <c r="G55" s="170"/>
      <c r="H55" s="170"/>
      <c r="I55" s="170"/>
      <c r="J55" s="170"/>
      <c r="K55" s="170"/>
      <c r="L55" s="170"/>
      <c r="M55" s="170"/>
      <c r="N55" s="170"/>
      <c r="O55" s="170"/>
      <c r="P55" s="170"/>
      <c r="Q55" s="170"/>
    </row>
    <row r="56" spans="1:17" ht="24.95" customHeight="1" x14ac:dyDescent="0.2">
      <c r="A56" s="197"/>
      <c r="B56" s="197"/>
      <c r="C56" s="217"/>
      <c r="D56" s="236" t="s">
        <v>518</v>
      </c>
      <c r="E56" s="241"/>
      <c r="F56" s="241"/>
      <c r="G56" s="170"/>
      <c r="H56" s="170"/>
      <c r="I56" s="170"/>
      <c r="J56" s="170"/>
      <c r="K56" s="170"/>
      <c r="L56" s="170"/>
      <c r="M56" s="170"/>
      <c r="N56" s="170"/>
      <c r="O56" s="170"/>
      <c r="P56" s="170"/>
      <c r="Q56" s="170"/>
    </row>
    <row r="57" spans="1:17" ht="15" customHeight="1" x14ac:dyDescent="0.2">
      <c r="A57" s="197"/>
      <c r="B57" s="197"/>
      <c r="C57" s="217"/>
      <c r="D57" s="213" t="s">
        <v>519</v>
      </c>
      <c r="E57" s="170">
        <v>2</v>
      </c>
      <c r="F57" s="170">
        <v>131201</v>
      </c>
      <c r="G57" s="170">
        <f>200+táj.2!G57</f>
        <v>200</v>
      </c>
      <c r="H57" s="170">
        <f>80+táj.2!H57</f>
        <v>80</v>
      </c>
      <c r="I57" s="170">
        <f>1220+táj.2!I57</f>
        <v>1220</v>
      </c>
      <c r="J57" s="170">
        <f>0+táj.2!J57</f>
        <v>0</v>
      </c>
      <c r="K57" s="170">
        <f>0+táj.2!K57</f>
        <v>0</v>
      </c>
      <c r="L57" s="170">
        <f>0+táj.2!L57</f>
        <v>0</v>
      </c>
      <c r="M57" s="170">
        <f>0+táj.2!M57</f>
        <v>0</v>
      </c>
      <c r="N57" s="170">
        <f>0+táj.2!N57</f>
        <v>0</v>
      </c>
      <c r="O57" s="170">
        <f>0+táj.2!O57</f>
        <v>0</v>
      </c>
      <c r="P57" s="170">
        <f>0+táj.2!P57</f>
        <v>0</v>
      </c>
      <c r="Q57" s="170">
        <f t="shared" ref="Q57:Q62" si="4">SUM(G57:P57)</f>
        <v>1500</v>
      </c>
    </row>
    <row r="58" spans="1:17" ht="15" customHeight="1" x14ac:dyDescent="0.2">
      <c r="A58" s="197"/>
      <c r="B58" s="197"/>
      <c r="C58" s="217"/>
      <c r="D58" s="213" t="s">
        <v>520</v>
      </c>
      <c r="E58" s="170">
        <v>2</v>
      </c>
      <c r="F58" s="170">
        <v>131202</v>
      </c>
      <c r="G58" s="170">
        <f>196+táj.2!G58</f>
        <v>196</v>
      </c>
      <c r="H58" s="170">
        <f>84+táj.2!H58</f>
        <v>84</v>
      </c>
      <c r="I58" s="170">
        <f>437+táj.2!I58</f>
        <v>437</v>
      </c>
      <c r="J58" s="170">
        <f>0+táj.2!J58</f>
        <v>0</v>
      </c>
      <c r="K58" s="170">
        <f>0+táj.2!K58</f>
        <v>0</v>
      </c>
      <c r="L58" s="170">
        <f>0+táj.2!L58</f>
        <v>0</v>
      </c>
      <c r="M58" s="170">
        <f>0+táj.2!M58</f>
        <v>0</v>
      </c>
      <c r="N58" s="170">
        <f>0+táj.2!N58</f>
        <v>0</v>
      </c>
      <c r="O58" s="170">
        <f>0+táj.2!O58</f>
        <v>0</v>
      </c>
      <c r="P58" s="170">
        <f>0+táj.2!P58</f>
        <v>0</v>
      </c>
      <c r="Q58" s="170">
        <f t="shared" si="4"/>
        <v>717</v>
      </c>
    </row>
    <row r="59" spans="1:17" ht="15" customHeight="1" x14ac:dyDescent="0.2">
      <c r="A59" s="197"/>
      <c r="B59" s="197"/>
      <c r="C59" s="217"/>
      <c r="D59" s="213" t="s">
        <v>521</v>
      </c>
      <c r="E59" s="170">
        <v>2</v>
      </c>
      <c r="F59" s="170">
        <v>131205</v>
      </c>
      <c r="G59" s="170">
        <f>0+táj.2!G59</f>
        <v>0</v>
      </c>
      <c r="H59" s="170">
        <f>0+táj.2!H59</f>
        <v>0</v>
      </c>
      <c r="I59" s="170">
        <f>0+táj.2!I59</f>
        <v>0</v>
      </c>
      <c r="J59" s="170">
        <f>0+táj.2!J59</f>
        <v>0</v>
      </c>
      <c r="K59" s="170">
        <f>1650+táj.2!K59</f>
        <v>1650</v>
      </c>
      <c r="L59" s="170">
        <f>0+táj.2!L59</f>
        <v>0</v>
      </c>
      <c r="M59" s="170">
        <f>0+táj.2!M59</f>
        <v>0</v>
      </c>
      <c r="N59" s="170">
        <f>0+táj.2!N59</f>
        <v>0</v>
      </c>
      <c r="O59" s="170">
        <f>0+táj.2!O59</f>
        <v>0</v>
      </c>
      <c r="P59" s="170">
        <f>0+táj.2!P59</f>
        <v>0</v>
      </c>
      <c r="Q59" s="170">
        <f t="shared" si="4"/>
        <v>1650</v>
      </c>
    </row>
    <row r="60" spans="1:17" ht="15" customHeight="1" x14ac:dyDescent="0.2">
      <c r="A60" s="197"/>
      <c r="B60" s="197"/>
      <c r="C60" s="217"/>
      <c r="D60" s="213" t="s">
        <v>522</v>
      </c>
      <c r="E60" s="170">
        <v>2</v>
      </c>
      <c r="F60" s="170">
        <v>131206</v>
      </c>
      <c r="G60" s="170">
        <f>0+táj.2!G60</f>
        <v>0</v>
      </c>
      <c r="H60" s="170">
        <f>0+táj.2!H60</f>
        <v>0</v>
      </c>
      <c r="I60" s="170">
        <f>0+táj.2!I60</f>
        <v>0</v>
      </c>
      <c r="J60" s="170">
        <f>0+táj.2!J60</f>
        <v>0</v>
      </c>
      <c r="K60" s="170">
        <f>400+táj.2!K60</f>
        <v>400</v>
      </c>
      <c r="L60" s="170">
        <f>0+táj.2!L60</f>
        <v>0</v>
      </c>
      <c r="M60" s="170">
        <f>0+táj.2!M60</f>
        <v>0</v>
      </c>
      <c r="N60" s="170">
        <f>0+táj.2!N60</f>
        <v>0</v>
      </c>
      <c r="O60" s="170">
        <f>0+táj.2!O60</f>
        <v>0</v>
      </c>
      <c r="P60" s="170">
        <f>0+táj.2!P60</f>
        <v>0</v>
      </c>
      <c r="Q60" s="170">
        <f t="shared" si="4"/>
        <v>400</v>
      </c>
    </row>
    <row r="61" spans="1:17" ht="15" customHeight="1" x14ac:dyDescent="0.2">
      <c r="A61" s="197"/>
      <c r="B61" s="197"/>
      <c r="C61" s="217"/>
      <c r="D61" s="212" t="s">
        <v>523</v>
      </c>
      <c r="E61" s="170">
        <v>2</v>
      </c>
      <c r="F61" s="170">
        <v>131209</v>
      </c>
      <c r="G61" s="170">
        <f>150+táj.2!G61</f>
        <v>150</v>
      </c>
      <c r="H61" s="170">
        <f>61+táj.2!H61</f>
        <v>61</v>
      </c>
      <c r="I61" s="170">
        <f>289+táj.2!I61</f>
        <v>289</v>
      </c>
      <c r="J61" s="170">
        <f>0+táj.2!J61</f>
        <v>0</v>
      </c>
      <c r="K61" s="170">
        <f>0+táj.2!K61</f>
        <v>0</v>
      </c>
      <c r="L61" s="170">
        <f>0+táj.2!L61</f>
        <v>0</v>
      </c>
      <c r="M61" s="170">
        <f>0+táj.2!M61</f>
        <v>0</v>
      </c>
      <c r="N61" s="170">
        <f>0+táj.2!N61</f>
        <v>0</v>
      </c>
      <c r="O61" s="170">
        <f>0+táj.2!O61</f>
        <v>0</v>
      </c>
      <c r="P61" s="170">
        <f>0+táj.2!P61</f>
        <v>0</v>
      </c>
      <c r="Q61" s="170">
        <f t="shared" si="4"/>
        <v>500</v>
      </c>
    </row>
    <row r="62" spans="1:17" ht="15" customHeight="1" x14ac:dyDescent="0.2">
      <c r="A62" s="197"/>
      <c r="B62" s="197"/>
      <c r="C62" s="217"/>
      <c r="D62" s="213" t="s">
        <v>524</v>
      </c>
      <c r="E62" s="170">
        <v>2</v>
      </c>
      <c r="F62" s="170">
        <v>131211</v>
      </c>
      <c r="G62" s="170">
        <f>0+táj.2!G62</f>
        <v>0</v>
      </c>
      <c r="H62" s="170">
        <f>0+táj.2!H62</f>
        <v>0</v>
      </c>
      <c r="I62" s="170">
        <f>965+táj.2!I62</f>
        <v>965</v>
      </c>
      <c r="J62" s="170">
        <f>0+táj.2!J62</f>
        <v>0</v>
      </c>
      <c r="K62" s="170">
        <f>0+táj.2!K62</f>
        <v>0</v>
      </c>
      <c r="L62" s="170">
        <f>0+táj.2!L62</f>
        <v>0</v>
      </c>
      <c r="M62" s="170">
        <f>0+táj.2!M62</f>
        <v>0</v>
      </c>
      <c r="N62" s="170">
        <f>0+táj.2!N62</f>
        <v>0</v>
      </c>
      <c r="O62" s="170">
        <f>0+táj.2!O62</f>
        <v>0</v>
      </c>
      <c r="P62" s="170">
        <f>0+táj.2!P62</f>
        <v>0</v>
      </c>
      <c r="Q62" s="170">
        <f t="shared" si="4"/>
        <v>965</v>
      </c>
    </row>
    <row r="63" spans="1:17" ht="14.1" customHeight="1" x14ac:dyDescent="0.2">
      <c r="A63" s="197"/>
      <c r="B63" s="197"/>
      <c r="C63" s="217"/>
      <c r="D63" s="213" t="s">
        <v>486</v>
      </c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0"/>
    </row>
    <row r="64" spans="1:17" ht="14.1" customHeight="1" x14ac:dyDescent="0.2">
      <c r="A64" s="197"/>
      <c r="B64" s="197"/>
      <c r="C64" s="217"/>
      <c r="D64" s="212" t="s">
        <v>525</v>
      </c>
      <c r="E64" s="170">
        <v>2</v>
      </c>
      <c r="F64" s="170">
        <v>131101</v>
      </c>
      <c r="G64" s="170">
        <f>0+táj.2!G64</f>
        <v>0</v>
      </c>
      <c r="H64" s="170">
        <f>0+táj.2!H64</f>
        <v>0</v>
      </c>
      <c r="I64" s="170">
        <f>0+táj.2!I64</f>
        <v>0</v>
      </c>
      <c r="J64" s="170">
        <f>4500+táj.2!J64</f>
        <v>4500</v>
      </c>
      <c r="K64" s="170">
        <f>6500+táj.2!K64</f>
        <v>6500</v>
      </c>
      <c r="L64" s="170">
        <f>0+táj.2!L64</f>
        <v>0</v>
      </c>
      <c r="M64" s="170">
        <f>0+táj.2!M64</f>
        <v>0</v>
      </c>
      <c r="N64" s="170">
        <f>0+táj.2!N64</f>
        <v>0</v>
      </c>
      <c r="O64" s="170">
        <f>0+táj.2!O64</f>
        <v>0</v>
      </c>
      <c r="P64" s="170">
        <f>0+táj.2!P64</f>
        <v>0</v>
      </c>
      <c r="Q64" s="170">
        <f>SUM(G64:P64)</f>
        <v>11000</v>
      </c>
    </row>
    <row r="65" spans="1:17" ht="14.1" customHeight="1" x14ac:dyDescent="0.2">
      <c r="A65" s="197"/>
      <c r="B65" s="197"/>
      <c r="C65" s="217"/>
      <c r="D65" s="212" t="s">
        <v>526</v>
      </c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0"/>
    </row>
    <row r="66" spans="1:17" ht="14.1" customHeight="1" x14ac:dyDescent="0.2">
      <c r="A66" s="197"/>
      <c r="B66" s="197"/>
      <c r="C66" s="217"/>
      <c r="D66" s="213" t="s">
        <v>527</v>
      </c>
      <c r="E66" s="170">
        <v>2</v>
      </c>
      <c r="F66" s="170">
        <v>131120</v>
      </c>
      <c r="G66" s="170">
        <f>0+táj.2!G66</f>
        <v>0</v>
      </c>
      <c r="H66" s="170">
        <f>0+táj.2!H66</f>
        <v>0</v>
      </c>
      <c r="I66" s="170">
        <f>178+táj.2!I66</f>
        <v>178</v>
      </c>
      <c r="J66" s="170">
        <f>0+táj.2!J66</f>
        <v>0</v>
      </c>
      <c r="K66" s="170">
        <f>0+táj.2!K66</f>
        <v>0</v>
      </c>
      <c r="L66" s="170">
        <f>0+táj.2!L66</f>
        <v>0</v>
      </c>
      <c r="M66" s="170">
        <f>0+táj.2!M66</f>
        <v>0</v>
      </c>
      <c r="N66" s="170">
        <f>0+táj.2!N66</f>
        <v>0</v>
      </c>
      <c r="O66" s="170">
        <f>0+táj.2!O66</f>
        <v>0</v>
      </c>
      <c r="P66" s="170">
        <f>0+táj.2!P66</f>
        <v>0</v>
      </c>
      <c r="Q66" s="170">
        <f>SUM(G66:P66)</f>
        <v>178</v>
      </c>
    </row>
    <row r="67" spans="1:17" ht="14.1" customHeight="1" x14ac:dyDescent="0.2">
      <c r="A67" s="197"/>
      <c r="B67" s="197"/>
      <c r="C67" s="217"/>
      <c r="D67" s="213" t="s">
        <v>528</v>
      </c>
      <c r="E67" s="208"/>
      <c r="F67" s="208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0"/>
    </row>
    <row r="68" spans="1:17" ht="14.1" customHeight="1" x14ac:dyDescent="0.2">
      <c r="A68" s="197"/>
      <c r="B68" s="197"/>
      <c r="C68" s="217"/>
      <c r="D68" s="213" t="s">
        <v>529</v>
      </c>
      <c r="E68" s="170">
        <v>2</v>
      </c>
      <c r="F68" s="170">
        <v>131346</v>
      </c>
      <c r="G68" s="170">
        <f>356+táj.2!G68</f>
        <v>356</v>
      </c>
      <c r="H68" s="170">
        <f>109+táj.2!H68</f>
        <v>109</v>
      </c>
      <c r="I68" s="170">
        <f>285+táj.2!I68</f>
        <v>285</v>
      </c>
      <c r="J68" s="170">
        <f>0+táj.2!J68</f>
        <v>0</v>
      </c>
      <c r="K68" s="170">
        <f>750+táj.2!K68</f>
        <v>750</v>
      </c>
      <c r="L68" s="170">
        <f>0+táj.2!L68</f>
        <v>0</v>
      </c>
      <c r="M68" s="170">
        <f>0+táj.2!M68</f>
        <v>0</v>
      </c>
      <c r="N68" s="170">
        <f>0+táj.2!N68</f>
        <v>0</v>
      </c>
      <c r="O68" s="170">
        <f>0+táj.2!O68</f>
        <v>0</v>
      </c>
      <c r="P68" s="170">
        <f>0+táj.2!P68</f>
        <v>0</v>
      </c>
      <c r="Q68" s="170">
        <f t="shared" ref="Q68:Q85" si="5">SUM(G68:P68)</f>
        <v>1500</v>
      </c>
    </row>
    <row r="69" spans="1:17" ht="14.1" customHeight="1" x14ac:dyDescent="0.2">
      <c r="A69" s="197"/>
      <c r="B69" s="197"/>
      <c r="C69" s="217"/>
      <c r="D69" s="213" t="s">
        <v>530</v>
      </c>
      <c r="E69" s="170">
        <v>2</v>
      </c>
      <c r="F69" s="170">
        <v>131305</v>
      </c>
      <c r="G69" s="170">
        <f>0+táj.2!G69</f>
        <v>0</v>
      </c>
      <c r="H69" s="170">
        <f>0+táj.2!H69</f>
        <v>0</v>
      </c>
      <c r="I69" s="170">
        <f>0+táj.2!I69</f>
        <v>0</v>
      </c>
      <c r="J69" s="170">
        <f>0+táj.2!J69</f>
        <v>0</v>
      </c>
      <c r="K69" s="170">
        <f>0+táj.2!K69</f>
        <v>0</v>
      </c>
      <c r="L69" s="170">
        <f>0+táj.2!L69</f>
        <v>0</v>
      </c>
      <c r="M69" s="170">
        <f>0+táj.2!M69</f>
        <v>0</v>
      </c>
      <c r="N69" s="170">
        <f>0+táj.2!N69</f>
        <v>0</v>
      </c>
      <c r="O69" s="170">
        <f>0+táj.2!O69</f>
        <v>0</v>
      </c>
      <c r="P69" s="170">
        <f>0+táj.2!P69</f>
        <v>0</v>
      </c>
      <c r="Q69" s="170">
        <f t="shared" si="5"/>
        <v>0</v>
      </c>
    </row>
    <row r="70" spans="1:17" ht="14.1" customHeight="1" x14ac:dyDescent="0.2">
      <c r="A70" s="197"/>
      <c r="B70" s="197"/>
      <c r="C70" s="217"/>
      <c r="D70" s="213" t="s">
        <v>531</v>
      </c>
      <c r="E70" s="170">
        <v>2</v>
      </c>
      <c r="F70" s="170">
        <v>131306</v>
      </c>
      <c r="G70" s="170">
        <f>0+táj.2!G70</f>
        <v>0</v>
      </c>
      <c r="H70" s="170">
        <f>0+táj.2!H70</f>
        <v>0</v>
      </c>
      <c r="I70" s="170">
        <f>0+táj.2!I70</f>
        <v>0</v>
      </c>
      <c r="J70" s="170">
        <f>0+táj.2!J70</f>
        <v>0</v>
      </c>
      <c r="K70" s="170">
        <f>0+táj.2!K70</f>
        <v>0</v>
      </c>
      <c r="L70" s="170">
        <f>0+táj.2!L70</f>
        <v>0</v>
      </c>
      <c r="M70" s="170">
        <f>0+táj.2!M70</f>
        <v>0</v>
      </c>
      <c r="N70" s="170">
        <f>0+táj.2!N70</f>
        <v>0</v>
      </c>
      <c r="O70" s="170">
        <f>0+táj.2!O70</f>
        <v>0</v>
      </c>
      <c r="P70" s="170">
        <f>0+táj.2!P70</f>
        <v>0</v>
      </c>
      <c r="Q70" s="170">
        <f t="shared" si="5"/>
        <v>0</v>
      </c>
    </row>
    <row r="71" spans="1:17" ht="14.1" customHeight="1" x14ac:dyDescent="0.2">
      <c r="A71" s="197"/>
      <c r="B71" s="197"/>
      <c r="C71" s="217"/>
      <c r="D71" s="222" t="s">
        <v>532</v>
      </c>
      <c r="E71" s="170">
        <v>2</v>
      </c>
      <c r="F71" s="170">
        <v>131325</v>
      </c>
      <c r="G71" s="170">
        <f>0+táj.2!G71</f>
        <v>0</v>
      </c>
      <c r="H71" s="170">
        <f>0+táj.2!H71</f>
        <v>0</v>
      </c>
      <c r="I71" s="170">
        <f>1227+táj.2!I71</f>
        <v>1227</v>
      </c>
      <c r="J71" s="170">
        <f>0+táj.2!J71</f>
        <v>0</v>
      </c>
      <c r="K71" s="170">
        <f>0+táj.2!K71</f>
        <v>0</v>
      </c>
      <c r="L71" s="170">
        <f>0+táj.2!L71</f>
        <v>0</v>
      </c>
      <c r="M71" s="170">
        <f>0+táj.2!M71</f>
        <v>0</v>
      </c>
      <c r="N71" s="170">
        <f>0+táj.2!N71</f>
        <v>0</v>
      </c>
      <c r="O71" s="170">
        <f>0+táj.2!O71</f>
        <v>0</v>
      </c>
      <c r="P71" s="170">
        <f>0+táj.2!P71</f>
        <v>0</v>
      </c>
      <c r="Q71" s="170">
        <f t="shared" si="5"/>
        <v>1227</v>
      </c>
    </row>
    <row r="72" spans="1:17" ht="14.1" customHeight="1" x14ac:dyDescent="0.2">
      <c r="A72" s="197"/>
      <c r="B72" s="197"/>
      <c r="C72" s="217"/>
      <c r="D72" s="222" t="s">
        <v>1370</v>
      </c>
      <c r="E72" s="170">
        <v>2</v>
      </c>
      <c r="F72" s="170">
        <v>131321</v>
      </c>
      <c r="G72" s="170">
        <f>0+táj.2!G72</f>
        <v>0</v>
      </c>
      <c r="H72" s="170">
        <f>0+táj.2!H72</f>
        <v>0</v>
      </c>
      <c r="I72" s="170">
        <f>0+táj.2!I72</f>
        <v>0</v>
      </c>
      <c r="J72" s="170">
        <f>0+táj.2!J72</f>
        <v>0</v>
      </c>
      <c r="K72" s="170">
        <f>39948+táj.2!K72</f>
        <v>39948</v>
      </c>
      <c r="L72" s="170">
        <f>0+táj.2!L72</f>
        <v>0</v>
      </c>
      <c r="M72" s="170">
        <f>0+táj.2!M72</f>
        <v>0</v>
      </c>
      <c r="N72" s="170">
        <f>0+táj.2!N72</f>
        <v>0</v>
      </c>
      <c r="O72" s="170">
        <f>0+táj.2!O72</f>
        <v>0</v>
      </c>
      <c r="P72" s="170">
        <f>0+táj.2!P72</f>
        <v>0</v>
      </c>
      <c r="Q72" s="170">
        <f t="shared" si="5"/>
        <v>39948</v>
      </c>
    </row>
    <row r="73" spans="1:17" ht="23.25" customHeight="1" x14ac:dyDescent="0.2">
      <c r="A73" s="197"/>
      <c r="B73" s="197"/>
      <c r="C73" s="217"/>
      <c r="D73" s="222" t="s">
        <v>533</v>
      </c>
      <c r="E73" s="170">
        <v>2</v>
      </c>
      <c r="F73" s="170">
        <v>131313</v>
      </c>
      <c r="G73" s="170">
        <f>0+táj.2!G73</f>
        <v>0</v>
      </c>
      <c r="H73" s="170">
        <f>0+táj.2!H73</f>
        <v>0</v>
      </c>
      <c r="I73" s="170">
        <f>0+táj.2!I73</f>
        <v>0</v>
      </c>
      <c r="J73" s="170">
        <f>0+táj.2!J73</f>
        <v>0</v>
      </c>
      <c r="K73" s="170">
        <f>32500+táj.2!K73</f>
        <v>15000</v>
      </c>
      <c r="L73" s="170">
        <f>0+táj.2!L73</f>
        <v>0</v>
      </c>
      <c r="M73" s="170">
        <f>0+táj.2!M73</f>
        <v>0</v>
      </c>
      <c r="N73" s="170">
        <f>0+táj.2!N73</f>
        <v>0</v>
      </c>
      <c r="O73" s="170">
        <f>0+táj.2!O73</f>
        <v>0</v>
      </c>
      <c r="P73" s="170">
        <f>0+táj.2!P73</f>
        <v>0</v>
      </c>
      <c r="Q73" s="170">
        <f t="shared" si="5"/>
        <v>15000</v>
      </c>
    </row>
    <row r="74" spans="1:17" ht="14.1" customHeight="1" x14ac:dyDescent="0.2">
      <c r="A74" s="197"/>
      <c r="B74" s="197"/>
      <c r="C74" s="217"/>
      <c r="D74" s="236" t="s">
        <v>534</v>
      </c>
      <c r="E74" s="170">
        <v>2</v>
      </c>
      <c r="F74" s="170">
        <v>131501</v>
      </c>
      <c r="G74" s="170">
        <f>0+táj.2!G74</f>
        <v>0</v>
      </c>
      <c r="H74" s="170">
        <f>0+táj.2!H74</f>
        <v>0</v>
      </c>
      <c r="I74" s="170">
        <f>350+táj.2!I74</f>
        <v>350</v>
      </c>
      <c r="J74" s="170">
        <f>0+táj.2!J74</f>
        <v>0</v>
      </c>
      <c r="K74" s="170">
        <f>0+táj.2!K74</f>
        <v>0</v>
      </c>
      <c r="L74" s="170">
        <f>0+táj.2!L74</f>
        <v>0</v>
      </c>
      <c r="M74" s="170">
        <f>0+táj.2!M74</f>
        <v>0</v>
      </c>
      <c r="N74" s="170">
        <f>0+táj.2!N74</f>
        <v>0</v>
      </c>
      <c r="O74" s="170">
        <f>0+táj.2!O74</f>
        <v>0</v>
      </c>
      <c r="P74" s="170">
        <f>0+táj.2!P74</f>
        <v>0</v>
      </c>
      <c r="Q74" s="170">
        <f t="shared" si="5"/>
        <v>350</v>
      </c>
    </row>
    <row r="75" spans="1:17" ht="14.1" customHeight="1" x14ac:dyDescent="0.2">
      <c r="A75" s="197"/>
      <c r="B75" s="197"/>
      <c r="C75" s="217"/>
      <c r="D75" s="236" t="s">
        <v>535</v>
      </c>
      <c r="E75" s="170">
        <v>2</v>
      </c>
      <c r="F75" s="170">
        <v>131307</v>
      </c>
      <c r="G75" s="170">
        <f>0+táj.2!G75</f>
        <v>0</v>
      </c>
      <c r="H75" s="170">
        <f>0+táj.2!H75</f>
        <v>0</v>
      </c>
      <c r="I75" s="170">
        <f>0+táj.2!I75</f>
        <v>0</v>
      </c>
      <c r="J75" s="170">
        <f>0+táj.2!J75</f>
        <v>0</v>
      </c>
      <c r="K75" s="170">
        <f>0+táj.2!K75</f>
        <v>0</v>
      </c>
      <c r="L75" s="170">
        <f>0+táj.2!L75</f>
        <v>0</v>
      </c>
      <c r="M75" s="170">
        <f>0+táj.2!M75</f>
        <v>0</v>
      </c>
      <c r="N75" s="170">
        <f>0+táj.2!N75</f>
        <v>0</v>
      </c>
      <c r="O75" s="170">
        <f>0+táj.2!O75</f>
        <v>0</v>
      </c>
      <c r="P75" s="170">
        <f>0+táj.2!P75</f>
        <v>0</v>
      </c>
      <c r="Q75" s="170">
        <f t="shared" si="5"/>
        <v>0</v>
      </c>
    </row>
    <row r="76" spans="1:17" ht="15" customHeight="1" x14ac:dyDescent="0.2">
      <c r="A76" s="197"/>
      <c r="B76" s="197"/>
      <c r="C76" s="217"/>
      <c r="D76" s="242" t="s">
        <v>536</v>
      </c>
      <c r="E76" s="170">
        <v>2</v>
      </c>
      <c r="F76" s="170">
        <v>131340</v>
      </c>
      <c r="G76" s="170">
        <f>0+táj.2!G76</f>
        <v>0</v>
      </c>
      <c r="H76" s="170">
        <f>0+táj.2!H76</f>
        <v>0</v>
      </c>
      <c r="I76" s="170">
        <f>0+táj.2!I76</f>
        <v>0</v>
      </c>
      <c r="J76" s="170">
        <f>0+táj.2!J76</f>
        <v>0</v>
      </c>
      <c r="K76" s="170">
        <f>0+táj.2!K76</f>
        <v>0</v>
      </c>
      <c r="L76" s="170">
        <f>0+táj.2!L76</f>
        <v>0</v>
      </c>
      <c r="M76" s="170">
        <f>0+táj.2!M76</f>
        <v>0</v>
      </c>
      <c r="N76" s="170">
        <f>0+táj.2!N76</f>
        <v>0</v>
      </c>
      <c r="O76" s="170">
        <f>0+táj.2!O76</f>
        <v>0</v>
      </c>
      <c r="P76" s="170">
        <f>0+táj.2!P76</f>
        <v>0</v>
      </c>
      <c r="Q76" s="170">
        <f t="shared" si="5"/>
        <v>0</v>
      </c>
    </row>
    <row r="77" spans="1:17" ht="15" customHeight="1" x14ac:dyDescent="0.2">
      <c r="A77" s="197"/>
      <c r="B77" s="197"/>
      <c r="C77" s="217"/>
      <c r="D77" s="242" t="s">
        <v>537</v>
      </c>
      <c r="E77" s="170">
        <v>2</v>
      </c>
      <c r="F77" s="170">
        <v>131343</v>
      </c>
      <c r="G77" s="170">
        <f>0+táj.2!G77</f>
        <v>0</v>
      </c>
      <c r="H77" s="170">
        <f>0+táj.2!H77</f>
        <v>0</v>
      </c>
      <c r="I77" s="170">
        <f>0+táj.2!I77</f>
        <v>0</v>
      </c>
      <c r="J77" s="170">
        <f>0+táj.2!J77</f>
        <v>0</v>
      </c>
      <c r="K77" s="170">
        <f>400+táj.2!K77</f>
        <v>400</v>
      </c>
      <c r="L77" s="170">
        <f>0+táj.2!L77</f>
        <v>0</v>
      </c>
      <c r="M77" s="170">
        <f>0+táj.2!M77</f>
        <v>0</v>
      </c>
      <c r="N77" s="170">
        <f>0+táj.2!N77</f>
        <v>0</v>
      </c>
      <c r="O77" s="170">
        <f>0+táj.2!O77</f>
        <v>0</v>
      </c>
      <c r="P77" s="170">
        <f>0+táj.2!P77</f>
        <v>0</v>
      </c>
      <c r="Q77" s="170">
        <f t="shared" si="5"/>
        <v>400</v>
      </c>
    </row>
    <row r="78" spans="1:17" ht="15" customHeight="1" x14ac:dyDescent="0.2">
      <c r="A78" s="197"/>
      <c r="B78" s="197"/>
      <c r="C78" s="217"/>
      <c r="D78" s="242" t="s">
        <v>538</v>
      </c>
      <c r="E78" s="170">
        <v>2</v>
      </c>
      <c r="F78" s="170">
        <v>131344</v>
      </c>
      <c r="G78" s="170">
        <f>0+táj.2!G78</f>
        <v>0</v>
      </c>
      <c r="H78" s="170">
        <f>0+táj.2!H78</f>
        <v>0</v>
      </c>
      <c r="I78" s="170">
        <f>0+táj.2!I78</f>
        <v>0</v>
      </c>
      <c r="J78" s="170">
        <f>0+táj.2!J78</f>
        <v>0</v>
      </c>
      <c r="K78" s="170">
        <f>0+táj.2!K78</f>
        <v>0</v>
      </c>
      <c r="L78" s="170">
        <f>0+táj.2!L78</f>
        <v>0</v>
      </c>
      <c r="M78" s="170">
        <f>0+táj.2!M78</f>
        <v>0</v>
      </c>
      <c r="N78" s="170">
        <f>0+táj.2!N78</f>
        <v>0</v>
      </c>
      <c r="O78" s="170">
        <f>0+táj.2!O78</f>
        <v>0</v>
      </c>
      <c r="P78" s="170">
        <f>0+táj.2!P78</f>
        <v>0</v>
      </c>
      <c r="Q78" s="170">
        <f t="shared" si="5"/>
        <v>0</v>
      </c>
    </row>
    <row r="79" spans="1:17" ht="15" customHeight="1" x14ac:dyDescent="0.2">
      <c r="A79" s="197"/>
      <c r="B79" s="197"/>
      <c r="C79" s="217"/>
      <c r="D79" s="243" t="s">
        <v>539</v>
      </c>
      <c r="E79" s="170">
        <v>2</v>
      </c>
      <c r="F79" s="170">
        <v>131323</v>
      </c>
      <c r="G79" s="170">
        <f>0+táj.2!G79</f>
        <v>0</v>
      </c>
      <c r="H79" s="170">
        <f>0+táj.2!H79</f>
        <v>0</v>
      </c>
      <c r="I79" s="170">
        <f>0+táj.2!I79</f>
        <v>0</v>
      </c>
      <c r="J79" s="170">
        <f>0+táj.2!J79</f>
        <v>0</v>
      </c>
      <c r="K79" s="170">
        <f>0+táj.2!K79</f>
        <v>0</v>
      </c>
      <c r="L79" s="170">
        <f>0+táj.2!L79</f>
        <v>0</v>
      </c>
      <c r="M79" s="170">
        <f>0+táj.2!M79</f>
        <v>0</v>
      </c>
      <c r="N79" s="170">
        <f>0+táj.2!N79</f>
        <v>0</v>
      </c>
      <c r="O79" s="170">
        <f>0+táj.2!O79</f>
        <v>0</v>
      </c>
      <c r="P79" s="170">
        <f>0+táj.2!P79</f>
        <v>0</v>
      </c>
      <c r="Q79" s="170">
        <f t="shared" si="5"/>
        <v>0</v>
      </c>
    </row>
    <row r="80" spans="1:17" ht="15" customHeight="1" x14ac:dyDescent="0.2">
      <c r="A80" s="197"/>
      <c r="B80" s="197"/>
      <c r="C80" s="217"/>
      <c r="D80" s="243" t="s">
        <v>540</v>
      </c>
      <c r="E80" s="170">
        <v>2</v>
      </c>
      <c r="F80" s="170">
        <v>131310</v>
      </c>
      <c r="G80" s="170">
        <f>0+táj.2!G80</f>
        <v>0</v>
      </c>
      <c r="H80" s="170">
        <f>0+táj.2!H80</f>
        <v>0</v>
      </c>
      <c r="I80" s="170">
        <f>0+táj.2!I80</f>
        <v>0</v>
      </c>
      <c r="J80" s="170">
        <f>0+táj.2!J80</f>
        <v>0</v>
      </c>
      <c r="K80" s="170">
        <f>500+táj.2!K80</f>
        <v>500</v>
      </c>
      <c r="L80" s="170">
        <f>0+táj.2!L80</f>
        <v>0</v>
      </c>
      <c r="M80" s="170">
        <f>0+táj.2!M80</f>
        <v>0</v>
      </c>
      <c r="N80" s="170">
        <f>0+táj.2!N80</f>
        <v>0</v>
      </c>
      <c r="O80" s="170">
        <f>0+táj.2!O80</f>
        <v>0</v>
      </c>
      <c r="P80" s="170">
        <f>0+táj.2!P80</f>
        <v>0</v>
      </c>
      <c r="Q80" s="170">
        <f t="shared" si="5"/>
        <v>500</v>
      </c>
    </row>
    <row r="81" spans="1:17" ht="15" customHeight="1" x14ac:dyDescent="0.2">
      <c r="A81" s="197"/>
      <c r="B81" s="197"/>
      <c r="C81" s="217"/>
      <c r="D81" s="243" t="s">
        <v>1375</v>
      </c>
      <c r="E81" s="170">
        <v>2</v>
      </c>
      <c r="F81" s="170">
        <v>131315</v>
      </c>
      <c r="G81" s="170">
        <f>0+táj.2!G81</f>
        <v>0</v>
      </c>
      <c r="H81" s="170">
        <f>0+táj.2!H81</f>
        <v>0</v>
      </c>
      <c r="I81" s="170">
        <f>0+táj.2!I81</f>
        <v>0</v>
      </c>
      <c r="J81" s="170">
        <f>0+táj.2!J81</f>
        <v>0</v>
      </c>
      <c r="K81" s="170">
        <f>0+táj.2!K81</f>
        <v>0</v>
      </c>
      <c r="L81" s="170">
        <f>0+táj.2!L81</f>
        <v>0</v>
      </c>
      <c r="M81" s="170">
        <f>0+táj.2!M81</f>
        <v>0</v>
      </c>
      <c r="N81" s="170">
        <f>0+táj.2!N81</f>
        <v>0</v>
      </c>
      <c r="O81" s="170">
        <f>0+táj.2!O81</f>
        <v>0</v>
      </c>
      <c r="P81" s="170">
        <f>0+táj.2!P81</f>
        <v>0</v>
      </c>
      <c r="Q81" s="170">
        <f t="shared" si="5"/>
        <v>0</v>
      </c>
    </row>
    <row r="82" spans="1:17" ht="15" customHeight="1" x14ac:dyDescent="0.2">
      <c r="A82" s="197"/>
      <c r="B82" s="197"/>
      <c r="C82" s="217"/>
      <c r="D82" s="243" t="s">
        <v>541</v>
      </c>
      <c r="E82" s="170">
        <v>2</v>
      </c>
      <c r="F82" s="170">
        <v>131316</v>
      </c>
      <c r="G82" s="170">
        <f>0+táj.2!G82</f>
        <v>0</v>
      </c>
      <c r="H82" s="170">
        <f>0+táj.2!H82</f>
        <v>0</v>
      </c>
      <c r="I82" s="170">
        <f>635+táj.2!I82</f>
        <v>635</v>
      </c>
      <c r="J82" s="170">
        <f>0+táj.2!J82</f>
        <v>0</v>
      </c>
      <c r="K82" s="170">
        <f>0+táj.2!K82</f>
        <v>0</v>
      </c>
      <c r="L82" s="170">
        <f>0+táj.2!L82</f>
        <v>0</v>
      </c>
      <c r="M82" s="170">
        <f>0+táj.2!M82</f>
        <v>0</v>
      </c>
      <c r="N82" s="170">
        <f>0+táj.2!N82</f>
        <v>0</v>
      </c>
      <c r="O82" s="170">
        <f>0+táj.2!O82</f>
        <v>0</v>
      </c>
      <c r="P82" s="170">
        <f>0+táj.2!P82</f>
        <v>0</v>
      </c>
      <c r="Q82" s="170">
        <f t="shared" si="5"/>
        <v>635</v>
      </c>
    </row>
    <row r="83" spans="1:17" ht="15" customHeight="1" x14ac:dyDescent="0.2">
      <c r="A83" s="197"/>
      <c r="B83" s="197"/>
      <c r="C83" s="217"/>
      <c r="D83" s="242" t="s">
        <v>542</v>
      </c>
      <c r="E83" s="170">
        <v>2</v>
      </c>
      <c r="F83" s="170">
        <v>131348</v>
      </c>
      <c r="G83" s="170">
        <f>0+táj.2!G83</f>
        <v>0</v>
      </c>
      <c r="H83" s="170">
        <f>0+táj.2!H83</f>
        <v>0</v>
      </c>
      <c r="I83" s="170">
        <f>0+táj.2!I83</f>
        <v>0</v>
      </c>
      <c r="J83" s="170">
        <f>0+táj.2!J83</f>
        <v>0</v>
      </c>
      <c r="K83" s="170">
        <f>2500+táj.2!K83</f>
        <v>2500</v>
      </c>
      <c r="L83" s="170">
        <f>0+táj.2!L83</f>
        <v>0</v>
      </c>
      <c r="M83" s="170">
        <f>0+táj.2!M83</f>
        <v>0</v>
      </c>
      <c r="N83" s="170">
        <f>0+táj.2!N83</f>
        <v>0</v>
      </c>
      <c r="O83" s="170">
        <f>0+táj.2!O83</f>
        <v>0</v>
      </c>
      <c r="P83" s="170">
        <f>0+táj.2!P83</f>
        <v>0</v>
      </c>
      <c r="Q83" s="170">
        <f t="shared" si="5"/>
        <v>2500</v>
      </c>
    </row>
    <row r="84" spans="1:17" ht="23.25" customHeight="1" x14ac:dyDescent="0.2">
      <c r="A84" s="197"/>
      <c r="B84" s="197"/>
      <c r="C84" s="217"/>
      <c r="D84" s="244" t="s">
        <v>543</v>
      </c>
      <c r="E84" s="170">
        <v>2</v>
      </c>
      <c r="F84" s="170">
        <v>131345</v>
      </c>
      <c r="G84" s="170">
        <f>0+táj.2!G84</f>
        <v>0</v>
      </c>
      <c r="H84" s="170">
        <f>0+táj.2!H84</f>
        <v>0</v>
      </c>
      <c r="I84" s="170">
        <f>0+táj.2!I84</f>
        <v>0</v>
      </c>
      <c r="J84" s="170">
        <f>0+táj.2!J84</f>
        <v>0</v>
      </c>
      <c r="K84" s="170">
        <f>200+táj.2!K84</f>
        <v>200</v>
      </c>
      <c r="L84" s="170">
        <f>0+táj.2!L84</f>
        <v>0</v>
      </c>
      <c r="M84" s="170">
        <f>0+táj.2!M84</f>
        <v>0</v>
      </c>
      <c r="N84" s="170">
        <f>0+táj.2!N84</f>
        <v>0</v>
      </c>
      <c r="O84" s="170">
        <f>0+táj.2!O84</f>
        <v>0</v>
      </c>
      <c r="P84" s="170">
        <f>0+táj.2!P84</f>
        <v>0</v>
      </c>
      <c r="Q84" s="170">
        <f t="shared" si="5"/>
        <v>200</v>
      </c>
    </row>
    <row r="85" spans="1:17" ht="17.25" customHeight="1" x14ac:dyDescent="0.2">
      <c r="A85" s="197"/>
      <c r="B85" s="197"/>
      <c r="C85" s="217"/>
      <c r="D85" s="611" t="s">
        <v>544</v>
      </c>
      <c r="E85" s="230">
        <v>2</v>
      </c>
      <c r="F85" s="170">
        <v>131327</v>
      </c>
      <c r="G85" s="170">
        <f>0+táj.2!G85</f>
        <v>0</v>
      </c>
      <c r="H85" s="170">
        <f>0+táj.2!H85</f>
        <v>0</v>
      </c>
      <c r="I85" s="170">
        <f>0+táj.2!I85</f>
        <v>0</v>
      </c>
      <c r="J85" s="170">
        <f>0+táj.2!J85</f>
        <v>0</v>
      </c>
      <c r="K85" s="170">
        <f>250+táj.2!K85</f>
        <v>250</v>
      </c>
      <c r="L85" s="170">
        <f>0+táj.2!L85</f>
        <v>0</v>
      </c>
      <c r="M85" s="170">
        <f>0+táj.2!M85</f>
        <v>0</v>
      </c>
      <c r="N85" s="170">
        <f>0+táj.2!N85</f>
        <v>0</v>
      </c>
      <c r="O85" s="170">
        <f>0+táj.2!O85</f>
        <v>0</v>
      </c>
      <c r="P85" s="170">
        <f>0+táj.2!P85</f>
        <v>0</v>
      </c>
      <c r="Q85" s="170">
        <f t="shared" si="5"/>
        <v>250</v>
      </c>
    </row>
    <row r="86" spans="1:17" ht="14.1" customHeight="1" x14ac:dyDescent="0.2">
      <c r="A86" s="197"/>
      <c r="B86" s="197"/>
      <c r="C86" s="217"/>
      <c r="D86" s="170" t="s">
        <v>545</v>
      </c>
      <c r="E86" s="235"/>
      <c r="F86" s="208"/>
      <c r="G86" s="170"/>
      <c r="H86" s="170"/>
      <c r="I86" s="170"/>
      <c r="J86" s="170"/>
      <c r="K86" s="170"/>
      <c r="L86" s="170"/>
      <c r="M86" s="170"/>
      <c r="N86" s="170"/>
      <c r="O86" s="170"/>
      <c r="P86" s="170"/>
      <c r="Q86" s="170"/>
    </row>
    <row r="87" spans="1:17" ht="24.95" customHeight="1" x14ac:dyDescent="0.2">
      <c r="A87" s="197"/>
      <c r="B87" s="197"/>
      <c r="C87" s="217"/>
      <c r="D87" s="222" t="s">
        <v>546</v>
      </c>
      <c r="E87" s="208">
        <v>2</v>
      </c>
      <c r="F87" s="170">
        <v>131401</v>
      </c>
      <c r="G87" s="170">
        <f>0+táj.2!G87</f>
        <v>0</v>
      </c>
      <c r="H87" s="170">
        <f>0+táj.2!H87</f>
        <v>0</v>
      </c>
      <c r="I87" s="170">
        <f>0+táj.2!I87</f>
        <v>0</v>
      </c>
      <c r="J87" s="170">
        <f>0+táj.2!J87</f>
        <v>0</v>
      </c>
      <c r="K87" s="170">
        <f>1800+táj.2!K87</f>
        <v>1800</v>
      </c>
      <c r="L87" s="170">
        <f>0+táj.2!L87</f>
        <v>0</v>
      </c>
      <c r="M87" s="170">
        <f>0+táj.2!M87</f>
        <v>0</v>
      </c>
      <c r="N87" s="170">
        <f>0+táj.2!N87</f>
        <v>0</v>
      </c>
      <c r="O87" s="170">
        <f>0+táj.2!O87</f>
        <v>0</v>
      </c>
      <c r="P87" s="170">
        <f>0+táj.2!P87</f>
        <v>0</v>
      </c>
      <c r="Q87" s="170">
        <f t="shared" ref="Q87:Q95" si="6">SUM(G87:P87)</f>
        <v>1800</v>
      </c>
    </row>
    <row r="88" spans="1:17" ht="14.1" customHeight="1" x14ac:dyDescent="0.2">
      <c r="A88" s="197"/>
      <c r="B88" s="197"/>
      <c r="C88" s="246"/>
      <c r="D88" s="247" t="s">
        <v>547</v>
      </c>
      <c r="E88" s="208">
        <v>2</v>
      </c>
      <c r="F88" s="170">
        <v>131402</v>
      </c>
      <c r="G88" s="170">
        <f>0+táj.2!G88</f>
        <v>0</v>
      </c>
      <c r="H88" s="170">
        <f>0+táj.2!H88</f>
        <v>0</v>
      </c>
      <c r="I88" s="170">
        <f>0+táj.2!I88</f>
        <v>0</v>
      </c>
      <c r="J88" s="170">
        <f>0+táj.2!J88</f>
        <v>0</v>
      </c>
      <c r="K88" s="170">
        <f>5000+táj.2!K88</f>
        <v>5000</v>
      </c>
      <c r="L88" s="170">
        <f>0+táj.2!L88</f>
        <v>0</v>
      </c>
      <c r="M88" s="170">
        <f>0+táj.2!M88</f>
        <v>0</v>
      </c>
      <c r="N88" s="170">
        <f>0+táj.2!N88</f>
        <v>0</v>
      </c>
      <c r="O88" s="170">
        <f>0+táj.2!O88</f>
        <v>0</v>
      </c>
      <c r="P88" s="170">
        <f>0+táj.2!P88</f>
        <v>0</v>
      </c>
      <c r="Q88" s="170">
        <f t="shared" si="6"/>
        <v>5000</v>
      </c>
    </row>
    <row r="89" spans="1:17" ht="14.1" customHeight="1" x14ac:dyDescent="0.2">
      <c r="A89" s="197"/>
      <c r="B89" s="197"/>
      <c r="C89" s="217"/>
      <c r="D89" s="213" t="s">
        <v>548</v>
      </c>
      <c r="E89" s="208">
        <v>2</v>
      </c>
      <c r="F89" s="170">
        <v>131403</v>
      </c>
      <c r="G89" s="170">
        <f>0+táj.2!G89</f>
        <v>0</v>
      </c>
      <c r="H89" s="170">
        <f>0+táj.2!H89</f>
        <v>0</v>
      </c>
      <c r="I89" s="170">
        <f>0+táj.2!I89</f>
        <v>0</v>
      </c>
      <c r="J89" s="170">
        <f>0+táj.2!J89</f>
        <v>0</v>
      </c>
      <c r="K89" s="170">
        <f>5250+táj.2!K89</f>
        <v>5250</v>
      </c>
      <c r="L89" s="170">
        <f>0+táj.2!L89</f>
        <v>0</v>
      </c>
      <c r="M89" s="170">
        <f>0+táj.2!M89</f>
        <v>0</v>
      </c>
      <c r="N89" s="170">
        <f>0+táj.2!N89</f>
        <v>0</v>
      </c>
      <c r="O89" s="170">
        <f>0+táj.2!O89</f>
        <v>0</v>
      </c>
      <c r="P89" s="170">
        <f>0+táj.2!P89</f>
        <v>0</v>
      </c>
      <c r="Q89" s="170">
        <f t="shared" si="6"/>
        <v>5250</v>
      </c>
    </row>
    <row r="90" spans="1:17" ht="14.1" customHeight="1" x14ac:dyDescent="0.2">
      <c r="A90" s="197"/>
      <c r="B90" s="197"/>
      <c r="C90" s="217"/>
      <c r="D90" s="213" t="s">
        <v>549</v>
      </c>
      <c r="E90" s="208">
        <v>2</v>
      </c>
      <c r="F90" s="170">
        <v>131404</v>
      </c>
      <c r="G90" s="170">
        <f>0+táj.2!G90</f>
        <v>0</v>
      </c>
      <c r="H90" s="170">
        <f>0+táj.2!H90</f>
        <v>0</v>
      </c>
      <c r="I90" s="170">
        <f>0+táj.2!I90</f>
        <v>0</v>
      </c>
      <c r="J90" s="170">
        <f>0+táj.2!J90</f>
        <v>0</v>
      </c>
      <c r="K90" s="170">
        <f>3275+táj.2!K90</f>
        <v>3275</v>
      </c>
      <c r="L90" s="170">
        <f>0+táj.2!L90</f>
        <v>0</v>
      </c>
      <c r="M90" s="170">
        <f>0+táj.2!M90</f>
        <v>0</v>
      </c>
      <c r="N90" s="170">
        <f>0+táj.2!N90</f>
        <v>0</v>
      </c>
      <c r="O90" s="170">
        <f>0+táj.2!O90</f>
        <v>0</v>
      </c>
      <c r="P90" s="170">
        <f>0+táj.2!P90</f>
        <v>0</v>
      </c>
      <c r="Q90" s="170">
        <f t="shared" si="6"/>
        <v>3275</v>
      </c>
    </row>
    <row r="91" spans="1:17" ht="14.1" customHeight="1" x14ac:dyDescent="0.2">
      <c r="A91" s="197"/>
      <c r="B91" s="197"/>
      <c r="C91" s="217"/>
      <c r="D91" s="213" t="s">
        <v>550</v>
      </c>
      <c r="E91" s="208">
        <v>2</v>
      </c>
      <c r="F91" s="170">
        <v>131330</v>
      </c>
      <c r="G91" s="170">
        <f>0+táj.2!G91</f>
        <v>0</v>
      </c>
      <c r="H91" s="170">
        <f>0+táj.2!H91</f>
        <v>0</v>
      </c>
      <c r="I91" s="170">
        <f>0+táj.2!I91</f>
        <v>0</v>
      </c>
      <c r="J91" s="170">
        <f>0+táj.2!J91</f>
        <v>0</v>
      </c>
      <c r="K91" s="170">
        <f>2000+táj.2!K91</f>
        <v>2000</v>
      </c>
      <c r="L91" s="170">
        <f>0+táj.2!L91</f>
        <v>0</v>
      </c>
      <c r="M91" s="170">
        <f>0+táj.2!M91</f>
        <v>0</v>
      </c>
      <c r="N91" s="170">
        <f>0+táj.2!N91</f>
        <v>0</v>
      </c>
      <c r="O91" s="170">
        <f>0+táj.2!O91</f>
        <v>0</v>
      </c>
      <c r="P91" s="170">
        <f>0+táj.2!P91</f>
        <v>0</v>
      </c>
      <c r="Q91" s="170">
        <f t="shared" si="6"/>
        <v>2000</v>
      </c>
    </row>
    <row r="92" spans="1:17" ht="14.1" customHeight="1" x14ac:dyDescent="0.2">
      <c r="A92" s="197"/>
      <c r="B92" s="197"/>
      <c r="C92" s="217"/>
      <c r="D92" s="213" t="s">
        <v>551</v>
      </c>
      <c r="E92" s="208">
        <v>2</v>
      </c>
      <c r="F92" s="170">
        <v>131507</v>
      </c>
      <c r="G92" s="170">
        <f>0+táj.2!G92</f>
        <v>0</v>
      </c>
      <c r="H92" s="170">
        <f>0+táj.2!H92</f>
        <v>0</v>
      </c>
      <c r="I92" s="170">
        <f>0+táj.2!I92</f>
        <v>0</v>
      </c>
      <c r="J92" s="170">
        <f>0+táj.2!J92</f>
        <v>0</v>
      </c>
      <c r="K92" s="170">
        <f>2000+táj.2!K92</f>
        <v>2000</v>
      </c>
      <c r="L92" s="170">
        <f>0+táj.2!L92</f>
        <v>0</v>
      </c>
      <c r="M92" s="170">
        <f>0+táj.2!M92</f>
        <v>0</v>
      </c>
      <c r="N92" s="170">
        <f>0+táj.2!N92</f>
        <v>0</v>
      </c>
      <c r="O92" s="170">
        <f>0+táj.2!O92</f>
        <v>0</v>
      </c>
      <c r="P92" s="170">
        <f>0+táj.2!P92</f>
        <v>0</v>
      </c>
      <c r="Q92" s="170">
        <f t="shared" si="6"/>
        <v>2000</v>
      </c>
    </row>
    <row r="93" spans="1:17" ht="14.1" customHeight="1" x14ac:dyDescent="0.2">
      <c r="A93" s="197"/>
      <c r="B93" s="197"/>
      <c r="C93" s="246"/>
      <c r="D93" s="248" t="s">
        <v>552</v>
      </c>
      <c r="E93" s="208">
        <v>2</v>
      </c>
      <c r="F93" s="170">
        <v>171943</v>
      </c>
      <c r="G93" s="170">
        <f>0+táj.2!G93</f>
        <v>0</v>
      </c>
      <c r="H93" s="170">
        <f>0+táj.2!H93</f>
        <v>0</v>
      </c>
      <c r="I93" s="170">
        <f>0+táj.2!I93</f>
        <v>0</v>
      </c>
      <c r="J93" s="170">
        <f>0+táj.2!J93</f>
        <v>0</v>
      </c>
      <c r="K93" s="170">
        <f>400+táj.2!K93</f>
        <v>400</v>
      </c>
      <c r="L93" s="170">
        <f>0+táj.2!L93</f>
        <v>0</v>
      </c>
      <c r="M93" s="170">
        <f>0+táj.2!M93</f>
        <v>0</v>
      </c>
      <c r="N93" s="170">
        <f>0+táj.2!N93</f>
        <v>0</v>
      </c>
      <c r="O93" s="170">
        <f>0+táj.2!O93</f>
        <v>0</v>
      </c>
      <c r="P93" s="170">
        <f>0+táj.2!P93</f>
        <v>0</v>
      </c>
      <c r="Q93" s="170">
        <f t="shared" si="6"/>
        <v>400</v>
      </c>
    </row>
    <row r="94" spans="1:17" ht="14.1" customHeight="1" x14ac:dyDescent="0.2">
      <c r="A94" s="197"/>
      <c r="B94" s="197"/>
      <c r="C94" s="197"/>
      <c r="D94" s="213" t="s">
        <v>553</v>
      </c>
      <c r="E94" s="208">
        <v>2</v>
      </c>
      <c r="F94" s="170">
        <v>131409</v>
      </c>
      <c r="G94" s="170">
        <f>0+táj.2!G94</f>
        <v>0</v>
      </c>
      <c r="H94" s="170">
        <f>0+táj.2!H94</f>
        <v>0</v>
      </c>
      <c r="I94" s="170">
        <f>0+táj.2!I94</f>
        <v>0</v>
      </c>
      <c r="J94" s="170">
        <f>0+táj.2!J94</f>
        <v>0</v>
      </c>
      <c r="K94" s="170">
        <f>0+táj.2!K94</f>
        <v>0</v>
      </c>
      <c r="L94" s="170">
        <f>0+táj.2!L94</f>
        <v>0</v>
      </c>
      <c r="M94" s="170">
        <f>0+táj.2!M94</f>
        <v>0</v>
      </c>
      <c r="N94" s="170">
        <f>0+táj.2!N94</f>
        <v>0</v>
      </c>
      <c r="O94" s="170">
        <f>0+táj.2!O94</f>
        <v>0</v>
      </c>
      <c r="P94" s="170">
        <f>0+táj.2!P94</f>
        <v>0</v>
      </c>
      <c r="Q94" s="170">
        <f t="shared" si="6"/>
        <v>0</v>
      </c>
    </row>
    <row r="95" spans="1:17" ht="14.1" customHeight="1" x14ac:dyDescent="0.2">
      <c r="A95" s="197"/>
      <c r="B95" s="197"/>
      <c r="C95" s="197"/>
      <c r="D95" s="213" t="s">
        <v>554</v>
      </c>
      <c r="E95" s="208">
        <v>2</v>
      </c>
      <c r="F95" s="170">
        <v>131410</v>
      </c>
      <c r="G95" s="170">
        <f>0+táj.2!G95</f>
        <v>0</v>
      </c>
      <c r="H95" s="170">
        <f>0+táj.2!H95</f>
        <v>0</v>
      </c>
      <c r="I95" s="170">
        <f>0+táj.2!I95</f>
        <v>0</v>
      </c>
      <c r="J95" s="170">
        <f>0+táj.2!J95</f>
        <v>0</v>
      </c>
      <c r="K95" s="170">
        <f>300+táj.2!K95</f>
        <v>300</v>
      </c>
      <c r="L95" s="170">
        <f>0+táj.2!L95</f>
        <v>0</v>
      </c>
      <c r="M95" s="170">
        <f>0+táj.2!M95</f>
        <v>0</v>
      </c>
      <c r="N95" s="170">
        <f>0+táj.2!N95</f>
        <v>0</v>
      </c>
      <c r="O95" s="170">
        <f>0+táj.2!O95</f>
        <v>0</v>
      </c>
      <c r="P95" s="170">
        <f>0+táj.2!P95</f>
        <v>0</v>
      </c>
      <c r="Q95" s="170">
        <f t="shared" si="6"/>
        <v>300</v>
      </c>
    </row>
    <row r="96" spans="1:17" ht="14.1" customHeight="1" x14ac:dyDescent="0.2">
      <c r="A96" s="197"/>
      <c r="B96" s="197"/>
      <c r="C96" s="217"/>
      <c r="D96" s="236" t="s">
        <v>555</v>
      </c>
      <c r="E96" s="241"/>
      <c r="F96" s="241"/>
      <c r="G96" s="170"/>
      <c r="H96" s="170"/>
      <c r="I96" s="170"/>
      <c r="J96" s="170"/>
      <c r="K96" s="170"/>
      <c r="L96" s="170"/>
      <c r="M96" s="170"/>
      <c r="N96" s="170"/>
      <c r="O96" s="170"/>
      <c r="P96" s="170"/>
      <c r="Q96" s="170"/>
    </row>
    <row r="97" spans="1:17" ht="14.1" customHeight="1" x14ac:dyDescent="0.2">
      <c r="A97" s="197"/>
      <c r="B97" s="197"/>
      <c r="C97" s="217"/>
      <c r="D97" s="236" t="s">
        <v>556</v>
      </c>
      <c r="E97" s="249">
        <v>2</v>
      </c>
      <c r="F97" s="250">
        <v>131502</v>
      </c>
      <c r="G97" s="170">
        <f>0+táj.2!G97</f>
        <v>0</v>
      </c>
      <c r="H97" s="170">
        <f>0+táj.2!H97</f>
        <v>0</v>
      </c>
      <c r="I97" s="170">
        <f>0+táj.2!I97</f>
        <v>0</v>
      </c>
      <c r="J97" s="170">
        <f>600+táj.2!J97</f>
        <v>600</v>
      </c>
      <c r="K97" s="170">
        <f>0+táj.2!K97</f>
        <v>0</v>
      </c>
      <c r="L97" s="170">
        <f>0+táj.2!L97</f>
        <v>0</v>
      </c>
      <c r="M97" s="170">
        <f>0+táj.2!M97</f>
        <v>0</v>
      </c>
      <c r="N97" s="170">
        <f>0+táj.2!N97</f>
        <v>0</v>
      </c>
      <c r="O97" s="170">
        <f>0+táj.2!O97</f>
        <v>0</v>
      </c>
      <c r="P97" s="170">
        <f>0+táj.2!P97</f>
        <v>0</v>
      </c>
      <c r="Q97" s="170">
        <f>SUM(G97:P97)</f>
        <v>600</v>
      </c>
    </row>
    <row r="98" spans="1:17" ht="14.1" customHeight="1" x14ac:dyDescent="0.2">
      <c r="A98" s="708"/>
      <c r="B98" s="708"/>
      <c r="C98" s="709"/>
      <c r="D98" s="801" t="s">
        <v>1446</v>
      </c>
      <c r="E98" s="802">
        <v>1</v>
      </c>
      <c r="F98" s="819">
        <v>131508</v>
      </c>
      <c r="G98" s="170">
        <f>0+táj.2!G98</f>
        <v>0</v>
      </c>
      <c r="H98" s="170">
        <f>0+táj.2!H98</f>
        <v>0</v>
      </c>
      <c r="I98" s="170">
        <f>0+táj.2!I98</f>
        <v>0</v>
      </c>
      <c r="J98" s="170">
        <f>0+táj.2!J98</f>
        <v>0</v>
      </c>
      <c r="K98" s="170">
        <f>288500+táj.2!K98</f>
        <v>288500</v>
      </c>
      <c r="L98" s="170">
        <f>0+táj.2!L98</f>
        <v>0</v>
      </c>
      <c r="M98" s="170">
        <f>0+táj.2!M98</f>
        <v>0</v>
      </c>
      <c r="N98" s="170">
        <f>0+táj.2!N98</f>
        <v>0</v>
      </c>
      <c r="O98" s="170">
        <f>0+táj.2!O98</f>
        <v>0</v>
      </c>
      <c r="P98" s="170">
        <f>0+táj.2!P98</f>
        <v>0</v>
      </c>
      <c r="Q98" s="170">
        <f>SUM(G98:P98)</f>
        <v>288500</v>
      </c>
    </row>
    <row r="99" spans="1:17" ht="14.1" customHeight="1" x14ac:dyDescent="0.2">
      <c r="A99" s="708"/>
      <c r="B99" s="708"/>
      <c r="C99" s="709"/>
      <c r="D99" s="801" t="s">
        <v>1447</v>
      </c>
      <c r="E99" s="802">
        <v>1</v>
      </c>
      <c r="F99" s="819">
        <v>131509</v>
      </c>
      <c r="G99" s="170">
        <f>0+táj.2!G99</f>
        <v>0</v>
      </c>
      <c r="H99" s="170">
        <f>0+táj.2!H99</f>
        <v>0</v>
      </c>
      <c r="I99" s="170">
        <f>0+táj.2!I99</f>
        <v>0</v>
      </c>
      <c r="J99" s="170">
        <f>0+táj.2!J99</f>
        <v>0</v>
      </c>
      <c r="K99" s="170">
        <f>65000+táj.2!K99</f>
        <v>65000</v>
      </c>
      <c r="L99" s="170">
        <f>0+táj.2!L99</f>
        <v>0</v>
      </c>
      <c r="M99" s="170">
        <f>0+táj.2!M99</f>
        <v>0</v>
      </c>
      <c r="N99" s="170">
        <f>0+táj.2!N99</f>
        <v>0</v>
      </c>
      <c r="O99" s="170">
        <f>0+táj.2!O99</f>
        <v>0</v>
      </c>
      <c r="P99" s="170">
        <f>0+táj.2!P99</f>
        <v>0</v>
      </c>
      <c r="Q99" s="170">
        <f>SUM(G99:P99)</f>
        <v>65000</v>
      </c>
    </row>
    <row r="100" spans="1:17" ht="14.1" customHeight="1" x14ac:dyDescent="0.2">
      <c r="A100" s="197"/>
      <c r="B100" s="197"/>
      <c r="C100" s="217"/>
      <c r="D100" s="612" t="s">
        <v>557</v>
      </c>
      <c r="E100" s="251"/>
      <c r="F100" s="252"/>
      <c r="G100" s="170"/>
      <c r="H100" s="170"/>
      <c r="I100" s="170"/>
      <c r="J100" s="170"/>
      <c r="K100" s="170"/>
      <c r="L100" s="170"/>
      <c r="M100" s="170"/>
      <c r="N100" s="170"/>
      <c r="O100" s="170"/>
      <c r="P100" s="170"/>
      <c r="Q100" s="253"/>
    </row>
    <row r="101" spans="1:17" ht="14.1" customHeight="1" x14ac:dyDescent="0.2">
      <c r="A101" s="255"/>
      <c r="B101" s="255"/>
      <c r="C101" s="256"/>
      <c r="D101" s="209" t="s">
        <v>558</v>
      </c>
      <c r="E101" s="258"/>
      <c r="F101" s="259"/>
      <c r="G101" s="170"/>
      <c r="H101" s="170"/>
      <c r="I101" s="170"/>
      <c r="J101" s="170"/>
      <c r="K101" s="170"/>
      <c r="L101" s="170"/>
      <c r="M101" s="170"/>
      <c r="N101" s="170"/>
      <c r="O101" s="170"/>
      <c r="P101" s="170"/>
      <c r="Q101" s="253"/>
    </row>
    <row r="102" spans="1:17" ht="14.1" customHeight="1" x14ac:dyDescent="0.2">
      <c r="A102" s="255"/>
      <c r="B102" s="255"/>
      <c r="C102" s="256"/>
      <c r="D102" s="257" t="s">
        <v>559</v>
      </c>
      <c r="E102" s="259">
        <v>1</v>
      </c>
      <c r="F102" s="253">
        <v>131703</v>
      </c>
      <c r="G102" s="170">
        <f>0+táj.2!G102</f>
        <v>0</v>
      </c>
      <c r="H102" s="170">
        <f>0+táj.2!H102</f>
        <v>0</v>
      </c>
      <c r="I102" s="170">
        <f>10500+táj.2!I102</f>
        <v>10500</v>
      </c>
      <c r="J102" s="170">
        <f>0+táj.2!J102</f>
        <v>0</v>
      </c>
      <c r="K102" s="170">
        <f>0+táj.2!K102</f>
        <v>0</v>
      </c>
      <c r="L102" s="170">
        <f>0+táj.2!L102</f>
        <v>0</v>
      </c>
      <c r="M102" s="170">
        <f>0+táj.2!M102</f>
        <v>0</v>
      </c>
      <c r="N102" s="170">
        <f>0+táj.2!N102</f>
        <v>0</v>
      </c>
      <c r="O102" s="170">
        <f>0+táj.2!O102</f>
        <v>0</v>
      </c>
      <c r="P102" s="170">
        <f>0+táj.2!P102</f>
        <v>0</v>
      </c>
      <c r="Q102" s="253">
        <f>SUM(G102:P102)</f>
        <v>10500</v>
      </c>
    </row>
    <row r="103" spans="1:17" ht="15" customHeight="1" x14ac:dyDescent="0.2">
      <c r="A103" s="255"/>
      <c r="B103" s="255"/>
      <c r="C103" s="256"/>
      <c r="D103" s="260" t="s">
        <v>560</v>
      </c>
      <c r="E103" s="259">
        <v>1</v>
      </c>
      <c r="F103" s="253">
        <v>121319</v>
      </c>
      <c r="G103" s="170">
        <f>0+táj.2!G103</f>
        <v>0</v>
      </c>
      <c r="H103" s="170">
        <f>0+táj.2!H103</f>
        <v>0</v>
      </c>
      <c r="I103" s="170">
        <f>3303+táj.2!I103</f>
        <v>0</v>
      </c>
      <c r="J103" s="170">
        <f>0+táj.2!J103</f>
        <v>0</v>
      </c>
      <c r="K103" s="170">
        <f>0+táj.2!K103</f>
        <v>3303</v>
      </c>
      <c r="L103" s="170">
        <f>0+táj.2!L103</f>
        <v>0</v>
      </c>
      <c r="M103" s="170">
        <f>0+táj.2!M103</f>
        <v>0</v>
      </c>
      <c r="N103" s="170">
        <f>0+táj.2!N103</f>
        <v>0</v>
      </c>
      <c r="O103" s="170">
        <f>0+táj.2!O103</f>
        <v>0</v>
      </c>
      <c r="P103" s="170">
        <f>0+táj.2!P103</f>
        <v>0</v>
      </c>
      <c r="Q103" s="253">
        <f>SUM(G103:P103)</f>
        <v>3303</v>
      </c>
    </row>
    <row r="104" spans="1:17" ht="27" customHeight="1" x14ac:dyDescent="0.2">
      <c r="A104" s="255"/>
      <c r="B104" s="255"/>
      <c r="C104" s="256"/>
      <c r="D104" s="261" t="s">
        <v>561</v>
      </c>
      <c r="E104" s="253"/>
      <c r="F104" s="253"/>
      <c r="G104" s="170"/>
      <c r="H104" s="170"/>
      <c r="I104" s="170"/>
      <c r="J104" s="170"/>
      <c r="K104" s="170"/>
      <c r="L104" s="170"/>
      <c r="M104" s="170"/>
      <c r="N104" s="170"/>
      <c r="O104" s="170"/>
      <c r="P104" s="170"/>
      <c r="Q104" s="253"/>
    </row>
    <row r="105" spans="1:17" ht="16.5" customHeight="1" x14ac:dyDescent="0.2">
      <c r="A105" s="255"/>
      <c r="B105" s="255"/>
      <c r="C105" s="256"/>
      <c r="D105" s="261" t="s">
        <v>562</v>
      </c>
      <c r="E105" s="253">
        <v>2</v>
      </c>
      <c r="F105" s="253">
        <v>131506</v>
      </c>
      <c r="G105" s="170">
        <f>600+táj.2!G105</f>
        <v>600</v>
      </c>
      <c r="H105" s="170">
        <f>285+táj.2!H105</f>
        <v>285</v>
      </c>
      <c r="I105" s="170">
        <f>665+táj.2!I105</f>
        <v>665</v>
      </c>
      <c r="J105" s="170">
        <f>0+táj.2!J105</f>
        <v>0</v>
      </c>
      <c r="K105" s="170">
        <f>0+táj.2!K105</f>
        <v>0</v>
      </c>
      <c r="L105" s="170">
        <f>0+táj.2!L105</f>
        <v>0</v>
      </c>
      <c r="M105" s="170">
        <f>0+táj.2!M105</f>
        <v>0</v>
      </c>
      <c r="N105" s="170">
        <f>0+táj.2!N105</f>
        <v>0</v>
      </c>
      <c r="O105" s="170">
        <f>0+táj.2!O105</f>
        <v>0</v>
      </c>
      <c r="P105" s="170">
        <f>0+táj.2!P105</f>
        <v>0</v>
      </c>
      <c r="Q105" s="253">
        <f>SUM(G105:P105)</f>
        <v>1550</v>
      </c>
    </row>
    <row r="106" spans="1:17" ht="15" customHeight="1" x14ac:dyDescent="0.2">
      <c r="A106" s="255"/>
      <c r="B106" s="255"/>
      <c r="C106" s="256"/>
      <c r="D106" s="263" t="s">
        <v>563</v>
      </c>
      <c r="E106" s="253"/>
      <c r="F106" s="253"/>
      <c r="G106" s="170"/>
      <c r="H106" s="170"/>
      <c r="I106" s="170"/>
      <c r="J106" s="170"/>
      <c r="K106" s="170"/>
      <c r="L106" s="170"/>
      <c r="M106" s="170"/>
      <c r="N106" s="170"/>
      <c r="O106" s="170"/>
      <c r="P106" s="170"/>
      <c r="Q106" s="253"/>
    </row>
    <row r="107" spans="1:17" ht="15" customHeight="1" x14ac:dyDescent="0.2">
      <c r="A107" s="255"/>
      <c r="B107" s="255"/>
      <c r="C107" s="256"/>
      <c r="D107" s="263" t="s">
        <v>1382</v>
      </c>
      <c r="E107" s="253">
        <v>2</v>
      </c>
      <c r="F107" s="253">
        <v>131707</v>
      </c>
      <c r="G107" s="170">
        <f>0+táj.2!G107</f>
        <v>0</v>
      </c>
      <c r="H107" s="170">
        <f>0+táj.2!H107</f>
        <v>0</v>
      </c>
      <c r="I107" s="170">
        <f>0+táj.2!I107</f>
        <v>0</v>
      </c>
      <c r="J107" s="170">
        <f>0+táj.2!J107</f>
        <v>0</v>
      </c>
      <c r="K107" s="170">
        <f>11500+táj.2!K107</f>
        <v>11500</v>
      </c>
      <c r="L107" s="170">
        <f>0+táj.2!L107</f>
        <v>0</v>
      </c>
      <c r="M107" s="170">
        <f>0+táj.2!M107</f>
        <v>0</v>
      </c>
      <c r="N107" s="170">
        <f>0+táj.2!N107</f>
        <v>0</v>
      </c>
      <c r="O107" s="170">
        <f>0+táj.2!O107</f>
        <v>0</v>
      </c>
      <c r="P107" s="170">
        <f>0+táj.2!P107</f>
        <v>0</v>
      </c>
      <c r="Q107" s="253">
        <f>SUM(G107:P107)</f>
        <v>11500</v>
      </c>
    </row>
    <row r="108" spans="1:17" ht="15" customHeight="1" x14ac:dyDescent="0.2">
      <c r="A108" s="675"/>
      <c r="B108" s="675"/>
      <c r="C108" s="676"/>
      <c r="D108" s="677" t="s">
        <v>564</v>
      </c>
      <c r="E108" s="253">
        <v>2</v>
      </c>
      <c r="F108" s="253">
        <v>131713</v>
      </c>
      <c r="G108" s="170">
        <f>0+táj.2!G108</f>
        <v>0</v>
      </c>
      <c r="H108" s="170">
        <f>0+táj.2!H108</f>
        <v>0</v>
      </c>
      <c r="I108" s="170">
        <f>0+táj.2!I108</f>
        <v>0</v>
      </c>
      <c r="J108" s="170">
        <f>0+táj.2!J108</f>
        <v>0</v>
      </c>
      <c r="K108" s="170">
        <f>3000+táj.2!K108</f>
        <v>3000</v>
      </c>
      <c r="L108" s="170">
        <f>0+táj.2!L108</f>
        <v>0</v>
      </c>
      <c r="M108" s="170">
        <f>0+táj.2!M108</f>
        <v>0</v>
      </c>
      <c r="N108" s="170">
        <f>0+táj.2!N108</f>
        <v>0</v>
      </c>
      <c r="O108" s="170">
        <f>0+táj.2!O108</f>
        <v>0</v>
      </c>
      <c r="P108" s="170">
        <f>0+táj.2!P108</f>
        <v>0</v>
      </c>
      <c r="Q108" s="253">
        <f>SUM(G108:P108)</f>
        <v>3000</v>
      </c>
    </row>
    <row r="109" spans="1:17" ht="16.5" customHeight="1" x14ac:dyDescent="0.2">
      <c r="A109" s="255"/>
      <c r="B109" s="255"/>
      <c r="C109" s="256"/>
      <c r="D109" s="167" t="s">
        <v>496</v>
      </c>
      <c r="E109" s="264"/>
      <c r="F109" s="265"/>
      <c r="G109" s="170"/>
      <c r="H109" s="170"/>
      <c r="I109" s="170"/>
      <c r="J109" s="170"/>
      <c r="K109" s="170"/>
      <c r="L109" s="170"/>
      <c r="M109" s="170"/>
      <c r="N109" s="170"/>
      <c r="O109" s="170"/>
      <c r="P109" s="170"/>
      <c r="Q109" s="253"/>
    </row>
    <row r="110" spans="1:17" ht="15" customHeight="1" x14ac:dyDescent="0.2">
      <c r="A110" s="255"/>
      <c r="B110" s="255"/>
      <c r="C110" s="256"/>
      <c r="D110" s="263" t="s">
        <v>565</v>
      </c>
      <c r="E110" s="165">
        <v>2</v>
      </c>
      <c r="F110" s="253">
        <v>131706</v>
      </c>
      <c r="G110" s="170">
        <f>450+táj.2!G110</f>
        <v>450</v>
      </c>
      <c r="H110" s="170">
        <f>200+táj.2!H110</f>
        <v>200</v>
      </c>
      <c r="I110" s="170">
        <f>600+táj.2!I110</f>
        <v>600</v>
      </c>
      <c r="J110" s="170">
        <f>0+táj.2!J110</f>
        <v>0</v>
      </c>
      <c r="K110" s="170">
        <f>1350+táj.2!K110</f>
        <v>1350</v>
      </c>
      <c r="L110" s="170">
        <f>0+táj.2!L110</f>
        <v>0</v>
      </c>
      <c r="M110" s="170">
        <f>0+táj.2!M110</f>
        <v>0</v>
      </c>
      <c r="N110" s="170">
        <f>0+táj.2!N110</f>
        <v>0</v>
      </c>
      <c r="O110" s="170">
        <f>0+táj.2!O110</f>
        <v>0</v>
      </c>
      <c r="P110" s="170">
        <f>0+táj.2!P110</f>
        <v>0</v>
      </c>
      <c r="Q110" s="253">
        <f>SUM(G110:P110)</f>
        <v>2600</v>
      </c>
    </row>
    <row r="111" spans="1:17" ht="15" customHeight="1" x14ac:dyDescent="0.2">
      <c r="A111" s="255"/>
      <c r="B111" s="255"/>
      <c r="C111" s="256"/>
      <c r="D111" s="263" t="s">
        <v>566</v>
      </c>
      <c r="E111" s="165">
        <v>2</v>
      </c>
      <c r="F111" s="253">
        <v>131712</v>
      </c>
      <c r="G111" s="170">
        <f>0+táj.2!G111</f>
        <v>0</v>
      </c>
      <c r="H111" s="170">
        <f>0+táj.2!H111</f>
        <v>0</v>
      </c>
      <c r="I111" s="170">
        <f>1900+táj.2!I111</f>
        <v>1900</v>
      </c>
      <c r="J111" s="170">
        <f>0+táj.2!J111</f>
        <v>0</v>
      </c>
      <c r="K111" s="170">
        <f>0+táj.2!K111</f>
        <v>0</v>
      </c>
      <c r="L111" s="170">
        <f>0+táj.2!L111</f>
        <v>0</v>
      </c>
      <c r="M111" s="170">
        <f>0+táj.2!M111</f>
        <v>0</v>
      </c>
      <c r="N111" s="170">
        <f>0+táj.2!N111</f>
        <v>0</v>
      </c>
      <c r="O111" s="170">
        <f>0+táj.2!O111</f>
        <v>0</v>
      </c>
      <c r="P111" s="170">
        <f>0+táj.2!P111</f>
        <v>0</v>
      </c>
      <c r="Q111" s="253">
        <f>SUM(G111:P111)</f>
        <v>1900</v>
      </c>
    </row>
    <row r="112" spans="1:17" ht="15" customHeight="1" x14ac:dyDescent="0.2">
      <c r="A112" s="255"/>
      <c r="B112" s="255"/>
      <c r="C112" s="256"/>
      <c r="D112" s="167" t="s">
        <v>567</v>
      </c>
      <c r="E112" s="165">
        <v>2</v>
      </c>
      <c r="F112" s="253">
        <v>131714</v>
      </c>
      <c r="G112" s="170">
        <f>0+táj.2!G112</f>
        <v>0</v>
      </c>
      <c r="H112" s="170">
        <f>0+táj.2!H112</f>
        <v>0</v>
      </c>
      <c r="I112" s="170">
        <f>0+táj.2!I112</f>
        <v>0</v>
      </c>
      <c r="J112" s="170">
        <f>0+táj.2!J112</f>
        <v>0</v>
      </c>
      <c r="K112" s="170">
        <f>200+táj.2!K112</f>
        <v>0</v>
      </c>
      <c r="L112" s="170">
        <f>0+táj.2!L112</f>
        <v>0</v>
      </c>
      <c r="M112" s="170">
        <f>0+táj.2!M112</f>
        <v>0</v>
      </c>
      <c r="N112" s="170">
        <f>0+táj.2!N112</f>
        <v>0</v>
      </c>
      <c r="O112" s="170">
        <f>0+táj.2!O112</f>
        <v>0</v>
      </c>
      <c r="P112" s="170">
        <f>0+táj.2!P112</f>
        <v>0</v>
      </c>
      <c r="Q112" s="253">
        <f>SUM(G112:P112)</f>
        <v>0</v>
      </c>
    </row>
    <row r="113" spans="1:17" ht="20.25" customHeight="1" x14ac:dyDescent="0.2">
      <c r="A113" s="708"/>
      <c r="B113" s="708"/>
      <c r="C113" s="709"/>
      <c r="D113" s="710" t="s">
        <v>1432</v>
      </c>
      <c r="E113" s="714"/>
      <c r="F113" s="712"/>
      <c r="G113" s="170"/>
      <c r="H113" s="712"/>
      <c r="I113" s="712"/>
      <c r="J113" s="712"/>
      <c r="K113" s="712"/>
      <c r="L113" s="712"/>
      <c r="M113" s="712"/>
      <c r="N113" s="712"/>
      <c r="O113" s="712"/>
      <c r="P113" s="712"/>
      <c r="Q113" s="253"/>
    </row>
    <row r="114" spans="1:17" ht="15" customHeight="1" x14ac:dyDescent="0.2">
      <c r="A114" s="708"/>
      <c r="B114" s="708"/>
      <c r="C114" s="709"/>
      <c r="D114" s="710" t="s">
        <v>1414</v>
      </c>
      <c r="E114" s="714">
        <v>1</v>
      </c>
      <c r="F114" s="774">
        <v>131716</v>
      </c>
      <c r="G114" s="170">
        <f>0+táj.2!G114</f>
        <v>0</v>
      </c>
      <c r="H114" s="170">
        <f>0+táj.2!H114</f>
        <v>0</v>
      </c>
      <c r="I114" s="170">
        <f>52390+táj.2!I114</f>
        <v>52390</v>
      </c>
      <c r="J114" s="170">
        <f>0+táj.2!J114</f>
        <v>0</v>
      </c>
      <c r="K114" s="170">
        <f>23860+táj.2!K114</f>
        <v>23860</v>
      </c>
      <c r="L114" s="170">
        <f>0+táj.2!L114</f>
        <v>0</v>
      </c>
      <c r="M114" s="170">
        <f>0+táj.2!M114</f>
        <v>0</v>
      </c>
      <c r="N114" s="170">
        <f>0+táj.2!N114</f>
        <v>0</v>
      </c>
      <c r="O114" s="170">
        <f>0+táj.2!O114</f>
        <v>0</v>
      </c>
      <c r="P114" s="170">
        <f>0+táj.2!P114</f>
        <v>0</v>
      </c>
      <c r="Q114" s="253">
        <f>SUM(G114:P114)</f>
        <v>76250</v>
      </c>
    </row>
    <row r="115" spans="1:17" ht="15" customHeight="1" x14ac:dyDescent="0.2">
      <c r="A115" s="255"/>
      <c r="B115" s="255"/>
      <c r="C115" s="256"/>
      <c r="D115" s="170" t="s">
        <v>545</v>
      </c>
      <c r="E115" s="266"/>
      <c r="F115" s="253"/>
      <c r="G115" s="170"/>
      <c r="H115" s="170"/>
      <c r="I115" s="170"/>
      <c r="J115" s="170"/>
      <c r="K115" s="170"/>
      <c r="L115" s="170"/>
      <c r="M115" s="170"/>
      <c r="N115" s="170"/>
      <c r="O115" s="170"/>
      <c r="P115" s="170"/>
      <c r="Q115" s="253"/>
    </row>
    <row r="116" spans="1:17" ht="15" customHeight="1" x14ac:dyDescent="0.2">
      <c r="A116" s="255"/>
      <c r="B116" s="255"/>
      <c r="C116" s="256"/>
      <c r="D116" s="263" t="s">
        <v>568</v>
      </c>
      <c r="E116" s="165">
        <v>2</v>
      </c>
      <c r="F116" s="253">
        <v>128901</v>
      </c>
      <c r="G116" s="170">
        <f>0+táj.2!G116</f>
        <v>0</v>
      </c>
      <c r="H116" s="170">
        <f>0+táj.2!H116</f>
        <v>0</v>
      </c>
      <c r="I116" s="170">
        <f>0+táj.2!I116</f>
        <v>0</v>
      </c>
      <c r="J116" s="170">
        <f>0+táj.2!J116</f>
        <v>0</v>
      </c>
      <c r="K116" s="170">
        <f>1250+táj.2!K116</f>
        <v>1250</v>
      </c>
      <c r="L116" s="170">
        <f>0+táj.2!L116</f>
        <v>0</v>
      </c>
      <c r="M116" s="170">
        <f>0+táj.2!M116</f>
        <v>0</v>
      </c>
      <c r="N116" s="170">
        <f>0+táj.2!N116</f>
        <v>0</v>
      </c>
      <c r="O116" s="170">
        <f>0+táj.2!O116</f>
        <v>0</v>
      </c>
      <c r="P116" s="170">
        <f>0+táj.2!P116</f>
        <v>0</v>
      </c>
      <c r="Q116" s="253">
        <f>SUM(G116:P116)</f>
        <v>1250</v>
      </c>
    </row>
    <row r="117" spans="1:17" ht="15" customHeight="1" x14ac:dyDescent="0.2">
      <c r="A117" s="255"/>
      <c r="B117" s="255"/>
      <c r="C117" s="256"/>
      <c r="D117" s="267" t="s">
        <v>569</v>
      </c>
      <c r="E117" s="253"/>
      <c r="F117" s="253"/>
      <c r="G117" s="170"/>
      <c r="H117" s="170"/>
      <c r="I117" s="170"/>
      <c r="J117" s="170"/>
      <c r="K117" s="170"/>
      <c r="L117" s="170"/>
      <c r="M117" s="170"/>
      <c r="N117" s="170"/>
      <c r="O117" s="170"/>
      <c r="P117" s="170"/>
      <c r="Q117" s="253"/>
    </row>
    <row r="118" spans="1:17" ht="15" customHeight="1" x14ac:dyDescent="0.2">
      <c r="A118" s="255"/>
      <c r="B118" s="255"/>
      <c r="C118" s="256"/>
      <c r="D118" s="260" t="s">
        <v>570</v>
      </c>
      <c r="E118" s="259"/>
      <c r="F118" s="259"/>
      <c r="G118" s="170"/>
      <c r="H118" s="170"/>
      <c r="I118" s="170"/>
      <c r="J118" s="170"/>
      <c r="K118" s="170"/>
      <c r="L118" s="170"/>
      <c r="M118" s="170"/>
      <c r="N118" s="170"/>
      <c r="O118" s="170"/>
      <c r="P118" s="170"/>
      <c r="Q118" s="253"/>
    </row>
    <row r="119" spans="1:17" ht="15" customHeight="1" x14ac:dyDescent="0.2">
      <c r="A119" s="255"/>
      <c r="B119" s="255"/>
      <c r="C119" s="256"/>
      <c r="D119" s="263" t="s">
        <v>571</v>
      </c>
      <c r="E119" s="253">
        <v>2</v>
      </c>
      <c r="F119" s="253">
        <v>131803</v>
      </c>
      <c r="G119" s="170">
        <f>0+táj.2!G119</f>
        <v>0</v>
      </c>
      <c r="H119" s="170">
        <f>0+táj.2!H119</f>
        <v>0</v>
      </c>
      <c r="I119" s="170">
        <f>0+táj.2!I119</f>
        <v>0</v>
      </c>
      <c r="J119" s="170">
        <f>0+táj.2!J119</f>
        <v>0</v>
      </c>
      <c r="K119" s="170">
        <f>150000+táj.2!K119</f>
        <v>150356</v>
      </c>
      <c r="L119" s="170">
        <f>0+táj.2!L119</f>
        <v>0</v>
      </c>
      <c r="M119" s="170">
        <f>0+táj.2!M119</f>
        <v>0</v>
      </c>
      <c r="N119" s="170">
        <f>0+táj.2!N119</f>
        <v>0</v>
      </c>
      <c r="O119" s="170">
        <f>0+táj.2!O119</f>
        <v>0</v>
      </c>
      <c r="P119" s="170">
        <f>0+táj.2!P119</f>
        <v>0</v>
      </c>
      <c r="Q119" s="253">
        <f>SUM(G119:P119)</f>
        <v>150356</v>
      </c>
    </row>
    <row r="120" spans="1:17" ht="15" customHeight="1" x14ac:dyDescent="0.2">
      <c r="A120" s="255"/>
      <c r="B120" s="255"/>
      <c r="C120" s="256"/>
      <c r="D120" s="263" t="s">
        <v>572</v>
      </c>
      <c r="E120" s="253">
        <v>2</v>
      </c>
      <c r="F120" s="253">
        <v>131804</v>
      </c>
      <c r="G120" s="170">
        <f>0+táj.2!G120</f>
        <v>0</v>
      </c>
      <c r="H120" s="170">
        <f>0+táj.2!H120</f>
        <v>0</v>
      </c>
      <c r="I120" s="170">
        <f>0+táj.2!I120</f>
        <v>0</v>
      </c>
      <c r="J120" s="170">
        <f>0+táj.2!J120</f>
        <v>0</v>
      </c>
      <c r="K120" s="170">
        <f>65000+táj.2!K120</f>
        <v>65000</v>
      </c>
      <c r="L120" s="170">
        <f>0+táj.2!L120</f>
        <v>0</v>
      </c>
      <c r="M120" s="170">
        <f>0+táj.2!M120</f>
        <v>0</v>
      </c>
      <c r="N120" s="170">
        <f>0+táj.2!N120</f>
        <v>0</v>
      </c>
      <c r="O120" s="170">
        <f>0+táj.2!O120</f>
        <v>0</v>
      </c>
      <c r="P120" s="170">
        <f>0+táj.2!P120</f>
        <v>0</v>
      </c>
      <c r="Q120" s="253">
        <f>SUM(G120:P120)</f>
        <v>65000</v>
      </c>
    </row>
    <row r="121" spans="1:17" ht="15" customHeight="1" x14ac:dyDescent="0.2">
      <c r="A121" s="255"/>
      <c r="B121" s="255"/>
      <c r="C121" s="256"/>
      <c r="D121" s="263" t="s">
        <v>573</v>
      </c>
      <c r="E121" s="253">
        <v>2</v>
      </c>
      <c r="F121" s="253">
        <v>131805</v>
      </c>
      <c r="G121" s="170">
        <f>0+táj.2!G121</f>
        <v>0</v>
      </c>
      <c r="H121" s="170">
        <f>0+táj.2!H121</f>
        <v>0</v>
      </c>
      <c r="I121" s="170">
        <f>0+táj.2!I121</f>
        <v>0</v>
      </c>
      <c r="J121" s="170">
        <f>0+táj.2!J121</f>
        <v>0</v>
      </c>
      <c r="K121" s="170">
        <f>5000+táj.2!K121</f>
        <v>5000</v>
      </c>
      <c r="L121" s="170">
        <f>0+táj.2!L121</f>
        <v>0</v>
      </c>
      <c r="M121" s="170">
        <f>0+táj.2!M121</f>
        <v>0</v>
      </c>
      <c r="N121" s="170">
        <f>0+táj.2!N121</f>
        <v>0</v>
      </c>
      <c r="O121" s="170">
        <f>0+táj.2!O121</f>
        <v>0</v>
      </c>
      <c r="P121" s="170">
        <f>0+táj.2!P121</f>
        <v>0</v>
      </c>
      <c r="Q121" s="253">
        <f>SUM(G121:P121)</f>
        <v>5000</v>
      </c>
    </row>
    <row r="122" spans="1:17" ht="15" customHeight="1" x14ac:dyDescent="0.2">
      <c r="A122" s="255"/>
      <c r="B122" s="255"/>
      <c r="C122" s="256"/>
      <c r="D122" s="260" t="s">
        <v>574</v>
      </c>
      <c r="E122" s="259"/>
      <c r="F122" s="259"/>
      <c r="G122" s="170"/>
      <c r="H122" s="170"/>
      <c r="I122" s="170"/>
      <c r="J122" s="170"/>
      <c r="K122" s="170"/>
      <c r="L122" s="170"/>
      <c r="M122" s="170"/>
      <c r="N122" s="170"/>
      <c r="O122" s="170"/>
      <c r="P122" s="170"/>
      <c r="Q122" s="253"/>
    </row>
    <row r="123" spans="1:17" ht="15" customHeight="1" x14ac:dyDescent="0.2">
      <c r="A123" s="255"/>
      <c r="B123" s="255"/>
      <c r="C123" s="256"/>
      <c r="D123" s="263" t="s">
        <v>575</v>
      </c>
      <c r="E123" s="259">
        <v>1</v>
      </c>
      <c r="F123" s="253">
        <v>131808</v>
      </c>
      <c r="G123" s="170">
        <f>400+táj.2!G123</f>
        <v>400</v>
      </c>
      <c r="H123" s="170">
        <f>70+táj.2!H123</f>
        <v>70</v>
      </c>
      <c r="I123" s="170">
        <f>1280+táj.2!I123</f>
        <v>1280</v>
      </c>
      <c r="J123" s="170">
        <f>0+táj.2!J123</f>
        <v>0</v>
      </c>
      <c r="K123" s="170">
        <f>0+táj.2!K123</f>
        <v>0</v>
      </c>
      <c r="L123" s="170">
        <f>0+táj.2!L123</f>
        <v>0</v>
      </c>
      <c r="M123" s="170">
        <f>0+táj.2!M123</f>
        <v>0</v>
      </c>
      <c r="N123" s="170">
        <f>0+táj.2!N123</f>
        <v>0</v>
      </c>
      <c r="O123" s="170">
        <f>0+táj.2!O123</f>
        <v>0</v>
      </c>
      <c r="P123" s="170">
        <f>0+táj.2!P123</f>
        <v>0</v>
      </c>
      <c r="Q123" s="253">
        <f>SUM(G123:P123)</f>
        <v>1750</v>
      </c>
    </row>
    <row r="124" spans="1:17" ht="15" customHeight="1" x14ac:dyDescent="0.2">
      <c r="A124" s="255"/>
      <c r="B124" s="255"/>
      <c r="C124" s="256"/>
      <c r="D124" s="263" t="s">
        <v>576</v>
      </c>
      <c r="E124" s="253">
        <v>1</v>
      </c>
      <c r="F124" s="253">
        <v>131807</v>
      </c>
      <c r="G124" s="170">
        <f>150+táj.2!G124</f>
        <v>150</v>
      </c>
      <c r="H124" s="170">
        <f>60+táj.2!H124</f>
        <v>60</v>
      </c>
      <c r="I124" s="170">
        <f>240+táj.2!I124</f>
        <v>240</v>
      </c>
      <c r="J124" s="170">
        <f>0+táj.2!J124</f>
        <v>0</v>
      </c>
      <c r="K124" s="170">
        <f>740+táj.2!K124</f>
        <v>740</v>
      </c>
      <c r="L124" s="170">
        <f>0+táj.2!L124</f>
        <v>0</v>
      </c>
      <c r="M124" s="170">
        <f>0+táj.2!M124</f>
        <v>0</v>
      </c>
      <c r="N124" s="170">
        <f>0+táj.2!N124</f>
        <v>0</v>
      </c>
      <c r="O124" s="170">
        <f>0+táj.2!O124</f>
        <v>0</v>
      </c>
      <c r="P124" s="170">
        <f>0+táj.2!P124</f>
        <v>0</v>
      </c>
      <c r="Q124" s="253">
        <f>SUM(G124:P124)</f>
        <v>1190</v>
      </c>
    </row>
    <row r="125" spans="1:17" ht="15" customHeight="1" x14ac:dyDescent="0.2">
      <c r="A125" s="255"/>
      <c r="B125" s="255"/>
      <c r="C125" s="256"/>
      <c r="D125" s="263" t="s">
        <v>577</v>
      </c>
      <c r="E125" s="259">
        <v>1</v>
      </c>
      <c r="F125" s="253">
        <v>131809</v>
      </c>
      <c r="G125" s="170">
        <f>0+táj.2!G125</f>
        <v>0</v>
      </c>
      <c r="H125" s="170">
        <f>0+táj.2!H125</f>
        <v>0</v>
      </c>
      <c r="I125" s="170">
        <f>0+táj.2!I125</f>
        <v>0</v>
      </c>
      <c r="J125" s="170">
        <f>0+táj.2!J125</f>
        <v>0</v>
      </c>
      <c r="K125" s="170">
        <f>400+táj.2!K125</f>
        <v>400</v>
      </c>
      <c r="L125" s="170">
        <f>0+táj.2!L125</f>
        <v>0</v>
      </c>
      <c r="M125" s="170">
        <f>0+táj.2!M125</f>
        <v>0</v>
      </c>
      <c r="N125" s="170">
        <f>0+táj.2!N125</f>
        <v>0</v>
      </c>
      <c r="O125" s="170">
        <f>0+táj.2!O125</f>
        <v>0</v>
      </c>
      <c r="P125" s="170">
        <f>0+táj.2!P125</f>
        <v>0</v>
      </c>
      <c r="Q125" s="253">
        <f>SUM(G125:P125)</f>
        <v>400</v>
      </c>
    </row>
    <row r="126" spans="1:17" ht="15" customHeight="1" x14ac:dyDescent="0.2">
      <c r="A126" s="255"/>
      <c r="B126" s="255"/>
      <c r="C126" s="256"/>
      <c r="D126" s="269" t="s">
        <v>578</v>
      </c>
      <c r="E126" s="253">
        <v>2</v>
      </c>
      <c r="F126" s="253">
        <v>131835</v>
      </c>
      <c r="G126" s="170">
        <f>0+táj.2!G126</f>
        <v>0</v>
      </c>
      <c r="H126" s="170">
        <f>0+táj.2!H126</f>
        <v>0</v>
      </c>
      <c r="I126" s="170">
        <f>0+táj.2!I126</f>
        <v>0</v>
      </c>
      <c r="J126" s="170">
        <f>0+táj.2!J126</f>
        <v>0</v>
      </c>
      <c r="K126" s="170">
        <f>6500+táj.2!K126</f>
        <v>6500</v>
      </c>
      <c r="L126" s="170">
        <f>0+táj.2!L126</f>
        <v>0</v>
      </c>
      <c r="M126" s="170">
        <f>0+táj.2!M126</f>
        <v>0</v>
      </c>
      <c r="N126" s="170">
        <f>0+táj.2!N126</f>
        <v>0</v>
      </c>
      <c r="O126" s="170">
        <f>0+táj.2!O126</f>
        <v>0</v>
      </c>
      <c r="P126" s="170">
        <f>0+táj.2!P126</f>
        <v>0</v>
      </c>
      <c r="Q126" s="253">
        <f>SUM(G126:P126)</f>
        <v>6500</v>
      </c>
    </row>
    <row r="127" spans="1:17" ht="15" customHeight="1" x14ac:dyDescent="0.2">
      <c r="A127" s="255"/>
      <c r="B127" s="255"/>
      <c r="C127" s="256"/>
      <c r="D127" s="260" t="s">
        <v>579</v>
      </c>
      <c r="E127" s="259"/>
      <c r="F127" s="259"/>
      <c r="G127" s="170"/>
      <c r="H127" s="170"/>
      <c r="I127" s="170"/>
      <c r="J127" s="170"/>
      <c r="K127" s="170"/>
      <c r="L127" s="170"/>
      <c r="M127" s="170"/>
      <c r="N127" s="170"/>
      <c r="O127" s="170"/>
      <c r="P127" s="170"/>
      <c r="Q127" s="253"/>
    </row>
    <row r="128" spans="1:17" ht="15" customHeight="1" x14ac:dyDescent="0.2">
      <c r="A128" s="255"/>
      <c r="B128" s="255"/>
      <c r="C128" s="256"/>
      <c r="D128" s="263" t="s">
        <v>580</v>
      </c>
      <c r="E128" s="253">
        <v>1</v>
      </c>
      <c r="F128" s="253">
        <v>131811</v>
      </c>
      <c r="G128" s="170">
        <f>0+táj.2!G128</f>
        <v>0</v>
      </c>
      <c r="H128" s="170">
        <f>0+táj.2!H128</f>
        <v>0</v>
      </c>
      <c r="I128" s="170">
        <f>0+táj.2!I128</f>
        <v>0</v>
      </c>
      <c r="J128" s="170">
        <f>0+táj.2!J128</f>
        <v>0</v>
      </c>
      <c r="K128" s="170">
        <f>5050+táj.2!K128</f>
        <v>5050</v>
      </c>
      <c r="L128" s="170">
        <f>0+táj.2!L128</f>
        <v>0</v>
      </c>
      <c r="M128" s="170">
        <f>0+táj.2!M128</f>
        <v>0</v>
      </c>
      <c r="N128" s="170">
        <f>0+táj.2!N128</f>
        <v>0</v>
      </c>
      <c r="O128" s="170">
        <f>0+táj.2!O128</f>
        <v>0</v>
      </c>
      <c r="P128" s="170">
        <f>0+táj.2!P128</f>
        <v>0</v>
      </c>
      <c r="Q128" s="253">
        <f t="shared" ref="Q128:Q136" si="7">SUM(G128:P128)</f>
        <v>5050</v>
      </c>
    </row>
    <row r="129" spans="1:17" ht="15" customHeight="1" x14ac:dyDescent="0.2">
      <c r="A129" s="255"/>
      <c r="B129" s="255"/>
      <c r="C129" s="256"/>
      <c r="D129" s="263" t="s">
        <v>581</v>
      </c>
      <c r="E129" s="253">
        <v>1</v>
      </c>
      <c r="F129" s="253">
        <v>131812</v>
      </c>
      <c r="G129" s="170">
        <f>0+táj.2!G129</f>
        <v>0</v>
      </c>
      <c r="H129" s="170">
        <f>0+táj.2!H129</f>
        <v>0</v>
      </c>
      <c r="I129" s="170">
        <f>0+táj.2!I129</f>
        <v>0</v>
      </c>
      <c r="J129" s="170">
        <f>0+táj.2!J129</f>
        <v>0</v>
      </c>
      <c r="K129" s="170">
        <f>3500+táj.2!K129</f>
        <v>3500</v>
      </c>
      <c r="L129" s="170">
        <f>0+táj.2!L129</f>
        <v>0</v>
      </c>
      <c r="M129" s="170">
        <f>0+táj.2!M129</f>
        <v>0</v>
      </c>
      <c r="N129" s="170">
        <f>0+táj.2!N129</f>
        <v>0</v>
      </c>
      <c r="O129" s="170">
        <f>0+táj.2!O129</f>
        <v>0</v>
      </c>
      <c r="P129" s="170">
        <f>0+táj.2!P129</f>
        <v>0</v>
      </c>
      <c r="Q129" s="253">
        <f t="shared" si="7"/>
        <v>3500</v>
      </c>
    </row>
    <row r="130" spans="1:17" ht="15" customHeight="1" x14ac:dyDescent="0.2">
      <c r="A130" s="255"/>
      <c r="B130" s="255"/>
      <c r="C130" s="256"/>
      <c r="D130" s="263" t="s">
        <v>582</v>
      </c>
      <c r="E130" s="253">
        <v>1</v>
      </c>
      <c r="F130" s="253">
        <v>131813</v>
      </c>
      <c r="G130" s="170">
        <f>0+táj.2!G130</f>
        <v>0</v>
      </c>
      <c r="H130" s="170">
        <f>0+táj.2!H130</f>
        <v>0</v>
      </c>
      <c r="I130" s="170">
        <f>0+táj.2!I130</f>
        <v>0</v>
      </c>
      <c r="J130" s="170">
        <f>0+táj.2!J130</f>
        <v>0</v>
      </c>
      <c r="K130" s="170">
        <f>900+táj.2!K130</f>
        <v>900</v>
      </c>
      <c r="L130" s="170">
        <f>0+táj.2!L130</f>
        <v>0</v>
      </c>
      <c r="M130" s="170">
        <f>0+táj.2!M130</f>
        <v>0</v>
      </c>
      <c r="N130" s="170">
        <f>0+táj.2!N130</f>
        <v>0</v>
      </c>
      <c r="O130" s="170">
        <f>0+táj.2!O130</f>
        <v>0</v>
      </c>
      <c r="P130" s="170">
        <f>0+táj.2!P130</f>
        <v>0</v>
      </c>
      <c r="Q130" s="253">
        <f t="shared" si="7"/>
        <v>900</v>
      </c>
    </row>
    <row r="131" spans="1:17" ht="15" customHeight="1" x14ac:dyDescent="0.2">
      <c r="A131" s="255"/>
      <c r="B131" s="255"/>
      <c r="C131" s="256"/>
      <c r="D131" s="263" t="s">
        <v>583</v>
      </c>
      <c r="E131" s="253">
        <v>1</v>
      </c>
      <c r="F131" s="253">
        <v>131816</v>
      </c>
      <c r="G131" s="170">
        <f>0+táj.2!G131</f>
        <v>0</v>
      </c>
      <c r="H131" s="170">
        <f>0+táj.2!H131</f>
        <v>0</v>
      </c>
      <c r="I131" s="170">
        <f>0+táj.2!I131</f>
        <v>0</v>
      </c>
      <c r="J131" s="170">
        <f>0+táj.2!J131</f>
        <v>0</v>
      </c>
      <c r="K131" s="170">
        <f>700+táj.2!K131</f>
        <v>700</v>
      </c>
      <c r="L131" s="170">
        <f>0+táj.2!L131</f>
        <v>0</v>
      </c>
      <c r="M131" s="170">
        <f>0+táj.2!M131</f>
        <v>0</v>
      </c>
      <c r="N131" s="170">
        <f>0+táj.2!N131</f>
        <v>0</v>
      </c>
      <c r="O131" s="170">
        <f>0+táj.2!O131</f>
        <v>0</v>
      </c>
      <c r="P131" s="170">
        <f>0+táj.2!P131</f>
        <v>0</v>
      </c>
      <c r="Q131" s="253">
        <f t="shared" si="7"/>
        <v>700</v>
      </c>
    </row>
    <row r="132" spans="1:17" ht="15" customHeight="1" x14ac:dyDescent="0.2">
      <c r="A132" s="255"/>
      <c r="B132" s="255"/>
      <c r="C132" s="256"/>
      <c r="D132" s="263" t="s">
        <v>584</v>
      </c>
      <c r="E132" s="253">
        <v>1</v>
      </c>
      <c r="F132" s="253">
        <v>131817</v>
      </c>
      <c r="G132" s="170">
        <f>0+táj.2!G132</f>
        <v>0</v>
      </c>
      <c r="H132" s="170">
        <f>0+táj.2!H132</f>
        <v>0</v>
      </c>
      <c r="I132" s="170">
        <f>0+táj.2!I132</f>
        <v>0</v>
      </c>
      <c r="J132" s="170">
        <f>0+táj.2!J132</f>
        <v>0</v>
      </c>
      <c r="K132" s="170">
        <f>495+táj.2!K132</f>
        <v>495</v>
      </c>
      <c r="L132" s="170">
        <f>0+táj.2!L132</f>
        <v>0</v>
      </c>
      <c r="M132" s="170">
        <f>0+táj.2!M132</f>
        <v>0</v>
      </c>
      <c r="N132" s="170">
        <f>0+táj.2!N132</f>
        <v>0</v>
      </c>
      <c r="O132" s="170">
        <f>0+táj.2!O132</f>
        <v>0</v>
      </c>
      <c r="P132" s="170">
        <f>0+táj.2!P132</f>
        <v>0</v>
      </c>
      <c r="Q132" s="253">
        <f t="shared" si="7"/>
        <v>495</v>
      </c>
    </row>
    <row r="133" spans="1:17" ht="15" customHeight="1" x14ac:dyDescent="0.2">
      <c r="A133" s="255"/>
      <c r="B133" s="255"/>
      <c r="C133" s="256"/>
      <c r="D133" s="263" t="s">
        <v>585</v>
      </c>
      <c r="E133" s="253">
        <v>1</v>
      </c>
      <c r="F133" s="253">
        <v>131818</v>
      </c>
      <c r="G133" s="170">
        <f>0+táj.2!G133</f>
        <v>0</v>
      </c>
      <c r="H133" s="170">
        <f>0+táj.2!H133</f>
        <v>0</v>
      </c>
      <c r="I133" s="170">
        <f>0+táj.2!I133</f>
        <v>0</v>
      </c>
      <c r="J133" s="170">
        <f>0+táj.2!J133</f>
        <v>0</v>
      </c>
      <c r="K133" s="170">
        <f>200+táj.2!K133</f>
        <v>200</v>
      </c>
      <c r="L133" s="170">
        <f>0+táj.2!L133</f>
        <v>0</v>
      </c>
      <c r="M133" s="170">
        <f>0+táj.2!M133</f>
        <v>0</v>
      </c>
      <c r="N133" s="170">
        <f>0+táj.2!N133</f>
        <v>0</v>
      </c>
      <c r="O133" s="170">
        <f>0+táj.2!O133</f>
        <v>0</v>
      </c>
      <c r="P133" s="170">
        <f>0+táj.2!P133</f>
        <v>0</v>
      </c>
      <c r="Q133" s="253">
        <f t="shared" si="7"/>
        <v>200</v>
      </c>
    </row>
    <row r="134" spans="1:17" ht="15" customHeight="1" x14ac:dyDescent="0.2">
      <c r="A134" s="255"/>
      <c r="B134" s="255"/>
      <c r="C134" s="256"/>
      <c r="D134" s="263" t="s">
        <v>586</v>
      </c>
      <c r="E134" s="253">
        <v>1</v>
      </c>
      <c r="F134" s="253">
        <v>131819</v>
      </c>
      <c r="G134" s="170">
        <f>0+táj.2!G134</f>
        <v>0</v>
      </c>
      <c r="H134" s="170">
        <f>0+táj.2!H134</f>
        <v>0</v>
      </c>
      <c r="I134" s="170">
        <f>0+táj.2!I134</f>
        <v>0</v>
      </c>
      <c r="J134" s="170">
        <f>0+táj.2!J134</f>
        <v>0</v>
      </c>
      <c r="K134" s="170">
        <f>200+táj.2!K134</f>
        <v>200</v>
      </c>
      <c r="L134" s="170">
        <f>0+táj.2!L134</f>
        <v>0</v>
      </c>
      <c r="M134" s="170">
        <f>0+táj.2!M134</f>
        <v>0</v>
      </c>
      <c r="N134" s="170">
        <f>0+táj.2!N134</f>
        <v>0</v>
      </c>
      <c r="O134" s="170">
        <f>0+táj.2!O134</f>
        <v>0</v>
      </c>
      <c r="P134" s="170">
        <f>0+táj.2!P134</f>
        <v>0</v>
      </c>
      <c r="Q134" s="253">
        <f t="shared" si="7"/>
        <v>200</v>
      </c>
    </row>
    <row r="135" spans="1:17" ht="15" customHeight="1" x14ac:dyDescent="0.2">
      <c r="A135" s="255"/>
      <c r="B135" s="255"/>
      <c r="C135" s="256"/>
      <c r="D135" s="263" t="s">
        <v>587</v>
      </c>
      <c r="E135" s="253">
        <v>1</v>
      </c>
      <c r="F135" s="253">
        <v>131832</v>
      </c>
      <c r="G135" s="170">
        <f>0+táj.2!G135</f>
        <v>0</v>
      </c>
      <c r="H135" s="170">
        <f>0+táj.2!H135</f>
        <v>0</v>
      </c>
      <c r="I135" s="170">
        <f>0+táj.2!I135</f>
        <v>0</v>
      </c>
      <c r="J135" s="170">
        <f>0+táj.2!J135</f>
        <v>0</v>
      </c>
      <c r="K135" s="170">
        <f>113+táj.2!K135</f>
        <v>113</v>
      </c>
      <c r="L135" s="170">
        <f>0+táj.2!L135</f>
        <v>0</v>
      </c>
      <c r="M135" s="170">
        <f>0+táj.2!M135</f>
        <v>0</v>
      </c>
      <c r="N135" s="170">
        <f>0+táj.2!N135</f>
        <v>0</v>
      </c>
      <c r="O135" s="170">
        <f>0+táj.2!O135</f>
        <v>0</v>
      </c>
      <c r="P135" s="170">
        <f>0+táj.2!P135</f>
        <v>0</v>
      </c>
      <c r="Q135" s="253">
        <f t="shared" si="7"/>
        <v>113</v>
      </c>
    </row>
    <row r="136" spans="1:17" ht="15" customHeight="1" x14ac:dyDescent="0.2">
      <c r="A136" s="255"/>
      <c r="B136" s="255"/>
      <c r="C136" s="256"/>
      <c r="D136" s="263" t="s">
        <v>588</v>
      </c>
      <c r="E136" s="253">
        <v>1</v>
      </c>
      <c r="F136" s="253">
        <v>131820</v>
      </c>
      <c r="G136" s="170">
        <f>83+táj.2!G136</f>
        <v>83</v>
      </c>
      <c r="H136" s="170">
        <f>57+táj.2!H136</f>
        <v>66</v>
      </c>
      <c r="I136" s="170">
        <f>300+táj.2!I136</f>
        <v>350</v>
      </c>
      <c r="J136" s="170">
        <f>0+táj.2!J136</f>
        <v>0</v>
      </c>
      <c r="K136" s="170">
        <f>1560+táj.2!K136</f>
        <v>1501</v>
      </c>
      <c r="L136" s="170">
        <f>0+táj.2!L136</f>
        <v>0</v>
      </c>
      <c r="M136" s="170">
        <f>0+táj.2!M136</f>
        <v>0</v>
      </c>
      <c r="N136" s="170">
        <f>500+táj.2!N136</f>
        <v>500</v>
      </c>
      <c r="O136" s="170">
        <f>0+táj.2!O136</f>
        <v>0</v>
      </c>
      <c r="P136" s="170">
        <f>0+táj.2!P136</f>
        <v>0</v>
      </c>
      <c r="Q136" s="253">
        <f t="shared" si="7"/>
        <v>2500</v>
      </c>
    </row>
    <row r="137" spans="1:17" ht="15" customHeight="1" x14ac:dyDescent="0.2">
      <c r="A137" s="255"/>
      <c r="B137" s="255"/>
      <c r="C137" s="256"/>
      <c r="D137" s="263" t="s">
        <v>589</v>
      </c>
      <c r="E137" s="253"/>
      <c r="F137" s="253"/>
      <c r="G137" s="170"/>
      <c r="H137" s="170"/>
      <c r="I137" s="170"/>
      <c r="J137" s="170"/>
      <c r="K137" s="170"/>
      <c r="L137" s="170"/>
      <c r="M137" s="170"/>
      <c r="N137" s="170"/>
      <c r="O137" s="170"/>
      <c r="P137" s="170"/>
      <c r="Q137" s="253"/>
    </row>
    <row r="138" spans="1:17" ht="15" customHeight="1" x14ac:dyDescent="0.2">
      <c r="A138" s="255"/>
      <c r="B138" s="255"/>
      <c r="C138" s="256"/>
      <c r="D138" s="263" t="s">
        <v>590</v>
      </c>
      <c r="E138" s="259">
        <v>2</v>
      </c>
      <c r="F138" s="253">
        <v>131821</v>
      </c>
      <c r="G138" s="170">
        <f>0+táj.2!G138</f>
        <v>0</v>
      </c>
      <c r="H138" s="170">
        <f>0+táj.2!H138</f>
        <v>0</v>
      </c>
      <c r="I138" s="170">
        <f>0+táj.2!I138</f>
        <v>0</v>
      </c>
      <c r="J138" s="170">
        <f>0+táj.2!J138</f>
        <v>0</v>
      </c>
      <c r="K138" s="170">
        <f>3500+táj.2!K138</f>
        <v>3500</v>
      </c>
      <c r="L138" s="170">
        <f>0+táj.2!L138</f>
        <v>0</v>
      </c>
      <c r="M138" s="170">
        <f>0+táj.2!M138</f>
        <v>0</v>
      </c>
      <c r="N138" s="170">
        <f>0+táj.2!N138</f>
        <v>0</v>
      </c>
      <c r="O138" s="170">
        <f>0+táj.2!O138</f>
        <v>0</v>
      </c>
      <c r="P138" s="170">
        <f>0+táj.2!P138</f>
        <v>0</v>
      </c>
      <c r="Q138" s="253">
        <f t="shared" ref="Q138:Q166" si="8">SUM(G138:P138)</f>
        <v>3500</v>
      </c>
    </row>
    <row r="139" spans="1:17" ht="15" customHeight="1" x14ac:dyDescent="0.2">
      <c r="A139" s="255"/>
      <c r="B139" s="255"/>
      <c r="C139" s="256"/>
      <c r="D139" s="263" t="s">
        <v>591</v>
      </c>
      <c r="E139" s="259">
        <v>2</v>
      </c>
      <c r="F139" s="253">
        <v>131822</v>
      </c>
      <c r="G139" s="170">
        <f>0+táj.2!G139</f>
        <v>0</v>
      </c>
      <c r="H139" s="170">
        <f>0+táj.2!H139</f>
        <v>0</v>
      </c>
      <c r="I139" s="170">
        <f>0+táj.2!I139</f>
        <v>0</v>
      </c>
      <c r="J139" s="170">
        <f>0+táj.2!J139</f>
        <v>0</v>
      </c>
      <c r="K139" s="170">
        <f>225+táj.2!K139</f>
        <v>225</v>
      </c>
      <c r="L139" s="170">
        <f>0+táj.2!L139</f>
        <v>0</v>
      </c>
      <c r="M139" s="170">
        <f>0+táj.2!M139</f>
        <v>0</v>
      </c>
      <c r="N139" s="170">
        <f>0+táj.2!N139</f>
        <v>0</v>
      </c>
      <c r="O139" s="170">
        <f>0+táj.2!O139</f>
        <v>0</v>
      </c>
      <c r="P139" s="170">
        <f>0+táj.2!P139</f>
        <v>0</v>
      </c>
      <c r="Q139" s="253">
        <f t="shared" si="8"/>
        <v>225</v>
      </c>
    </row>
    <row r="140" spans="1:17" ht="15" customHeight="1" x14ac:dyDescent="0.2">
      <c r="A140" s="255"/>
      <c r="B140" s="255"/>
      <c r="C140" s="256"/>
      <c r="D140" s="270" t="s">
        <v>592</v>
      </c>
      <c r="E140" s="271">
        <v>2</v>
      </c>
      <c r="F140" s="253">
        <v>131823</v>
      </c>
      <c r="G140" s="170">
        <f>0+táj.2!G140</f>
        <v>0</v>
      </c>
      <c r="H140" s="170">
        <f>0+táj.2!H140</f>
        <v>0</v>
      </c>
      <c r="I140" s="170">
        <f>0+táj.2!I140</f>
        <v>0</v>
      </c>
      <c r="J140" s="170">
        <f>0+táj.2!J140</f>
        <v>0</v>
      </c>
      <c r="K140" s="170">
        <f>15000+táj.2!K140</f>
        <v>15000</v>
      </c>
      <c r="L140" s="170">
        <f>0+táj.2!L140</f>
        <v>0</v>
      </c>
      <c r="M140" s="170">
        <f>0+táj.2!M140</f>
        <v>0</v>
      </c>
      <c r="N140" s="170">
        <f>0+táj.2!N140</f>
        <v>0</v>
      </c>
      <c r="O140" s="170">
        <f>0+táj.2!O140</f>
        <v>0</v>
      </c>
      <c r="P140" s="170">
        <f>0+táj.2!P140</f>
        <v>0</v>
      </c>
      <c r="Q140" s="253">
        <f t="shared" si="8"/>
        <v>15000</v>
      </c>
    </row>
    <row r="141" spans="1:17" ht="15" customHeight="1" x14ac:dyDescent="0.2">
      <c r="A141" s="255"/>
      <c r="B141" s="255"/>
      <c r="C141" s="256"/>
      <c r="D141" s="270" t="s">
        <v>593</v>
      </c>
      <c r="E141" s="271">
        <v>2</v>
      </c>
      <c r="F141" s="253">
        <v>131846</v>
      </c>
      <c r="G141" s="170">
        <f>0+táj.2!G141</f>
        <v>0</v>
      </c>
      <c r="H141" s="170">
        <f>0+táj.2!H141</f>
        <v>0</v>
      </c>
      <c r="I141" s="170">
        <f>0+táj.2!I141</f>
        <v>0</v>
      </c>
      <c r="J141" s="170">
        <f>0+táj.2!J141</f>
        <v>0</v>
      </c>
      <c r="K141" s="170">
        <f>0+táj.2!K141</f>
        <v>0</v>
      </c>
      <c r="L141" s="170">
        <f>0+táj.2!L141</f>
        <v>0</v>
      </c>
      <c r="M141" s="170">
        <f>0+táj.2!M141</f>
        <v>0</v>
      </c>
      <c r="N141" s="170">
        <f>0+táj.2!N141</f>
        <v>0</v>
      </c>
      <c r="O141" s="170">
        <f>0+táj.2!O141</f>
        <v>0</v>
      </c>
      <c r="P141" s="170">
        <f>0+táj.2!P141</f>
        <v>0</v>
      </c>
      <c r="Q141" s="253">
        <f t="shared" si="8"/>
        <v>0</v>
      </c>
    </row>
    <row r="142" spans="1:17" ht="15" customHeight="1" x14ac:dyDescent="0.2">
      <c r="A142" s="255"/>
      <c r="B142" s="255"/>
      <c r="C142" s="256"/>
      <c r="D142" s="270" t="s">
        <v>594</v>
      </c>
      <c r="E142" s="272">
        <v>2</v>
      </c>
      <c r="F142" s="253">
        <v>131824</v>
      </c>
      <c r="G142" s="170">
        <f>0+táj.2!G142</f>
        <v>0</v>
      </c>
      <c r="H142" s="170">
        <f>0+táj.2!H142</f>
        <v>0</v>
      </c>
      <c r="I142" s="170">
        <f>0+táj.2!I142</f>
        <v>0</v>
      </c>
      <c r="J142" s="170">
        <f>0+táj.2!J142</f>
        <v>0</v>
      </c>
      <c r="K142" s="170">
        <f>1125+táj.2!K142</f>
        <v>1125</v>
      </c>
      <c r="L142" s="170">
        <f>0+táj.2!L142</f>
        <v>0</v>
      </c>
      <c r="M142" s="170">
        <f>0+táj.2!M142</f>
        <v>0</v>
      </c>
      <c r="N142" s="170">
        <f>0+táj.2!N142</f>
        <v>0</v>
      </c>
      <c r="O142" s="170">
        <f>0+táj.2!O142</f>
        <v>0</v>
      </c>
      <c r="P142" s="170">
        <f>0+táj.2!P142</f>
        <v>0</v>
      </c>
      <c r="Q142" s="253">
        <f t="shared" si="8"/>
        <v>1125</v>
      </c>
    </row>
    <row r="143" spans="1:17" ht="15" customHeight="1" x14ac:dyDescent="0.2">
      <c r="A143" s="255"/>
      <c r="B143" s="255"/>
      <c r="C143" s="256"/>
      <c r="D143" s="270" t="s">
        <v>595</v>
      </c>
      <c r="E143" s="272">
        <v>2</v>
      </c>
      <c r="F143" s="273">
        <v>131833</v>
      </c>
      <c r="G143" s="170">
        <f>0+táj.2!G143</f>
        <v>0</v>
      </c>
      <c r="H143" s="170">
        <f>0+táj.2!H143</f>
        <v>0</v>
      </c>
      <c r="I143" s="170">
        <f>0+táj.2!I143</f>
        <v>0</v>
      </c>
      <c r="J143" s="170">
        <f>0+táj.2!J143</f>
        <v>0</v>
      </c>
      <c r="K143" s="170">
        <f>1350+táj.2!K143</f>
        <v>1350</v>
      </c>
      <c r="L143" s="170">
        <f>0+táj.2!L143</f>
        <v>0</v>
      </c>
      <c r="M143" s="170">
        <f>0+táj.2!M143</f>
        <v>0</v>
      </c>
      <c r="N143" s="170">
        <f>0+táj.2!N143</f>
        <v>0</v>
      </c>
      <c r="O143" s="170">
        <f>0+táj.2!O143</f>
        <v>0</v>
      </c>
      <c r="P143" s="170">
        <f>0+táj.2!P143</f>
        <v>0</v>
      </c>
      <c r="Q143" s="253">
        <f t="shared" si="8"/>
        <v>1350</v>
      </c>
    </row>
    <row r="144" spans="1:17" ht="15" customHeight="1" x14ac:dyDescent="0.2">
      <c r="A144" s="255"/>
      <c r="B144" s="255"/>
      <c r="C144" s="256"/>
      <c r="D144" s="270" t="s">
        <v>596</v>
      </c>
      <c r="E144" s="272">
        <v>2</v>
      </c>
      <c r="F144" s="273">
        <v>131834</v>
      </c>
      <c r="G144" s="170">
        <f>0+táj.2!G144</f>
        <v>0</v>
      </c>
      <c r="H144" s="170">
        <f>0+táj.2!H144</f>
        <v>0</v>
      </c>
      <c r="I144" s="170">
        <f>0+táj.2!I144</f>
        <v>0</v>
      </c>
      <c r="J144" s="170">
        <f>0+táj.2!J144</f>
        <v>0</v>
      </c>
      <c r="K144" s="170">
        <f>1800+táj.2!K144</f>
        <v>1800</v>
      </c>
      <c r="L144" s="170">
        <f>0+táj.2!L144</f>
        <v>0</v>
      </c>
      <c r="M144" s="170">
        <f>0+táj.2!M144</f>
        <v>0</v>
      </c>
      <c r="N144" s="170">
        <f>0+táj.2!N144</f>
        <v>0</v>
      </c>
      <c r="O144" s="170">
        <f>0+táj.2!O144</f>
        <v>0</v>
      </c>
      <c r="P144" s="170">
        <f>0+táj.2!P144</f>
        <v>0</v>
      </c>
      <c r="Q144" s="253">
        <f t="shared" si="8"/>
        <v>1800</v>
      </c>
    </row>
    <row r="145" spans="1:17" ht="15" customHeight="1" x14ac:dyDescent="0.2">
      <c r="A145" s="255"/>
      <c r="B145" s="255"/>
      <c r="C145" s="256"/>
      <c r="D145" s="270" t="s">
        <v>597</v>
      </c>
      <c r="E145" s="272">
        <v>2</v>
      </c>
      <c r="F145" s="273">
        <v>131836</v>
      </c>
      <c r="G145" s="170">
        <f>0+táj.2!G145</f>
        <v>0</v>
      </c>
      <c r="H145" s="170">
        <f>0+táj.2!H145</f>
        <v>0</v>
      </c>
      <c r="I145" s="170">
        <f>0+táj.2!I145</f>
        <v>0</v>
      </c>
      <c r="J145" s="170">
        <f>0+táj.2!J145</f>
        <v>0</v>
      </c>
      <c r="K145" s="170">
        <f>4500+táj.2!K145</f>
        <v>4500</v>
      </c>
      <c r="L145" s="170">
        <f>0+táj.2!L145</f>
        <v>0</v>
      </c>
      <c r="M145" s="170">
        <f>0+táj.2!M145</f>
        <v>0</v>
      </c>
      <c r="N145" s="170">
        <f>0+táj.2!N145</f>
        <v>0</v>
      </c>
      <c r="O145" s="170">
        <f>0+táj.2!O145</f>
        <v>0</v>
      </c>
      <c r="P145" s="170">
        <f>0+táj.2!P145</f>
        <v>0</v>
      </c>
      <c r="Q145" s="253">
        <f t="shared" si="8"/>
        <v>4500</v>
      </c>
    </row>
    <row r="146" spans="1:17" ht="15" customHeight="1" x14ac:dyDescent="0.2">
      <c r="A146" s="255"/>
      <c r="B146" s="255"/>
      <c r="C146" s="256"/>
      <c r="D146" s="270" t="s">
        <v>598</v>
      </c>
      <c r="E146" s="272">
        <v>2</v>
      </c>
      <c r="F146" s="273">
        <v>131837</v>
      </c>
      <c r="G146" s="170">
        <f>0+táj.2!G146</f>
        <v>0</v>
      </c>
      <c r="H146" s="170">
        <f>0+táj.2!H146</f>
        <v>0</v>
      </c>
      <c r="I146" s="170">
        <f>0+táj.2!I146</f>
        <v>0</v>
      </c>
      <c r="J146" s="170">
        <f>0+táj.2!J146</f>
        <v>0</v>
      </c>
      <c r="K146" s="170">
        <f>4000+táj.2!K146</f>
        <v>4000</v>
      </c>
      <c r="L146" s="170">
        <f>0+táj.2!L146</f>
        <v>0</v>
      </c>
      <c r="M146" s="170">
        <f>0+táj.2!M146</f>
        <v>0</v>
      </c>
      <c r="N146" s="170">
        <f>0+táj.2!N146</f>
        <v>0</v>
      </c>
      <c r="O146" s="170">
        <f>0+táj.2!O146</f>
        <v>0</v>
      </c>
      <c r="P146" s="170">
        <f>0+táj.2!P146</f>
        <v>0</v>
      </c>
      <c r="Q146" s="253">
        <f t="shared" si="8"/>
        <v>4000</v>
      </c>
    </row>
    <row r="147" spans="1:17" ht="15" customHeight="1" x14ac:dyDescent="0.2">
      <c r="A147" s="255"/>
      <c r="B147" s="255"/>
      <c r="C147" s="256"/>
      <c r="D147" s="270" t="s">
        <v>599</v>
      </c>
      <c r="E147" s="272">
        <v>2</v>
      </c>
      <c r="F147" s="273">
        <v>131838</v>
      </c>
      <c r="G147" s="170">
        <f>0+táj.2!G147</f>
        <v>0</v>
      </c>
      <c r="H147" s="170">
        <f>0+táj.2!H147</f>
        <v>0</v>
      </c>
      <c r="I147" s="170">
        <f>0+táj.2!I147</f>
        <v>0</v>
      </c>
      <c r="J147" s="170">
        <f>0+táj.2!J147</f>
        <v>0</v>
      </c>
      <c r="K147" s="170">
        <f>19700+táj.2!K147</f>
        <v>19700</v>
      </c>
      <c r="L147" s="170">
        <f>0+táj.2!L147</f>
        <v>0</v>
      </c>
      <c r="M147" s="170">
        <f>0+táj.2!M147</f>
        <v>0</v>
      </c>
      <c r="N147" s="170">
        <f>0+táj.2!N147</f>
        <v>0</v>
      </c>
      <c r="O147" s="170">
        <f>0+táj.2!O147</f>
        <v>0</v>
      </c>
      <c r="P147" s="170">
        <f>0+táj.2!P147</f>
        <v>0</v>
      </c>
      <c r="Q147" s="253">
        <f t="shared" si="8"/>
        <v>19700</v>
      </c>
    </row>
    <row r="148" spans="1:17" ht="15" customHeight="1" x14ac:dyDescent="0.2">
      <c r="A148" s="255"/>
      <c r="B148" s="255"/>
      <c r="C148" s="256"/>
      <c r="D148" s="270" t="s">
        <v>600</v>
      </c>
      <c r="E148" s="272">
        <v>2</v>
      </c>
      <c r="F148" s="273">
        <v>131840</v>
      </c>
      <c r="G148" s="170">
        <f>0+táj.2!G148</f>
        <v>0</v>
      </c>
      <c r="H148" s="170">
        <f>0+táj.2!H148</f>
        <v>0</v>
      </c>
      <c r="I148" s="170">
        <f>0+táj.2!I148</f>
        <v>0</v>
      </c>
      <c r="J148" s="170">
        <f>0+táj.2!J148</f>
        <v>0</v>
      </c>
      <c r="K148" s="170">
        <f>675+táj.2!K148</f>
        <v>675</v>
      </c>
      <c r="L148" s="170">
        <f>0+táj.2!L148</f>
        <v>0</v>
      </c>
      <c r="M148" s="170">
        <f>0+táj.2!M148</f>
        <v>0</v>
      </c>
      <c r="N148" s="170">
        <f>0+táj.2!N148</f>
        <v>0</v>
      </c>
      <c r="O148" s="170">
        <f>0+táj.2!O148</f>
        <v>0</v>
      </c>
      <c r="P148" s="170">
        <f>0+táj.2!P148</f>
        <v>0</v>
      </c>
      <c r="Q148" s="253">
        <f t="shared" si="8"/>
        <v>675</v>
      </c>
    </row>
    <row r="149" spans="1:17" ht="15" customHeight="1" x14ac:dyDescent="0.2">
      <c r="A149" s="255"/>
      <c r="B149" s="255"/>
      <c r="C149" s="256"/>
      <c r="D149" s="270" t="s">
        <v>601</v>
      </c>
      <c r="E149" s="272">
        <v>2</v>
      </c>
      <c r="F149" s="273">
        <v>131841</v>
      </c>
      <c r="G149" s="170">
        <f>0+táj.2!G149</f>
        <v>0</v>
      </c>
      <c r="H149" s="170">
        <f>0+táj.2!H149</f>
        <v>0</v>
      </c>
      <c r="I149" s="170">
        <f>0+táj.2!I149</f>
        <v>0</v>
      </c>
      <c r="J149" s="170">
        <f>0+táj.2!J149</f>
        <v>0</v>
      </c>
      <c r="K149" s="170">
        <f>225+táj.2!K149</f>
        <v>225</v>
      </c>
      <c r="L149" s="170">
        <f>0+táj.2!L149</f>
        <v>0</v>
      </c>
      <c r="M149" s="170">
        <f>0+táj.2!M149</f>
        <v>0</v>
      </c>
      <c r="N149" s="170">
        <f>0+táj.2!N149</f>
        <v>0</v>
      </c>
      <c r="O149" s="170">
        <f>0+táj.2!O149</f>
        <v>0</v>
      </c>
      <c r="P149" s="170">
        <f>0+táj.2!P149</f>
        <v>0</v>
      </c>
      <c r="Q149" s="253">
        <f t="shared" si="8"/>
        <v>225</v>
      </c>
    </row>
    <row r="150" spans="1:17" ht="15" customHeight="1" x14ac:dyDescent="0.2">
      <c r="A150" s="255"/>
      <c r="B150" s="255"/>
      <c r="C150" s="256"/>
      <c r="D150" s="270" t="s">
        <v>602</v>
      </c>
      <c r="E150" s="272">
        <v>2</v>
      </c>
      <c r="F150" s="273">
        <v>131842</v>
      </c>
      <c r="G150" s="170">
        <f>0+táj.2!G150</f>
        <v>0</v>
      </c>
      <c r="H150" s="170">
        <f>0+táj.2!H150</f>
        <v>0</v>
      </c>
      <c r="I150" s="170">
        <f>0+táj.2!I150</f>
        <v>0</v>
      </c>
      <c r="J150" s="170">
        <f>0+táj.2!J150</f>
        <v>0</v>
      </c>
      <c r="K150" s="170">
        <f>500+táj.2!K150</f>
        <v>500</v>
      </c>
      <c r="L150" s="170">
        <f>0+táj.2!L150</f>
        <v>0</v>
      </c>
      <c r="M150" s="170">
        <f>0+táj.2!M150</f>
        <v>0</v>
      </c>
      <c r="N150" s="170">
        <f>0+táj.2!N150</f>
        <v>0</v>
      </c>
      <c r="O150" s="170">
        <f>0+táj.2!O150</f>
        <v>0</v>
      </c>
      <c r="P150" s="170">
        <f>0+táj.2!P150</f>
        <v>0</v>
      </c>
      <c r="Q150" s="253">
        <f t="shared" si="8"/>
        <v>500</v>
      </c>
    </row>
    <row r="151" spans="1:17" ht="15" customHeight="1" x14ac:dyDescent="0.2">
      <c r="A151" s="255"/>
      <c r="B151" s="255"/>
      <c r="C151" s="256"/>
      <c r="D151" s="270" t="s">
        <v>603</v>
      </c>
      <c r="E151" s="272">
        <v>2</v>
      </c>
      <c r="F151" s="273">
        <v>131843</v>
      </c>
      <c r="G151" s="170">
        <f>0+táj.2!G151</f>
        <v>0</v>
      </c>
      <c r="H151" s="170">
        <f>0+táj.2!H151</f>
        <v>0</v>
      </c>
      <c r="I151" s="170">
        <f>0+táj.2!I151</f>
        <v>0</v>
      </c>
      <c r="J151" s="170">
        <f>0+táj.2!J151</f>
        <v>0</v>
      </c>
      <c r="K151" s="170">
        <f>1125+táj.2!K151</f>
        <v>1125</v>
      </c>
      <c r="L151" s="170">
        <f>0+táj.2!L151</f>
        <v>0</v>
      </c>
      <c r="M151" s="170">
        <f>0+táj.2!M151</f>
        <v>0</v>
      </c>
      <c r="N151" s="170">
        <f>0+táj.2!N151</f>
        <v>0</v>
      </c>
      <c r="O151" s="170">
        <f>0+táj.2!O151</f>
        <v>0</v>
      </c>
      <c r="P151" s="170">
        <f>0+táj.2!P151</f>
        <v>0</v>
      </c>
      <c r="Q151" s="253">
        <f t="shared" si="8"/>
        <v>1125</v>
      </c>
    </row>
    <row r="152" spans="1:17" ht="15" customHeight="1" x14ac:dyDescent="0.2">
      <c r="A152" s="255"/>
      <c r="B152" s="255"/>
      <c r="C152" s="255"/>
      <c r="D152" s="253" t="s">
        <v>604</v>
      </c>
      <c r="E152" s="272">
        <v>2</v>
      </c>
      <c r="F152" s="273">
        <v>131847</v>
      </c>
      <c r="G152" s="170">
        <f>0+táj.2!G152</f>
        <v>0</v>
      </c>
      <c r="H152" s="170">
        <f>0+táj.2!H152</f>
        <v>0</v>
      </c>
      <c r="I152" s="170">
        <f>0+táj.2!I152</f>
        <v>0</v>
      </c>
      <c r="J152" s="170">
        <f>0+táj.2!J152</f>
        <v>0</v>
      </c>
      <c r="K152" s="170">
        <f>1375+táj.2!K152</f>
        <v>1375</v>
      </c>
      <c r="L152" s="170">
        <f>0+táj.2!L152</f>
        <v>0</v>
      </c>
      <c r="M152" s="170">
        <f>0+táj.2!M152</f>
        <v>0</v>
      </c>
      <c r="N152" s="170">
        <f>0+táj.2!N152</f>
        <v>0</v>
      </c>
      <c r="O152" s="170">
        <f>0+táj.2!O152</f>
        <v>0</v>
      </c>
      <c r="P152" s="170">
        <f>0+táj.2!P152</f>
        <v>0</v>
      </c>
      <c r="Q152" s="253">
        <f t="shared" si="8"/>
        <v>1375</v>
      </c>
    </row>
    <row r="153" spans="1:17" ht="15" customHeight="1" x14ac:dyDescent="0.2">
      <c r="A153" s="255"/>
      <c r="B153" s="255"/>
      <c r="C153" s="255"/>
      <c r="D153" s="275" t="s">
        <v>605</v>
      </c>
      <c r="E153" s="276">
        <v>2</v>
      </c>
      <c r="F153" s="277">
        <v>131848</v>
      </c>
      <c r="G153" s="170">
        <f>0+táj.2!G153</f>
        <v>0</v>
      </c>
      <c r="H153" s="170">
        <f>0+táj.2!H153</f>
        <v>0</v>
      </c>
      <c r="I153" s="170">
        <f>0+táj.2!I153</f>
        <v>0</v>
      </c>
      <c r="J153" s="170">
        <f>0+táj.2!J153</f>
        <v>0</v>
      </c>
      <c r="K153" s="170">
        <f>450+táj.2!K153</f>
        <v>450</v>
      </c>
      <c r="L153" s="170">
        <f>0+táj.2!L153</f>
        <v>0</v>
      </c>
      <c r="M153" s="170">
        <f>0+táj.2!M153</f>
        <v>0</v>
      </c>
      <c r="N153" s="170">
        <f>0+táj.2!N153</f>
        <v>0</v>
      </c>
      <c r="O153" s="170">
        <f>0+táj.2!O153</f>
        <v>0</v>
      </c>
      <c r="P153" s="170">
        <f>0+táj.2!P153</f>
        <v>0</v>
      </c>
      <c r="Q153" s="253">
        <f t="shared" si="8"/>
        <v>450</v>
      </c>
    </row>
    <row r="154" spans="1:17" ht="15" customHeight="1" x14ac:dyDescent="0.2">
      <c r="A154" s="197"/>
      <c r="B154" s="197"/>
      <c r="C154" s="197"/>
      <c r="D154" s="275" t="s">
        <v>606</v>
      </c>
      <c r="E154" s="276">
        <v>2</v>
      </c>
      <c r="F154" s="277">
        <v>131850</v>
      </c>
      <c r="G154" s="170">
        <f>0+táj.2!G154</f>
        <v>0</v>
      </c>
      <c r="H154" s="170">
        <f>0+táj.2!H154</f>
        <v>0</v>
      </c>
      <c r="I154" s="170">
        <f>0+táj.2!I154</f>
        <v>0</v>
      </c>
      <c r="J154" s="170">
        <f>0+táj.2!J154</f>
        <v>0</v>
      </c>
      <c r="K154" s="170">
        <f>450+táj.2!K154</f>
        <v>450</v>
      </c>
      <c r="L154" s="170">
        <f>0+táj.2!L154</f>
        <v>0</v>
      </c>
      <c r="M154" s="170">
        <f>0+táj.2!M154</f>
        <v>0</v>
      </c>
      <c r="N154" s="170">
        <f>0+táj.2!N154</f>
        <v>0</v>
      </c>
      <c r="O154" s="170">
        <f>0+táj.2!O154</f>
        <v>0</v>
      </c>
      <c r="P154" s="170">
        <f>0+táj.2!P154</f>
        <v>0</v>
      </c>
      <c r="Q154" s="253">
        <f t="shared" si="8"/>
        <v>450</v>
      </c>
    </row>
    <row r="155" spans="1:17" ht="15" customHeight="1" x14ac:dyDescent="0.2">
      <c r="A155" s="197"/>
      <c r="B155" s="197"/>
      <c r="C155" s="197"/>
      <c r="D155" s="275" t="s">
        <v>607</v>
      </c>
      <c r="E155" s="276">
        <v>2</v>
      </c>
      <c r="F155" s="277">
        <v>131851</v>
      </c>
      <c r="G155" s="170">
        <f>0+táj.2!G155</f>
        <v>0</v>
      </c>
      <c r="H155" s="170">
        <f>0+táj.2!H155</f>
        <v>0</v>
      </c>
      <c r="I155" s="170">
        <f>0+táj.2!I155</f>
        <v>0</v>
      </c>
      <c r="J155" s="170">
        <f>0+táj.2!J155</f>
        <v>0</v>
      </c>
      <c r="K155" s="170">
        <f>720+táj.2!K155</f>
        <v>720</v>
      </c>
      <c r="L155" s="170">
        <f>0+táj.2!L155</f>
        <v>0</v>
      </c>
      <c r="M155" s="170">
        <f>0+táj.2!M155</f>
        <v>0</v>
      </c>
      <c r="N155" s="170">
        <f>0+táj.2!N155</f>
        <v>0</v>
      </c>
      <c r="O155" s="170">
        <f>0+táj.2!O155</f>
        <v>0</v>
      </c>
      <c r="P155" s="170">
        <f>0+táj.2!P155</f>
        <v>0</v>
      </c>
      <c r="Q155" s="170">
        <f t="shared" si="8"/>
        <v>720</v>
      </c>
    </row>
    <row r="156" spans="1:17" ht="15" customHeight="1" x14ac:dyDescent="0.2">
      <c r="A156" s="197"/>
      <c r="B156" s="197"/>
      <c r="C156" s="197"/>
      <c r="D156" s="248" t="s">
        <v>608</v>
      </c>
      <c r="E156" s="276">
        <v>2</v>
      </c>
      <c r="F156" s="277">
        <v>131852</v>
      </c>
      <c r="G156" s="170">
        <f>0+táj.2!G156</f>
        <v>0</v>
      </c>
      <c r="H156" s="170">
        <f>0+táj.2!H156</f>
        <v>0</v>
      </c>
      <c r="I156" s="170">
        <f>0+táj.2!I156</f>
        <v>0</v>
      </c>
      <c r="J156" s="170">
        <f>0+táj.2!J156</f>
        <v>0</v>
      </c>
      <c r="K156" s="170">
        <f>2000+táj.2!K156</f>
        <v>2000</v>
      </c>
      <c r="L156" s="170">
        <f>0+táj.2!L156</f>
        <v>0</v>
      </c>
      <c r="M156" s="170">
        <f>0+táj.2!M156</f>
        <v>0</v>
      </c>
      <c r="N156" s="170">
        <f>0+táj.2!N156</f>
        <v>0</v>
      </c>
      <c r="O156" s="170">
        <f>0+táj.2!O156</f>
        <v>0</v>
      </c>
      <c r="P156" s="170">
        <f>0+táj.2!P156</f>
        <v>0</v>
      </c>
      <c r="Q156" s="170">
        <f t="shared" si="8"/>
        <v>2000</v>
      </c>
    </row>
    <row r="157" spans="1:17" ht="40.5" customHeight="1" x14ac:dyDescent="0.2">
      <c r="A157" s="197"/>
      <c r="B157" s="197"/>
      <c r="C157" s="197"/>
      <c r="D157" s="279" t="s">
        <v>609</v>
      </c>
      <c r="E157" s="280">
        <v>2</v>
      </c>
      <c r="F157" s="250">
        <v>131853</v>
      </c>
      <c r="G157" s="170">
        <f>0+táj.2!G157</f>
        <v>0</v>
      </c>
      <c r="H157" s="170">
        <f>0+táj.2!H157</f>
        <v>0</v>
      </c>
      <c r="I157" s="170">
        <f>0+táj.2!I157</f>
        <v>0</v>
      </c>
      <c r="J157" s="170">
        <f>0+táj.2!J157</f>
        <v>0</v>
      </c>
      <c r="K157" s="170">
        <f>1500+táj.2!K157</f>
        <v>1500</v>
      </c>
      <c r="L157" s="170">
        <f>0+táj.2!L157</f>
        <v>0</v>
      </c>
      <c r="M157" s="170">
        <f>0+táj.2!M157</f>
        <v>0</v>
      </c>
      <c r="N157" s="170">
        <f>0+táj.2!N157</f>
        <v>0</v>
      </c>
      <c r="O157" s="170">
        <f>0+táj.2!O157</f>
        <v>0</v>
      </c>
      <c r="P157" s="170">
        <f>0+táj.2!P157</f>
        <v>0</v>
      </c>
      <c r="Q157" s="170">
        <f t="shared" si="8"/>
        <v>1500</v>
      </c>
    </row>
    <row r="158" spans="1:17" ht="26.25" customHeight="1" x14ac:dyDescent="0.2">
      <c r="A158" s="197"/>
      <c r="B158" s="197"/>
      <c r="C158" s="197"/>
      <c r="D158" s="279" t="s">
        <v>610</v>
      </c>
      <c r="E158" s="280">
        <v>2</v>
      </c>
      <c r="F158" s="250">
        <v>131862</v>
      </c>
      <c r="G158" s="170">
        <f>0+táj.2!G158</f>
        <v>0</v>
      </c>
      <c r="H158" s="170">
        <f>0+táj.2!H158</f>
        <v>0</v>
      </c>
      <c r="I158" s="170">
        <f>0+táj.2!I158</f>
        <v>0</v>
      </c>
      <c r="J158" s="170">
        <f>0+táj.2!J158</f>
        <v>0</v>
      </c>
      <c r="K158" s="170">
        <f>1000+táj.2!K158</f>
        <v>1000</v>
      </c>
      <c r="L158" s="170">
        <f>0+táj.2!L158</f>
        <v>0</v>
      </c>
      <c r="M158" s="170">
        <f>0+táj.2!M158</f>
        <v>0</v>
      </c>
      <c r="N158" s="170">
        <f>0+táj.2!N158</f>
        <v>0</v>
      </c>
      <c r="O158" s="170">
        <f>0+táj.2!O158</f>
        <v>0</v>
      </c>
      <c r="P158" s="170">
        <f>0+táj.2!P158</f>
        <v>0</v>
      </c>
      <c r="Q158" s="170">
        <f t="shared" si="8"/>
        <v>1000</v>
      </c>
    </row>
    <row r="159" spans="1:17" ht="24.75" customHeight="1" x14ac:dyDescent="0.2">
      <c r="A159" s="197"/>
      <c r="B159" s="197"/>
      <c r="C159" s="197"/>
      <c r="D159" s="279" t="s">
        <v>611</v>
      </c>
      <c r="E159" s="280">
        <v>2</v>
      </c>
      <c r="F159" s="250">
        <v>131863</v>
      </c>
      <c r="G159" s="170">
        <f>0+táj.2!G159</f>
        <v>0</v>
      </c>
      <c r="H159" s="170">
        <f>0+táj.2!H159</f>
        <v>0</v>
      </c>
      <c r="I159" s="170">
        <f>2030+táj.2!I159</f>
        <v>2030</v>
      </c>
      <c r="J159" s="170">
        <f>0+táj.2!J159</f>
        <v>0</v>
      </c>
      <c r="K159" s="170">
        <f>0+táj.2!K159</f>
        <v>0</v>
      </c>
      <c r="L159" s="170">
        <f>470+táj.2!L159</f>
        <v>470</v>
      </c>
      <c r="M159" s="170">
        <f>0+táj.2!M159</f>
        <v>0</v>
      </c>
      <c r="N159" s="170">
        <f>0+táj.2!N159</f>
        <v>0</v>
      </c>
      <c r="O159" s="170">
        <f>0+táj.2!O159</f>
        <v>0</v>
      </c>
      <c r="P159" s="170">
        <f>0+táj.2!P159</f>
        <v>0</v>
      </c>
      <c r="Q159" s="170">
        <f t="shared" si="8"/>
        <v>2500</v>
      </c>
    </row>
    <row r="160" spans="1:17" ht="15" customHeight="1" x14ac:dyDescent="0.2">
      <c r="A160" s="197"/>
      <c r="B160" s="197"/>
      <c r="C160" s="197"/>
      <c r="D160" s="170" t="s">
        <v>612</v>
      </c>
      <c r="E160" s="276">
        <v>2</v>
      </c>
      <c r="F160" s="277">
        <v>131854</v>
      </c>
      <c r="G160" s="170">
        <f>0+táj.2!G160</f>
        <v>0</v>
      </c>
      <c r="H160" s="170">
        <f>0+táj.2!H160</f>
        <v>0</v>
      </c>
      <c r="I160" s="170">
        <f>0+táj.2!I160</f>
        <v>0</v>
      </c>
      <c r="J160" s="170">
        <f>0+táj.2!J160</f>
        <v>0</v>
      </c>
      <c r="K160" s="170">
        <f>0+táj.2!K160</f>
        <v>0</v>
      </c>
      <c r="L160" s="170">
        <f>0+táj.2!L160</f>
        <v>0</v>
      </c>
      <c r="M160" s="170">
        <f>0+táj.2!M160</f>
        <v>0</v>
      </c>
      <c r="N160" s="170">
        <f>0+táj.2!N160</f>
        <v>0</v>
      </c>
      <c r="O160" s="170">
        <f>0+táj.2!O160</f>
        <v>0</v>
      </c>
      <c r="P160" s="170">
        <f>0+táj.2!P160</f>
        <v>0</v>
      </c>
      <c r="Q160" s="170">
        <f t="shared" si="8"/>
        <v>0</v>
      </c>
    </row>
    <row r="161" spans="1:17" ht="15" customHeight="1" x14ac:dyDescent="0.2">
      <c r="A161" s="197"/>
      <c r="B161" s="197"/>
      <c r="C161" s="197"/>
      <c r="D161" s="170" t="s">
        <v>613</v>
      </c>
      <c r="E161" s="276">
        <v>2</v>
      </c>
      <c r="F161" s="277">
        <v>131856</v>
      </c>
      <c r="G161" s="170">
        <f>0+táj.2!G161</f>
        <v>0</v>
      </c>
      <c r="H161" s="170">
        <f>0+táj.2!H161</f>
        <v>0</v>
      </c>
      <c r="I161" s="170">
        <f>0+táj.2!I161</f>
        <v>0</v>
      </c>
      <c r="J161" s="170">
        <f>0+táj.2!J161</f>
        <v>0</v>
      </c>
      <c r="K161" s="170">
        <f>50+táj.2!K161</f>
        <v>50</v>
      </c>
      <c r="L161" s="170">
        <f>0+táj.2!L161</f>
        <v>0</v>
      </c>
      <c r="M161" s="170">
        <f>0+táj.2!M161</f>
        <v>0</v>
      </c>
      <c r="N161" s="170">
        <f>0+táj.2!N161</f>
        <v>0</v>
      </c>
      <c r="O161" s="170">
        <f>0+táj.2!O161</f>
        <v>0</v>
      </c>
      <c r="P161" s="170">
        <f>0+táj.2!P161</f>
        <v>0</v>
      </c>
      <c r="Q161" s="170">
        <f t="shared" si="8"/>
        <v>50</v>
      </c>
    </row>
    <row r="162" spans="1:17" ht="15" customHeight="1" x14ac:dyDescent="0.2">
      <c r="A162" s="197"/>
      <c r="B162" s="197"/>
      <c r="C162" s="197"/>
      <c r="D162" s="281" t="s">
        <v>614</v>
      </c>
      <c r="E162" s="276">
        <v>2</v>
      </c>
      <c r="F162" s="277">
        <v>131859</v>
      </c>
      <c r="G162" s="170">
        <f>0+táj.2!G162</f>
        <v>0</v>
      </c>
      <c r="H162" s="170">
        <f>0+táj.2!H162</f>
        <v>0</v>
      </c>
      <c r="I162" s="170">
        <f>0+táj.2!I162</f>
        <v>0</v>
      </c>
      <c r="J162" s="170">
        <f>0+táj.2!J162</f>
        <v>0</v>
      </c>
      <c r="K162" s="170">
        <f>50+táj.2!K162</f>
        <v>50</v>
      </c>
      <c r="L162" s="170">
        <f>0+táj.2!L162</f>
        <v>0</v>
      </c>
      <c r="M162" s="170">
        <f>0+táj.2!M162</f>
        <v>0</v>
      </c>
      <c r="N162" s="170">
        <f>0+táj.2!N162</f>
        <v>0</v>
      </c>
      <c r="O162" s="170">
        <f>0+táj.2!O162</f>
        <v>0</v>
      </c>
      <c r="P162" s="170">
        <f>0+táj.2!P162</f>
        <v>0</v>
      </c>
      <c r="Q162" s="170">
        <f t="shared" si="8"/>
        <v>50</v>
      </c>
    </row>
    <row r="163" spans="1:17" ht="15" customHeight="1" x14ac:dyDescent="0.2">
      <c r="A163" s="197"/>
      <c r="B163" s="197"/>
      <c r="C163" s="197"/>
      <c r="D163" s="281" t="s">
        <v>615</v>
      </c>
      <c r="E163" s="276">
        <v>2</v>
      </c>
      <c r="F163" s="277">
        <v>131860</v>
      </c>
      <c r="G163" s="170">
        <f>0+táj.2!G163</f>
        <v>0</v>
      </c>
      <c r="H163" s="170">
        <f>0+táj.2!H163</f>
        <v>0</v>
      </c>
      <c r="I163" s="170">
        <f>0+táj.2!I163</f>
        <v>0</v>
      </c>
      <c r="J163" s="170">
        <f>0+táj.2!J163</f>
        <v>0</v>
      </c>
      <c r="K163" s="170">
        <f>50+táj.2!K163</f>
        <v>50</v>
      </c>
      <c r="L163" s="170">
        <f>0+táj.2!L163</f>
        <v>0</v>
      </c>
      <c r="M163" s="170">
        <f>0+táj.2!M163</f>
        <v>0</v>
      </c>
      <c r="N163" s="170">
        <f>0+táj.2!N163</f>
        <v>0</v>
      </c>
      <c r="O163" s="170">
        <f>0+táj.2!O163</f>
        <v>0</v>
      </c>
      <c r="P163" s="170">
        <f>0+táj.2!P163</f>
        <v>0</v>
      </c>
      <c r="Q163" s="170">
        <f t="shared" si="8"/>
        <v>50</v>
      </c>
    </row>
    <row r="164" spans="1:17" ht="15" customHeight="1" x14ac:dyDescent="0.2">
      <c r="A164" s="197"/>
      <c r="B164" s="197"/>
      <c r="C164" s="197"/>
      <c r="D164" s="281" t="s">
        <v>616</v>
      </c>
      <c r="E164" s="276">
        <v>2</v>
      </c>
      <c r="F164" s="277">
        <v>131861</v>
      </c>
      <c r="G164" s="170">
        <f>0+táj.2!G164</f>
        <v>0</v>
      </c>
      <c r="H164" s="170">
        <f>0+táj.2!H164</f>
        <v>0</v>
      </c>
      <c r="I164" s="170">
        <f>0+táj.2!I164</f>
        <v>0</v>
      </c>
      <c r="J164" s="170">
        <f>0+táj.2!J164</f>
        <v>0</v>
      </c>
      <c r="K164" s="170">
        <f>50+táj.2!K164</f>
        <v>50</v>
      </c>
      <c r="L164" s="170">
        <f>0+táj.2!L164</f>
        <v>0</v>
      </c>
      <c r="M164" s="170">
        <f>0+táj.2!M164</f>
        <v>0</v>
      </c>
      <c r="N164" s="170">
        <f>0+táj.2!N164</f>
        <v>0</v>
      </c>
      <c r="O164" s="170">
        <f>0+táj.2!O164</f>
        <v>0</v>
      </c>
      <c r="P164" s="170">
        <f>0+táj.2!P164</f>
        <v>0</v>
      </c>
      <c r="Q164" s="170">
        <f t="shared" si="8"/>
        <v>50</v>
      </c>
    </row>
    <row r="165" spans="1:17" ht="15" customHeight="1" x14ac:dyDescent="0.2">
      <c r="A165" s="197"/>
      <c r="B165" s="197"/>
      <c r="C165" s="197"/>
      <c r="D165" s="212" t="s">
        <v>617</v>
      </c>
      <c r="E165" s="208">
        <v>2</v>
      </c>
      <c r="F165" s="170">
        <v>131829</v>
      </c>
      <c r="G165" s="170">
        <f>400+táj.2!G165</f>
        <v>400</v>
      </c>
      <c r="H165" s="170">
        <f>250+táj.2!H165</f>
        <v>250</v>
      </c>
      <c r="I165" s="170">
        <f>1543+táj.2!I165</f>
        <v>1543</v>
      </c>
      <c r="J165" s="170">
        <f>0+táj.2!J165</f>
        <v>0</v>
      </c>
      <c r="K165" s="170">
        <f>1700+táj.2!K165</f>
        <v>1700</v>
      </c>
      <c r="L165" s="170">
        <f>0+táj.2!L165</f>
        <v>0</v>
      </c>
      <c r="M165" s="170">
        <f>0+táj.2!M165</f>
        <v>0</v>
      </c>
      <c r="N165" s="170">
        <f>0+táj.2!N165</f>
        <v>0</v>
      </c>
      <c r="O165" s="170">
        <f>0+táj.2!O165</f>
        <v>0</v>
      </c>
      <c r="P165" s="170">
        <f>0+táj.2!P165</f>
        <v>0</v>
      </c>
      <c r="Q165" s="170">
        <f t="shared" si="8"/>
        <v>3893</v>
      </c>
    </row>
    <row r="166" spans="1:17" ht="15" customHeight="1" x14ac:dyDescent="0.2">
      <c r="A166" s="197"/>
      <c r="B166" s="197"/>
      <c r="C166" s="197"/>
      <c r="D166" s="212" t="s">
        <v>1362</v>
      </c>
      <c r="E166" s="208">
        <v>2</v>
      </c>
      <c r="F166" s="170">
        <v>131864</v>
      </c>
      <c r="G166" s="170">
        <f>0+táj.2!G166</f>
        <v>0</v>
      </c>
      <c r="H166" s="170">
        <f>0+táj.2!H166</f>
        <v>0</v>
      </c>
      <c r="I166" s="170">
        <f>0+táj.2!I166</f>
        <v>0</v>
      </c>
      <c r="J166" s="170">
        <f>0+táj.2!J166</f>
        <v>0</v>
      </c>
      <c r="K166" s="170">
        <f>0+táj.2!K166</f>
        <v>0</v>
      </c>
      <c r="L166" s="170">
        <f>0+táj.2!L166</f>
        <v>0</v>
      </c>
      <c r="M166" s="170">
        <f>0+táj.2!M166</f>
        <v>0</v>
      </c>
      <c r="N166" s="170">
        <f>0+táj.2!N166</f>
        <v>0</v>
      </c>
      <c r="O166" s="170">
        <f>0+táj.2!O166</f>
        <v>0</v>
      </c>
      <c r="P166" s="170">
        <f>0+táj.2!P166</f>
        <v>0</v>
      </c>
      <c r="Q166" s="170">
        <f t="shared" si="8"/>
        <v>0</v>
      </c>
    </row>
    <row r="167" spans="1:17" ht="15" customHeight="1" x14ac:dyDescent="0.2">
      <c r="A167" s="197"/>
      <c r="B167" s="197"/>
      <c r="C167" s="197"/>
      <c r="D167" s="170" t="s">
        <v>618</v>
      </c>
      <c r="E167" s="208"/>
      <c r="F167" s="170"/>
      <c r="G167" s="170"/>
      <c r="H167" s="170"/>
      <c r="I167" s="170"/>
      <c r="J167" s="170"/>
      <c r="K167" s="170"/>
      <c r="L167" s="170"/>
      <c r="M167" s="170"/>
      <c r="N167" s="170"/>
      <c r="O167" s="170"/>
      <c r="P167" s="170"/>
      <c r="Q167" s="170"/>
    </row>
    <row r="168" spans="1:17" ht="15" customHeight="1" x14ac:dyDescent="0.2">
      <c r="A168" s="197"/>
      <c r="B168" s="197"/>
      <c r="C168" s="217"/>
      <c r="D168" s="213" t="s">
        <v>619</v>
      </c>
      <c r="E168" s="208">
        <v>1</v>
      </c>
      <c r="F168" s="170">
        <v>131827</v>
      </c>
      <c r="G168" s="170">
        <f>0+táj.2!G168</f>
        <v>0</v>
      </c>
      <c r="H168" s="170">
        <f>0+táj.2!H168</f>
        <v>0</v>
      </c>
      <c r="I168" s="170">
        <f>13043+táj.2!I168</f>
        <v>13043</v>
      </c>
      <c r="J168" s="170">
        <f>0+táj.2!J168</f>
        <v>0</v>
      </c>
      <c r="K168" s="170">
        <f>23000+táj.2!K168</f>
        <v>23000</v>
      </c>
      <c r="L168" s="170">
        <f>0+táj.2!L168</f>
        <v>0</v>
      </c>
      <c r="M168" s="170">
        <f>0+táj.2!M168</f>
        <v>0</v>
      </c>
      <c r="N168" s="170">
        <f>0+táj.2!N168</f>
        <v>0</v>
      </c>
      <c r="O168" s="170">
        <f>0+táj.2!O168</f>
        <v>0</v>
      </c>
      <c r="P168" s="170">
        <f>0+táj.2!P168</f>
        <v>0</v>
      </c>
      <c r="Q168" s="170">
        <f>SUM(G168:P168)</f>
        <v>36043</v>
      </c>
    </row>
    <row r="169" spans="1:17" ht="15" customHeight="1" x14ac:dyDescent="0.2">
      <c r="A169" s="197"/>
      <c r="B169" s="197"/>
      <c r="C169" s="217"/>
      <c r="D169" s="213" t="s">
        <v>620</v>
      </c>
      <c r="E169" s="170">
        <v>2</v>
      </c>
      <c r="F169" s="170">
        <v>131857</v>
      </c>
      <c r="G169" s="170">
        <f>0+táj.2!G169</f>
        <v>0</v>
      </c>
      <c r="H169" s="170">
        <f>0+táj.2!H169</f>
        <v>0</v>
      </c>
      <c r="I169" s="170">
        <f>0+táj.2!I169</f>
        <v>0</v>
      </c>
      <c r="J169" s="170">
        <f>0+táj.2!J169</f>
        <v>0</v>
      </c>
      <c r="K169" s="170">
        <f>13000+táj.2!K169</f>
        <v>13000</v>
      </c>
      <c r="L169" s="170">
        <f>0+táj.2!L169</f>
        <v>0</v>
      </c>
      <c r="M169" s="170">
        <f>0+táj.2!M169</f>
        <v>0</v>
      </c>
      <c r="N169" s="170">
        <f>0+táj.2!N169</f>
        <v>0</v>
      </c>
      <c r="O169" s="170">
        <f>0+táj.2!O169</f>
        <v>0</v>
      </c>
      <c r="P169" s="170">
        <f>0+táj.2!P169</f>
        <v>0</v>
      </c>
      <c r="Q169" s="170">
        <f>SUM(G169:P169)</f>
        <v>13000</v>
      </c>
    </row>
    <row r="170" spans="1:17" ht="15" customHeight="1" x14ac:dyDescent="0.2">
      <c r="A170" s="197"/>
      <c r="B170" s="197"/>
      <c r="C170" s="217"/>
      <c r="D170" s="282" t="s">
        <v>621</v>
      </c>
      <c r="E170" s="170">
        <v>2</v>
      </c>
      <c r="F170" s="170">
        <v>131844</v>
      </c>
      <c r="G170" s="170">
        <f>0+táj.2!G170</f>
        <v>0</v>
      </c>
      <c r="H170" s="170">
        <f>0+táj.2!H170</f>
        <v>0</v>
      </c>
      <c r="I170" s="170">
        <f>0+táj.2!I170</f>
        <v>0</v>
      </c>
      <c r="J170" s="170">
        <f>0+táj.2!J170</f>
        <v>0</v>
      </c>
      <c r="K170" s="170">
        <f>24842+táj.2!K170</f>
        <v>20296</v>
      </c>
      <c r="L170" s="170">
        <f>0+táj.2!L170</f>
        <v>0</v>
      </c>
      <c r="M170" s="170">
        <f>0+táj.2!M170</f>
        <v>0</v>
      </c>
      <c r="N170" s="170">
        <f>0+táj.2!N170</f>
        <v>0</v>
      </c>
      <c r="O170" s="170">
        <f>0+táj.2!O170</f>
        <v>0</v>
      </c>
      <c r="P170" s="170">
        <f>0+táj.2!P170</f>
        <v>0</v>
      </c>
      <c r="Q170" s="170">
        <f>SUM(G170:P170)</f>
        <v>20296</v>
      </c>
    </row>
    <row r="171" spans="1:17" ht="12" customHeight="1" x14ac:dyDescent="0.2">
      <c r="A171" s="223"/>
      <c r="B171" s="223"/>
      <c r="C171" s="224"/>
      <c r="D171" s="225" t="s">
        <v>622</v>
      </c>
      <c r="E171" s="226"/>
      <c r="F171" s="227"/>
      <c r="G171" s="283">
        <f t="shared" ref="G171:Q171" si="9">SUM(G49:G170)</f>
        <v>3891</v>
      </c>
      <c r="H171" s="283">
        <f t="shared" si="9"/>
        <v>1424</v>
      </c>
      <c r="I171" s="283">
        <f t="shared" si="9"/>
        <v>90562</v>
      </c>
      <c r="J171" s="283">
        <f t="shared" si="9"/>
        <v>5100</v>
      </c>
      <c r="K171" s="283">
        <f t="shared" si="9"/>
        <v>906457</v>
      </c>
      <c r="L171" s="283">
        <f t="shared" si="9"/>
        <v>470</v>
      </c>
      <c r="M171" s="283">
        <f t="shared" si="9"/>
        <v>0</v>
      </c>
      <c r="N171" s="283">
        <f t="shared" si="9"/>
        <v>500</v>
      </c>
      <c r="O171" s="283">
        <f t="shared" si="9"/>
        <v>0</v>
      </c>
      <c r="P171" s="283">
        <f t="shared" si="9"/>
        <v>0</v>
      </c>
      <c r="Q171" s="283">
        <f t="shared" si="9"/>
        <v>1008404</v>
      </c>
    </row>
    <row r="172" spans="1:17" ht="12" customHeight="1" x14ac:dyDescent="0.2">
      <c r="A172" s="229"/>
      <c r="B172" s="229"/>
      <c r="C172" s="284"/>
      <c r="D172" s="285" t="s">
        <v>499</v>
      </c>
      <c r="E172" s="232"/>
      <c r="F172" s="233"/>
      <c r="G172" s="286"/>
      <c r="H172" s="286"/>
      <c r="I172" s="286"/>
      <c r="J172" s="286"/>
      <c r="K172" s="286"/>
      <c r="L172" s="286"/>
      <c r="M172" s="286"/>
      <c r="N172" s="286"/>
      <c r="O172" s="286"/>
      <c r="P172" s="286"/>
      <c r="Q172" s="286"/>
    </row>
    <row r="173" spans="1:17" ht="15" customHeight="1" x14ac:dyDescent="0.2">
      <c r="A173" s="229"/>
      <c r="B173" s="229"/>
      <c r="C173" s="288" t="s">
        <v>125</v>
      </c>
      <c r="D173" s="289" t="s">
        <v>509</v>
      </c>
      <c r="E173" s="232"/>
      <c r="F173" s="233"/>
      <c r="G173" s="286"/>
      <c r="H173" s="286"/>
      <c r="I173" s="286"/>
      <c r="J173" s="286"/>
      <c r="K173" s="286"/>
      <c r="L173" s="286"/>
      <c r="M173" s="286"/>
      <c r="N173" s="286"/>
      <c r="O173" s="286"/>
      <c r="P173" s="286"/>
      <c r="Q173" s="286"/>
    </row>
    <row r="174" spans="1:17" ht="15" customHeight="1" x14ac:dyDescent="0.2">
      <c r="A174" s="229"/>
      <c r="B174" s="229"/>
      <c r="C174" s="290" t="s">
        <v>623</v>
      </c>
      <c r="D174" s="291" t="s">
        <v>624</v>
      </c>
      <c r="E174" s="292"/>
      <c r="F174" s="233"/>
      <c r="G174" s="293"/>
      <c r="H174" s="293"/>
      <c r="I174" s="293"/>
      <c r="J174" s="293"/>
      <c r="K174" s="293"/>
      <c r="L174" s="293"/>
      <c r="M174" s="293"/>
      <c r="N174" s="293"/>
      <c r="O174" s="293"/>
      <c r="P174" s="293"/>
      <c r="Q174" s="293"/>
    </row>
    <row r="175" spans="1:17" ht="42.75" customHeight="1" x14ac:dyDescent="0.2">
      <c r="A175" s="229"/>
      <c r="B175" s="229"/>
      <c r="C175" s="294" t="s">
        <v>625</v>
      </c>
      <c r="D175" s="613" t="s">
        <v>626</v>
      </c>
      <c r="E175" s="230"/>
      <c r="F175" s="170">
        <v>132903</v>
      </c>
      <c r="G175" s="221">
        <f>0+táj.2!G175</f>
        <v>0</v>
      </c>
      <c r="H175" s="221">
        <f>0+táj.2!H175</f>
        <v>0</v>
      </c>
      <c r="I175" s="221">
        <f>0+táj.2!I175</f>
        <v>0</v>
      </c>
      <c r="J175" s="221">
        <f>0+táj.2!J175</f>
        <v>0</v>
      </c>
      <c r="K175" s="221">
        <f>0+táj.2!K175</f>
        <v>0</v>
      </c>
      <c r="L175" s="221">
        <f>0+táj.2!L175</f>
        <v>0</v>
      </c>
      <c r="M175" s="221">
        <f>0+táj.2!M175</f>
        <v>0</v>
      </c>
      <c r="N175" s="221">
        <f>4500+táj.2!N175</f>
        <v>4500</v>
      </c>
      <c r="O175" s="221">
        <f>0+táj.2!O175</f>
        <v>0</v>
      </c>
      <c r="P175" s="221">
        <f>0+táj.2!P175</f>
        <v>0</v>
      </c>
      <c r="Q175" s="293">
        <f t="shared" ref="Q175:Q186" si="10">SUM(G175:P175)</f>
        <v>4500</v>
      </c>
    </row>
    <row r="176" spans="1:17" ht="17.100000000000001" customHeight="1" x14ac:dyDescent="0.2">
      <c r="A176" s="229"/>
      <c r="B176" s="229"/>
      <c r="C176" s="294" t="s">
        <v>627</v>
      </c>
      <c r="D176" s="614" t="s">
        <v>628</v>
      </c>
      <c r="E176" s="230"/>
      <c r="F176" s="170">
        <v>134920</v>
      </c>
      <c r="G176" s="221">
        <f>0+táj.2!G176</f>
        <v>0</v>
      </c>
      <c r="H176" s="221">
        <f>0+táj.2!H176</f>
        <v>0</v>
      </c>
      <c r="I176" s="221">
        <f>0+táj.2!I176</f>
        <v>0</v>
      </c>
      <c r="J176" s="221">
        <f>0+táj.2!J176</f>
        <v>0</v>
      </c>
      <c r="K176" s="221">
        <f>0+táj.2!K176</f>
        <v>0</v>
      </c>
      <c r="L176" s="221">
        <f>0+táj.2!L176</f>
        <v>0</v>
      </c>
      <c r="M176" s="221">
        <f>0+táj.2!M176</f>
        <v>0</v>
      </c>
      <c r="N176" s="221">
        <f>300+táj.2!N176</f>
        <v>300</v>
      </c>
      <c r="O176" s="221">
        <f>0+táj.2!O176</f>
        <v>0</v>
      </c>
      <c r="P176" s="221">
        <f>0+táj.2!P176</f>
        <v>0</v>
      </c>
      <c r="Q176" s="293">
        <f t="shared" si="10"/>
        <v>300</v>
      </c>
    </row>
    <row r="177" spans="1:17" ht="17.100000000000001" customHeight="1" x14ac:dyDescent="0.2">
      <c r="A177" s="229"/>
      <c r="B177" s="229"/>
      <c r="C177" s="294" t="s">
        <v>629</v>
      </c>
      <c r="D177" s="245" t="s">
        <v>630</v>
      </c>
      <c r="E177" s="295"/>
      <c r="F177" s="170">
        <v>134995</v>
      </c>
      <c r="G177" s="221">
        <f>0+táj.2!G177</f>
        <v>0</v>
      </c>
      <c r="H177" s="221">
        <f>0+táj.2!H177</f>
        <v>0</v>
      </c>
      <c r="I177" s="221">
        <f>0+táj.2!I177</f>
        <v>0</v>
      </c>
      <c r="J177" s="221">
        <f>0+táj.2!J177</f>
        <v>0</v>
      </c>
      <c r="K177" s="221">
        <f>0+táj.2!K177</f>
        <v>0</v>
      </c>
      <c r="L177" s="221">
        <f>0+táj.2!L177</f>
        <v>0</v>
      </c>
      <c r="M177" s="221">
        <f>0+táj.2!M177</f>
        <v>0</v>
      </c>
      <c r="N177" s="221">
        <f>250+táj.2!N177</f>
        <v>250</v>
      </c>
      <c r="O177" s="221">
        <f>0+táj.2!O177</f>
        <v>0</v>
      </c>
      <c r="P177" s="221">
        <f>0+táj.2!P177</f>
        <v>0</v>
      </c>
      <c r="Q177" s="293">
        <f t="shared" si="10"/>
        <v>250</v>
      </c>
    </row>
    <row r="178" spans="1:17" ht="17.100000000000001" customHeight="1" x14ac:dyDescent="0.2">
      <c r="A178" s="229"/>
      <c r="B178" s="229"/>
      <c r="C178" s="294" t="s">
        <v>631</v>
      </c>
      <c r="D178" s="296" t="s">
        <v>632</v>
      </c>
      <c r="E178" s="295"/>
      <c r="F178" s="170">
        <v>132928</v>
      </c>
      <c r="G178" s="221">
        <f>0+táj.2!G178</f>
        <v>0</v>
      </c>
      <c r="H178" s="221">
        <f>0+táj.2!H178</f>
        <v>0</v>
      </c>
      <c r="I178" s="221">
        <f>0+táj.2!I178</f>
        <v>0</v>
      </c>
      <c r="J178" s="221">
        <f>0+táj.2!J178</f>
        <v>0</v>
      </c>
      <c r="K178" s="221">
        <f>0+táj.2!K178</f>
        <v>0</v>
      </c>
      <c r="L178" s="221">
        <f>0+táj.2!L178</f>
        <v>0</v>
      </c>
      <c r="M178" s="221">
        <f>0+táj.2!M178</f>
        <v>0</v>
      </c>
      <c r="N178" s="221">
        <f>0+táj.2!N178</f>
        <v>0</v>
      </c>
      <c r="O178" s="221">
        <f>0+táj.2!O178</f>
        <v>0</v>
      </c>
      <c r="P178" s="221">
        <f>0+táj.2!P178</f>
        <v>0</v>
      </c>
      <c r="Q178" s="293">
        <f t="shared" si="10"/>
        <v>0</v>
      </c>
    </row>
    <row r="179" spans="1:17" ht="17.100000000000001" customHeight="1" x14ac:dyDescent="0.2">
      <c r="A179" s="229"/>
      <c r="B179" s="229"/>
      <c r="C179" s="294" t="s">
        <v>633</v>
      </c>
      <c r="D179" s="296" t="s">
        <v>634</v>
      </c>
      <c r="E179" s="295"/>
      <c r="F179" s="170">
        <v>132929</v>
      </c>
      <c r="G179" s="221">
        <f>0+táj.2!G179</f>
        <v>0</v>
      </c>
      <c r="H179" s="221">
        <f>0+táj.2!H179</f>
        <v>0</v>
      </c>
      <c r="I179" s="221">
        <f>0+táj.2!I179</f>
        <v>0</v>
      </c>
      <c r="J179" s="221">
        <f>0+táj.2!J179</f>
        <v>0</v>
      </c>
      <c r="K179" s="221">
        <f>0+táj.2!K179</f>
        <v>0</v>
      </c>
      <c r="L179" s="221">
        <f>0+táj.2!L179</f>
        <v>0</v>
      </c>
      <c r="M179" s="221">
        <f>0+táj.2!M179</f>
        <v>0</v>
      </c>
      <c r="N179" s="221">
        <f>0+táj.2!N179</f>
        <v>0</v>
      </c>
      <c r="O179" s="221">
        <f>0+táj.2!O179</f>
        <v>0</v>
      </c>
      <c r="P179" s="221">
        <f>0+táj.2!P179</f>
        <v>0</v>
      </c>
      <c r="Q179" s="293">
        <f t="shared" si="10"/>
        <v>0</v>
      </c>
    </row>
    <row r="180" spans="1:17" ht="17.100000000000001" customHeight="1" x14ac:dyDescent="0.2">
      <c r="A180" s="229"/>
      <c r="B180" s="229"/>
      <c r="C180" s="294" t="s">
        <v>635</v>
      </c>
      <c r="D180" s="297" t="s">
        <v>636</v>
      </c>
      <c r="E180" s="230"/>
      <c r="F180" s="170">
        <v>132930</v>
      </c>
      <c r="G180" s="221">
        <f>0+táj.2!G180</f>
        <v>0</v>
      </c>
      <c r="H180" s="221">
        <f>0+táj.2!H180</f>
        <v>0</v>
      </c>
      <c r="I180" s="221">
        <f>0+táj.2!I180</f>
        <v>0</v>
      </c>
      <c r="J180" s="221">
        <f>0+táj.2!J180</f>
        <v>0</v>
      </c>
      <c r="K180" s="221">
        <f>0+táj.2!K180</f>
        <v>0</v>
      </c>
      <c r="L180" s="221">
        <f>2381+táj.2!L180</f>
        <v>2571</v>
      </c>
      <c r="M180" s="221">
        <f>0+táj.2!M180</f>
        <v>0</v>
      </c>
      <c r="N180" s="221">
        <f>0+táj.2!N180</f>
        <v>0</v>
      </c>
      <c r="O180" s="221">
        <f>0+táj.2!O180</f>
        <v>0</v>
      </c>
      <c r="P180" s="221">
        <f>0+táj.2!P180</f>
        <v>0</v>
      </c>
      <c r="Q180" s="293">
        <f t="shared" si="10"/>
        <v>2571</v>
      </c>
    </row>
    <row r="181" spans="1:17" ht="27" customHeight="1" x14ac:dyDescent="0.2">
      <c r="A181" s="229"/>
      <c r="B181" s="229"/>
      <c r="C181" s="294" t="s">
        <v>637</v>
      </c>
      <c r="D181" s="353" t="s">
        <v>638</v>
      </c>
      <c r="E181" s="230"/>
      <c r="F181" s="649">
        <v>134919</v>
      </c>
      <c r="G181" s="221">
        <f>0+táj.2!G181</f>
        <v>0</v>
      </c>
      <c r="H181" s="221">
        <f>0+táj.2!H181</f>
        <v>0</v>
      </c>
      <c r="I181" s="221">
        <f>0+táj.2!I181</f>
        <v>0</v>
      </c>
      <c r="J181" s="221">
        <f>0+táj.2!J181</f>
        <v>0</v>
      </c>
      <c r="K181" s="221">
        <f>0+táj.2!K181</f>
        <v>0</v>
      </c>
      <c r="L181" s="221">
        <f>0+táj.2!L181</f>
        <v>0</v>
      </c>
      <c r="M181" s="221">
        <f>0+táj.2!M181</f>
        <v>0</v>
      </c>
      <c r="N181" s="221">
        <f>770+táj.2!N181</f>
        <v>770</v>
      </c>
      <c r="O181" s="221">
        <f>0+táj.2!O181</f>
        <v>0</v>
      </c>
      <c r="P181" s="221">
        <f>0+táj.2!P181</f>
        <v>0</v>
      </c>
      <c r="Q181" s="293">
        <f t="shared" si="10"/>
        <v>770</v>
      </c>
    </row>
    <row r="182" spans="1:17" ht="25.5" customHeight="1" x14ac:dyDescent="0.2">
      <c r="A182" s="229"/>
      <c r="B182" s="229"/>
      <c r="C182" s="294" t="s">
        <v>639</v>
      </c>
      <c r="D182" s="245" t="s">
        <v>640</v>
      </c>
      <c r="E182" s="230"/>
      <c r="F182" s="170">
        <v>132904</v>
      </c>
      <c r="G182" s="221">
        <f>0+táj.2!G182</f>
        <v>0</v>
      </c>
      <c r="H182" s="221">
        <f>0+táj.2!H182</f>
        <v>0</v>
      </c>
      <c r="I182" s="221">
        <f>0+táj.2!I182</f>
        <v>0</v>
      </c>
      <c r="J182" s="221">
        <f>0+táj.2!J182</f>
        <v>0</v>
      </c>
      <c r="K182" s="221">
        <f>0+táj.2!K182</f>
        <v>0</v>
      </c>
      <c r="L182" s="221">
        <f>1400+táj.2!L182</f>
        <v>1956</v>
      </c>
      <c r="M182" s="221">
        <f>0+táj.2!M182</f>
        <v>0</v>
      </c>
      <c r="N182" s="221">
        <f>1600+táj.2!N182</f>
        <v>1600</v>
      </c>
      <c r="O182" s="221">
        <f>0+táj.2!O182</f>
        <v>0</v>
      </c>
      <c r="P182" s="221">
        <f>0+táj.2!P182</f>
        <v>0</v>
      </c>
      <c r="Q182" s="293">
        <f t="shared" si="10"/>
        <v>3556</v>
      </c>
    </row>
    <row r="183" spans="1:17" ht="18" customHeight="1" x14ac:dyDescent="0.2">
      <c r="A183" s="229"/>
      <c r="B183" s="229"/>
      <c r="C183" s="294" t="s">
        <v>641</v>
      </c>
      <c r="D183" s="245" t="s">
        <v>642</v>
      </c>
      <c r="E183" s="230"/>
      <c r="F183" s="170">
        <v>134908</v>
      </c>
      <c r="G183" s="221">
        <f>0+táj.2!G183</f>
        <v>0</v>
      </c>
      <c r="H183" s="221">
        <f>0+táj.2!H183</f>
        <v>0</v>
      </c>
      <c r="I183" s="221">
        <f>0+táj.2!I183</f>
        <v>148</v>
      </c>
      <c r="J183" s="221">
        <f>0+táj.2!J183</f>
        <v>0</v>
      </c>
      <c r="K183" s="221">
        <f>0+táj.2!K183</f>
        <v>0</v>
      </c>
      <c r="L183" s="221">
        <f>0+táj.2!L183</f>
        <v>0</v>
      </c>
      <c r="M183" s="221">
        <f>2113+táj.2!M183</f>
        <v>1550</v>
      </c>
      <c r="N183" s="221">
        <f>0+táj.2!N183</f>
        <v>0</v>
      </c>
      <c r="O183" s="221">
        <f>0+táj.2!O183</f>
        <v>0</v>
      </c>
      <c r="P183" s="221">
        <f>0+táj.2!P183</f>
        <v>0</v>
      </c>
      <c r="Q183" s="293">
        <f t="shared" si="10"/>
        <v>1698</v>
      </c>
    </row>
    <row r="184" spans="1:17" ht="18" customHeight="1" x14ac:dyDescent="0.2">
      <c r="A184" s="715"/>
      <c r="B184" s="715"/>
      <c r="C184" s="716" t="s">
        <v>1415</v>
      </c>
      <c r="D184" s="721" t="s">
        <v>1416</v>
      </c>
      <c r="E184" s="722"/>
      <c r="F184" s="774">
        <v>132934</v>
      </c>
      <c r="G184" s="221">
        <f>0+táj.2!G184</f>
        <v>0</v>
      </c>
      <c r="H184" s="221">
        <f>0+táj.2!H184</f>
        <v>0</v>
      </c>
      <c r="I184" s="221">
        <f>2477+táj.2!I184</f>
        <v>2477</v>
      </c>
      <c r="J184" s="221">
        <f>0+táj.2!J184</f>
        <v>0</v>
      </c>
      <c r="K184" s="221">
        <f>0+táj.2!K184</f>
        <v>0</v>
      </c>
      <c r="L184" s="221">
        <f>0+táj.2!L184</f>
        <v>0</v>
      </c>
      <c r="M184" s="221">
        <f>0+táj.2!M184</f>
        <v>0</v>
      </c>
      <c r="N184" s="221">
        <f>0+táj.2!N184</f>
        <v>0</v>
      </c>
      <c r="O184" s="221">
        <f>0+táj.2!O184</f>
        <v>0</v>
      </c>
      <c r="P184" s="221">
        <f>0+táj.2!P184</f>
        <v>0</v>
      </c>
      <c r="Q184" s="293">
        <f t="shared" si="10"/>
        <v>2477</v>
      </c>
    </row>
    <row r="185" spans="1:17" ht="18" customHeight="1" x14ac:dyDescent="0.2">
      <c r="A185" s="715"/>
      <c r="B185" s="715"/>
      <c r="C185" s="716" t="s">
        <v>1417</v>
      </c>
      <c r="D185" s="717" t="s">
        <v>1418</v>
      </c>
      <c r="E185" s="718"/>
      <c r="F185" s="774">
        <v>134937</v>
      </c>
      <c r="G185" s="221">
        <f>0+táj.2!G185</f>
        <v>0</v>
      </c>
      <c r="H185" s="221">
        <f>0+táj.2!H185</f>
        <v>0</v>
      </c>
      <c r="I185" s="221">
        <f>0+táj.2!I185</f>
        <v>0</v>
      </c>
      <c r="J185" s="221">
        <f>0+táj.2!J185</f>
        <v>0</v>
      </c>
      <c r="K185" s="221">
        <f>0+táj.2!K185</f>
        <v>0</v>
      </c>
      <c r="L185" s="221">
        <f>0+táj.2!L185</f>
        <v>0</v>
      </c>
      <c r="M185" s="221">
        <f>723+táj.2!M185</f>
        <v>723</v>
      </c>
      <c r="N185" s="221">
        <f>0+táj.2!N185</f>
        <v>0</v>
      </c>
      <c r="O185" s="221">
        <f>0+táj.2!O185</f>
        <v>0</v>
      </c>
      <c r="P185" s="221">
        <f>0+táj.2!P185</f>
        <v>0</v>
      </c>
      <c r="Q185" s="293">
        <f t="shared" si="10"/>
        <v>723</v>
      </c>
    </row>
    <row r="186" spans="1:17" ht="18" customHeight="1" x14ac:dyDescent="0.2">
      <c r="A186" s="715"/>
      <c r="B186" s="715"/>
      <c r="C186" s="716" t="s">
        <v>1419</v>
      </c>
      <c r="D186" s="717" t="s">
        <v>1420</v>
      </c>
      <c r="E186" s="718"/>
      <c r="F186" s="774">
        <v>134938</v>
      </c>
      <c r="G186" s="221">
        <f>0+táj.2!G186</f>
        <v>0</v>
      </c>
      <c r="H186" s="221">
        <f>0+táj.2!H186</f>
        <v>0</v>
      </c>
      <c r="I186" s="221">
        <f>0+táj.2!I186</f>
        <v>0</v>
      </c>
      <c r="J186" s="221">
        <f>0+táj.2!J186</f>
        <v>0</v>
      </c>
      <c r="K186" s="221">
        <f>0+táj.2!K186</f>
        <v>0</v>
      </c>
      <c r="L186" s="221">
        <f>0+táj.2!L186</f>
        <v>0</v>
      </c>
      <c r="M186" s="221">
        <f>0+táj.2!M186</f>
        <v>0</v>
      </c>
      <c r="N186" s="221">
        <f>500+táj.2!N186</f>
        <v>500</v>
      </c>
      <c r="O186" s="221">
        <f>0+táj.2!O186</f>
        <v>0</v>
      </c>
      <c r="P186" s="221">
        <f>0+táj.2!P186</f>
        <v>0</v>
      </c>
      <c r="Q186" s="293">
        <f t="shared" si="10"/>
        <v>500</v>
      </c>
    </row>
    <row r="187" spans="1:17" ht="15" customHeight="1" x14ac:dyDescent="0.2">
      <c r="A187" s="229"/>
      <c r="B187" s="229"/>
      <c r="C187" s="284" t="s">
        <v>643</v>
      </c>
      <c r="D187" s="298" t="s">
        <v>644</v>
      </c>
      <c r="E187" s="230"/>
      <c r="F187" s="170"/>
      <c r="G187" s="221"/>
      <c r="H187" s="221"/>
      <c r="I187" s="221"/>
      <c r="J187" s="221"/>
      <c r="K187" s="221"/>
      <c r="L187" s="221"/>
      <c r="M187" s="221"/>
      <c r="N187" s="221"/>
      <c r="O187" s="221"/>
      <c r="P187" s="221"/>
      <c r="Q187" s="293"/>
    </row>
    <row r="188" spans="1:17" ht="26.25" customHeight="1" x14ac:dyDescent="0.2">
      <c r="A188" s="229"/>
      <c r="B188" s="229"/>
      <c r="C188" s="299" t="s">
        <v>645</v>
      </c>
      <c r="D188" s="353" t="s">
        <v>646</v>
      </c>
      <c r="E188" s="230"/>
      <c r="F188" s="170">
        <v>134928</v>
      </c>
      <c r="G188" s="221">
        <f>0+táj.2!G188</f>
        <v>0</v>
      </c>
      <c r="H188" s="221">
        <f>0+táj.2!H188</f>
        <v>0</v>
      </c>
      <c r="I188" s="221">
        <f>0+táj.2!I188</f>
        <v>0</v>
      </c>
      <c r="J188" s="221">
        <f>0+táj.2!J188</f>
        <v>0</v>
      </c>
      <c r="K188" s="221">
        <f>0+táj.2!K188</f>
        <v>0</v>
      </c>
      <c r="L188" s="221">
        <f>0+táj.2!L188</f>
        <v>0</v>
      </c>
      <c r="M188" s="221">
        <f>0+táj.2!M188</f>
        <v>0</v>
      </c>
      <c r="N188" s="221">
        <f>0+táj.2!N188</f>
        <v>0</v>
      </c>
      <c r="O188" s="221">
        <f>0+táj.2!O188</f>
        <v>0</v>
      </c>
      <c r="P188" s="221">
        <f>0+táj.2!P188</f>
        <v>0</v>
      </c>
      <c r="Q188" s="293">
        <f>SUM(G188:P188)</f>
        <v>0</v>
      </c>
    </row>
    <row r="189" spans="1:17" ht="15" customHeight="1" x14ac:dyDescent="0.2">
      <c r="A189" s="229"/>
      <c r="B189" s="229"/>
      <c r="C189" s="299" t="s">
        <v>647</v>
      </c>
      <c r="D189" s="300" t="s">
        <v>648</v>
      </c>
      <c r="E189" s="230"/>
      <c r="F189" s="170">
        <v>134914</v>
      </c>
      <c r="G189" s="221">
        <f>0+táj.2!G189</f>
        <v>0</v>
      </c>
      <c r="H189" s="221">
        <f>0+táj.2!H189</f>
        <v>0</v>
      </c>
      <c r="I189" s="221">
        <f>0+táj.2!I189</f>
        <v>0</v>
      </c>
      <c r="J189" s="221">
        <f>0+táj.2!J189</f>
        <v>0</v>
      </c>
      <c r="K189" s="221">
        <f>0+táj.2!K189</f>
        <v>0</v>
      </c>
      <c r="L189" s="221">
        <f>0+táj.2!L189</f>
        <v>0</v>
      </c>
      <c r="M189" s="221">
        <f>0+táj.2!M189</f>
        <v>0</v>
      </c>
      <c r="N189" s="221">
        <f>0+táj.2!N189</f>
        <v>0</v>
      </c>
      <c r="O189" s="221">
        <f>0+táj.2!O189</f>
        <v>0</v>
      </c>
      <c r="P189" s="221">
        <f>0+táj.2!P189</f>
        <v>0</v>
      </c>
      <c r="Q189" s="293">
        <f t="shared" ref="Q189:Q195" si="11">SUM(L189:P189)</f>
        <v>0</v>
      </c>
    </row>
    <row r="190" spans="1:17" ht="15" customHeight="1" x14ac:dyDescent="0.2">
      <c r="A190" s="229"/>
      <c r="B190" s="229"/>
      <c r="C190" s="299" t="s">
        <v>649</v>
      </c>
      <c r="D190" s="245" t="s">
        <v>650</v>
      </c>
      <c r="E190" s="230"/>
      <c r="F190" s="170">
        <v>132905</v>
      </c>
      <c r="G190" s="221">
        <f>0+táj.2!G190</f>
        <v>0</v>
      </c>
      <c r="H190" s="221">
        <f>0+táj.2!H190</f>
        <v>0</v>
      </c>
      <c r="I190" s="221">
        <f>0+táj.2!I190</f>
        <v>0</v>
      </c>
      <c r="J190" s="221">
        <f>0+táj.2!J190</f>
        <v>0</v>
      </c>
      <c r="K190" s="221">
        <f>0+táj.2!K190</f>
        <v>0</v>
      </c>
      <c r="L190" s="221">
        <f>0+táj.2!L190</f>
        <v>0</v>
      </c>
      <c r="M190" s="221">
        <f>0+táj.2!M190</f>
        <v>0</v>
      </c>
      <c r="N190" s="221">
        <f>500+táj.2!N190</f>
        <v>500</v>
      </c>
      <c r="O190" s="221">
        <f>0+táj.2!O190</f>
        <v>0</v>
      </c>
      <c r="P190" s="221">
        <f>0+táj.2!P190</f>
        <v>0</v>
      </c>
      <c r="Q190" s="293">
        <f t="shared" si="11"/>
        <v>500</v>
      </c>
    </row>
    <row r="191" spans="1:17" ht="15" customHeight="1" x14ac:dyDescent="0.2">
      <c r="A191" s="229"/>
      <c r="B191" s="229"/>
      <c r="C191" s="299" t="s">
        <v>651</v>
      </c>
      <c r="D191" s="245" t="s">
        <v>652</v>
      </c>
      <c r="E191" s="230"/>
      <c r="F191" s="170">
        <v>134929</v>
      </c>
      <c r="G191" s="221">
        <f>0+táj.2!G191</f>
        <v>0</v>
      </c>
      <c r="H191" s="221">
        <f>0+táj.2!H191</f>
        <v>0</v>
      </c>
      <c r="I191" s="221">
        <f>0+táj.2!I191</f>
        <v>0</v>
      </c>
      <c r="J191" s="221">
        <f>0+táj.2!J191</f>
        <v>0</v>
      </c>
      <c r="K191" s="221">
        <f>0+táj.2!K191</f>
        <v>0</v>
      </c>
      <c r="L191" s="221">
        <f>0+táj.2!L191</f>
        <v>0</v>
      </c>
      <c r="M191" s="221">
        <f>0+táj.2!M191</f>
        <v>0</v>
      </c>
      <c r="N191" s="221">
        <f>0+táj.2!N191</f>
        <v>0</v>
      </c>
      <c r="O191" s="221">
        <f>0+táj.2!O191</f>
        <v>0</v>
      </c>
      <c r="P191" s="221">
        <f>0+táj.2!P191</f>
        <v>0</v>
      </c>
      <c r="Q191" s="293">
        <f t="shared" si="11"/>
        <v>0</v>
      </c>
    </row>
    <row r="192" spans="1:17" ht="21" customHeight="1" x14ac:dyDescent="0.2">
      <c r="A192" s="229"/>
      <c r="B192" s="229"/>
      <c r="C192" s="299" t="s">
        <v>653</v>
      </c>
      <c r="D192" s="353" t="s">
        <v>654</v>
      </c>
      <c r="E192" s="230"/>
      <c r="F192" s="170">
        <v>132932</v>
      </c>
      <c r="G192" s="221">
        <f>0+táj.2!G192</f>
        <v>0</v>
      </c>
      <c r="H192" s="221">
        <f>0+táj.2!H192</f>
        <v>0</v>
      </c>
      <c r="I192" s="221">
        <f>0+táj.2!I192</f>
        <v>0</v>
      </c>
      <c r="J192" s="221">
        <f>0+táj.2!J192</f>
        <v>0</v>
      </c>
      <c r="K192" s="221">
        <f>0+táj.2!K192</f>
        <v>0</v>
      </c>
      <c r="L192" s="221">
        <f>0+táj.2!L192</f>
        <v>0</v>
      </c>
      <c r="M192" s="221">
        <f>0+táj.2!M192</f>
        <v>0</v>
      </c>
      <c r="N192" s="221">
        <f>0+táj.2!N192</f>
        <v>0</v>
      </c>
      <c r="O192" s="221">
        <f>0+táj.2!O192</f>
        <v>0</v>
      </c>
      <c r="P192" s="221">
        <f>0+táj.2!P192</f>
        <v>0</v>
      </c>
      <c r="Q192" s="293">
        <f t="shared" si="11"/>
        <v>0</v>
      </c>
    </row>
    <row r="193" spans="1:17" ht="26.25" customHeight="1" x14ac:dyDescent="0.2">
      <c r="A193" s="229"/>
      <c r="B193" s="229"/>
      <c r="C193" s="299" t="s">
        <v>655</v>
      </c>
      <c r="D193" s="329" t="s">
        <v>656</v>
      </c>
      <c r="E193" s="230"/>
      <c r="F193" s="170">
        <v>134931</v>
      </c>
      <c r="G193" s="221">
        <f>0+táj.2!G193</f>
        <v>0</v>
      </c>
      <c r="H193" s="221">
        <f>0+táj.2!H193</f>
        <v>0</v>
      </c>
      <c r="I193" s="221">
        <f>0+táj.2!I193</f>
        <v>0</v>
      </c>
      <c r="J193" s="221">
        <f>0+táj.2!J193</f>
        <v>0</v>
      </c>
      <c r="K193" s="221">
        <f>0+táj.2!K193</f>
        <v>0</v>
      </c>
      <c r="L193" s="221">
        <f>0+táj.2!L193</f>
        <v>0</v>
      </c>
      <c r="M193" s="221">
        <f>0+táj.2!M193</f>
        <v>0</v>
      </c>
      <c r="N193" s="221">
        <f>0+táj.2!N193</f>
        <v>0</v>
      </c>
      <c r="O193" s="221">
        <f>0+táj.2!O193</f>
        <v>0</v>
      </c>
      <c r="P193" s="221">
        <f>0+táj.2!P193</f>
        <v>0</v>
      </c>
      <c r="Q193" s="293">
        <f t="shared" si="11"/>
        <v>0</v>
      </c>
    </row>
    <row r="194" spans="1:17" ht="18.75" customHeight="1" x14ac:dyDescent="0.2">
      <c r="A194" s="229"/>
      <c r="B194" s="229"/>
      <c r="C194" s="299" t="s">
        <v>657</v>
      </c>
      <c r="D194" s="300" t="s">
        <v>1363</v>
      </c>
      <c r="E194" s="230"/>
      <c r="F194" s="170">
        <v>134930</v>
      </c>
      <c r="G194" s="221">
        <f>0+táj.2!G194</f>
        <v>0</v>
      </c>
      <c r="H194" s="221">
        <f>0+táj.2!H194</f>
        <v>0</v>
      </c>
      <c r="I194" s="221">
        <f>0+táj.2!I194</f>
        <v>0</v>
      </c>
      <c r="J194" s="221">
        <f>0+táj.2!J194</f>
        <v>0</v>
      </c>
      <c r="K194" s="221">
        <f>0+táj.2!K194</f>
        <v>0</v>
      </c>
      <c r="L194" s="221">
        <f>0+táj.2!L194</f>
        <v>0</v>
      </c>
      <c r="M194" s="221">
        <f>0+táj.2!M194</f>
        <v>0</v>
      </c>
      <c r="N194" s="221">
        <f>0+táj.2!N194</f>
        <v>0</v>
      </c>
      <c r="O194" s="221">
        <f>0+táj.2!O194</f>
        <v>0</v>
      </c>
      <c r="P194" s="221">
        <f>0+táj.2!P194</f>
        <v>0</v>
      </c>
      <c r="Q194" s="293">
        <f t="shared" si="11"/>
        <v>0</v>
      </c>
    </row>
    <row r="195" spans="1:17" ht="27" customHeight="1" x14ac:dyDescent="0.2">
      <c r="A195" s="229"/>
      <c r="B195" s="229"/>
      <c r="C195" s="299" t="s">
        <v>658</v>
      </c>
      <c r="D195" s="300" t="s">
        <v>1377</v>
      </c>
      <c r="E195" s="230"/>
      <c r="F195" s="170">
        <v>132933</v>
      </c>
      <c r="G195" s="221">
        <f>0+táj.2!G195</f>
        <v>0</v>
      </c>
      <c r="H195" s="221">
        <f>0+táj.2!H195</f>
        <v>0</v>
      </c>
      <c r="I195" s="221">
        <f>0+táj.2!I195</f>
        <v>0</v>
      </c>
      <c r="J195" s="221">
        <f>0+táj.2!J195</f>
        <v>0</v>
      </c>
      <c r="K195" s="221">
        <f>0+táj.2!K195</f>
        <v>0</v>
      </c>
      <c r="L195" s="221">
        <f>1200+táj.2!L195</f>
        <v>1200</v>
      </c>
      <c r="M195" s="221">
        <f>0+táj.2!M195</f>
        <v>0</v>
      </c>
      <c r="N195" s="221">
        <f>0+táj.2!N195</f>
        <v>0</v>
      </c>
      <c r="O195" s="221">
        <f>0+táj.2!O195</f>
        <v>0</v>
      </c>
      <c r="P195" s="221">
        <f>0+táj.2!P195</f>
        <v>0</v>
      </c>
      <c r="Q195" s="293">
        <f t="shared" si="11"/>
        <v>1200</v>
      </c>
    </row>
    <row r="196" spans="1:17" ht="15" customHeight="1" x14ac:dyDescent="0.2">
      <c r="A196" s="229"/>
      <c r="B196" s="229"/>
      <c r="C196" s="301" t="s">
        <v>659</v>
      </c>
      <c r="D196" s="302" t="s">
        <v>660</v>
      </c>
      <c r="E196" s="230"/>
      <c r="F196" s="170"/>
      <c r="G196" s="221"/>
      <c r="H196" s="221"/>
      <c r="I196" s="221"/>
      <c r="J196" s="221"/>
      <c r="K196" s="221"/>
      <c r="L196" s="221"/>
      <c r="M196" s="221"/>
      <c r="N196" s="221"/>
      <c r="O196" s="221"/>
      <c r="P196" s="221"/>
      <c r="Q196" s="293"/>
    </row>
    <row r="197" spans="1:17" ht="22.5" customHeight="1" x14ac:dyDescent="0.2">
      <c r="A197" s="229"/>
      <c r="B197" s="229"/>
      <c r="C197" s="303" t="s">
        <v>661</v>
      </c>
      <c r="D197" s="245" t="s">
        <v>662</v>
      </c>
      <c r="E197" s="232"/>
      <c r="F197" s="170">
        <v>132992</v>
      </c>
      <c r="G197" s="221">
        <f>0+táj.2!G197</f>
        <v>0</v>
      </c>
      <c r="H197" s="221">
        <f>0+táj.2!H197</f>
        <v>0</v>
      </c>
      <c r="I197" s="221">
        <f>0+táj.2!I197</f>
        <v>0</v>
      </c>
      <c r="J197" s="221">
        <f>0+táj.2!J197</f>
        <v>0</v>
      </c>
      <c r="K197" s="221">
        <f>0+táj.2!K197</f>
        <v>0</v>
      </c>
      <c r="L197" s="221">
        <f>0+táj.2!L197</f>
        <v>0</v>
      </c>
      <c r="M197" s="221">
        <f>0+táj.2!M197</f>
        <v>0</v>
      </c>
      <c r="N197" s="221">
        <f>200+táj.2!N197</f>
        <v>200</v>
      </c>
      <c r="O197" s="221">
        <f>0+táj.2!O197</f>
        <v>0</v>
      </c>
      <c r="P197" s="221">
        <f>0+táj.2!P197</f>
        <v>0</v>
      </c>
      <c r="Q197" s="293">
        <f>SUM(M197:P197)</f>
        <v>200</v>
      </c>
    </row>
    <row r="198" spans="1:17" ht="15" customHeight="1" x14ac:dyDescent="0.2">
      <c r="A198" s="229"/>
      <c r="B198" s="229"/>
      <c r="C198" s="304" t="s">
        <v>124</v>
      </c>
      <c r="D198" s="288" t="s">
        <v>517</v>
      </c>
      <c r="E198" s="232"/>
      <c r="F198" s="170"/>
      <c r="G198" s="221"/>
      <c r="H198" s="221"/>
      <c r="I198" s="221"/>
      <c r="J198" s="221"/>
      <c r="K198" s="221"/>
      <c r="L198" s="221"/>
      <c r="M198" s="221"/>
      <c r="N198" s="221"/>
      <c r="O198" s="221"/>
      <c r="P198" s="221"/>
      <c r="Q198" s="293"/>
    </row>
    <row r="199" spans="1:17" ht="24" customHeight="1" x14ac:dyDescent="0.2">
      <c r="A199" s="229"/>
      <c r="B199" s="229"/>
      <c r="C199" s="217" t="s">
        <v>663</v>
      </c>
      <c r="D199" s="245" t="s">
        <v>664</v>
      </c>
      <c r="E199" s="232"/>
      <c r="F199" s="170">
        <v>132909</v>
      </c>
      <c r="G199" s="221">
        <f>0+táj.2!G199</f>
        <v>0</v>
      </c>
      <c r="H199" s="221">
        <f>0+táj.2!H199</f>
        <v>0</v>
      </c>
      <c r="I199" s="221">
        <f>0+táj.2!I199</f>
        <v>0</v>
      </c>
      <c r="J199" s="221">
        <f>0+táj.2!J199</f>
        <v>0</v>
      </c>
      <c r="K199" s="221">
        <f>0+táj.2!K199</f>
        <v>0</v>
      </c>
      <c r="L199" s="221">
        <f>0+táj.2!L199</f>
        <v>0</v>
      </c>
      <c r="M199" s="221">
        <f>0+táj.2!M199</f>
        <v>0</v>
      </c>
      <c r="N199" s="221">
        <f>0+táj.2!N199</f>
        <v>0</v>
      </c>
      <c r="O199" s="221">
        <f>0+táj.2!O199</f>
        <v>0</v>
      </c>
      <c r="P199" s="221">
        <f>0+táj.2!P199</f>
        <v>0</v>
      </c>
      <c r="Q199" s="293">
        <f>SUM(G199:P199)</f>
        <v>0</v>
      </c>
    </row>
    <row r="200" spans="1:17" ht="17.25" customHeight="1" x14ac:dyDescent="0.2">
      <c r="A200" s="229"/>
      <c r="B200" s="229"/>
      <c r="C200" s="217" t="s">
        <v>665</v>
      </c>
      <c r="D200" s="245" t="s">
        <v>666</v>
      </c>
      <c r="E200" s="232"/>
      <c r="F200" s="170">
        <v>132921</v>
      </c>
      <c r="G200" s="221">
        <f>0+táj.2!G200</f>
        <v>0</v>
      </c>
      <c r="H200" s="221">
        <f>0+táj.2!H200</f>
        <v>0</v>
      </c>
      <c r="I200" s="221">
        <f>0+táj.2!I200</f>
        <v>0</v>
      </c>
      <c r="J200" s="221">
        <f>0+táj.2!J200</f>
        <v>0</v>
      </c>
      <c r="K200" s="221">
        <f>0+táj.2!K200</f>
        <v>0</v>
      </c>
      <c r="L200" s="221">
        <f>700+táj.2!L200</f>
        <v>0</v>
      </c>
      <c r="M200" s="221">
        <f>0+táj.2!M200</f>
        <v>0</v>
      </c>
      <c r="N200" s="221">
        <f>0+táj.2!N200</f>
        <v>0</v>
      </c>
      <c r="O200" s="221">
        <f>0+táj.2!O200</f>
        <v>0</v>
      </c>
      <c r="P200" s="221">
        <f>0+táj.2!P200</f>
        <v>0</v>
      </c>
      <c r="Q200" s="293">
        <f>SUM(G200:P200)</f>
        <v>0</v>
      </c>
    </row>
    <row r="201" spans="1:17" ht="17.25" customHeight="1" x14ac:dyDescent="0.2">
      <c r="A201" s="229"/>
      <c r="B201" s="229"/>
      <c r="C201" s="217" t="s">
        <v>1372</v>
      </c>
      <c r="D201" s="314" t="s">
        <v>1385</v>
      </c>
      <c r="E201" s="232"/>
      <c r="F201" s="170">
        <v>134932</v>
      </c>
      <c r="G201" s="221">
        <f>0+táj.2!G201</f>
        <v>0</v>
      </c>
      <c r="H201" s="221">
        <f>0+táj.2!H201</f>
        <v>0</v>
      </c>
      <c r="I201" s="221">
        <f>11000+táj.2!I201</f>
        <v>11700</v>
      </c>
      <c r="J201" s="221">
        <f>0+táj.2!J201</f>
        <v>0</v>
      </c>
      <c r="K201" s="221">
        <f>0+táj.2!K201</f>
        <v>0</v>
      </c>
      <c r="L201" s="221">
        <f>0+táj.2!L201</f>
        <v>0</v>
      </c>
      <c r="M201" s="221">
        <f>0+táj.2!M201</f>
        <v>0</v>
      </c>
      <c r="N201" s="221">
        <f>0+táj.2!N201</f>
        <v>0</v>
      </c>
      <c r="O201" s="221">
        <f>0+táj.2!O201</f>
        <v>0</v>
      </c>
      <c r="P201" s="221">
        <f>0+táj.2!P201</f>
        <v>0</v>
      </c>
      <c r="Q201" s="293">
        <f>SUM(G201:P201)</f>
        <v>11700</v>
      </c>
    </row>
    <row r="202" spans="1:17" ht="17.25" customHeight="1" x14ac:dyDescent="0.2">
      <c r="A202" s="849"/>
      <c r="B202" s="849"/>
      <c r="C202" s="853" t="s">
        <v>1474</v>
      </c>
      <c r="D202" s="854" t="s">
        <v>1475</v>
      </c>
      <c r="E202" s="855"/>
      <c r="F202" s="858">
        <v>132922</v>
      </c>
      <c r="G202" s="221">
        <f>0+táj.2!G202</f>
        <v>0</v>
      </c>
      <c r="H202" s="221">
        <f>0+táj.2!H202</f>
        <v>0</v>
      </c>
      <c r="I202" s="221">
        <f>0+táj.2!I202</f>
        <v>0</v>
      </c>
      <c r="J202" s="221">
        <f>0+táj.2!J202</f>
        <v>0</v>
      </c>
      <c r="K202" s="221">
        <f>0+táj.2!K202</f>
        <v>0</v>
      </c>
      <c r="L202" s="221">
        <f>0+táj.2!L202</f>
        <v>871</v>
      </c>
      <c r="M202" s="221">
        <f>0+táj.2!M202</f>
        <v>0</v>
      </c>
      <c r="N202" s="221">
        <f>0+táj.2!N202</f>
        <v>0</v>
      </c>
      <c r="O202" s="221">
        <f>0+táj.2!O202</f>
        <v>0</v>
      </c>
      <c r="P202" s="221">
        <f>0+táj.2!P202</f>
        <v>0</v>
      </c>
      <c r="Q202" s="293">
        <f>SUM(G202:P202)</f>
        <v>871</v>
      </c>
    </row>
    <row r="203" spans="1:17" ht="15" customHeight="1" x14ac:dyDescent="0.2">
      <c r="A203" s="229"/>
      <c r="B203" s="229"/>
      <c r="C203" s="306" t="s">
        <v>126</v>
      </c>
      <c r="D203" s="288" t="s">
        <v>667</v>
      </c>
      <c r="E203" s="230"/>
      <c r="F203" s="170"/>
      <c r="G203" s="221"/>
      <c r="H203" s="221"/>
      <c r="I203" s="221"/>
      <c r="J203" s="221"/>
      <c r="K203" s="221"/>
      <c r="L203" s="221"/>
      <c r="M203" s="221"/>
      <c r="N203" s="221"/>
      <c r="O203" s="221"/>
      <c r="P203" s="221"/>
      <c r="Q203" s="293"/>
    </row>
    <row r="204" spans="1:17" ht="15" customHeight="1" x14ac:dyDescent="0.2">
      <c r="A204" s="229"/>
      <c r="B204" s="229"/>
      <c r="C204" s="303" t="s">
        <v>668</v>
      </c>
      <c r="D204" s="245" t="s">
        <v>1386</v>
      </c>
      <c r="E204" s="230"/>
      <c r="F204" s="170">
        <v>134999</v>
      </c>
      <c r="G204" s="221">
        <f>0+táj.2!G204</f>
        <v>0</v>
      </c>
      <c r="H204" s="221">
        <f>0+táj.2!H204</f>
        <v>0</v>
      </c>
      <c r="I204" s="221">
        <f>0+táj.2!I204</f>
        <v>0</v>
      </c>
      <c r="J204" s="221">
        <f>0+táj.2!J204</f>
        <v>0</v>
      </c>
      <c r="K204" s="221">
        <f>0+táj.2!K204</f>
        <v>0</v>
      </c>
      <c r="L204" s="221">
        <f>0+táj.2!L204</f>
        <v>0</v>
      </c>
      <c r="M204" s="221">
        <f>0+táj.2!M204</f>
        <v>0</v>
      </c>
      <c r="N204" s="221">
        <f>500+táj.2!N204</f>
        <v>500</v>
      </c>
      <c r="O204" s="221">
        <f>0+táj.2!O204</f>
        <v>0</v>
      </c>
      <c r="P204" s="221">
        <f>0+táj.2!P204</f>
        <v>0</v>
      </c>
      <c r="Q204" s="293">
        <f t="shared" ref="Q204:Q211" si="12">SUM(G204:P204)</f>
        <v>500</v>
      </c>
    </row>
    <row r="205" spans="1:17" ht="15" customHeight="1" x14ac:dyDescent="0.2">
      <c r="A205" s="229"/>
      <c r="B205" s="229"/>
      <c r="C205" s="303" t="s">
        <v>669</v>
      </c>
      <c r="D205" s="245" t="s">
        <v>670</v>
      </c>
      <c r="E205" s="230"/>
      <c r="F205" s="170">
        <v>134926</v>
      </c>
      <c r="G205" s="221">
        <f>0+táj.2!G205</f>
        <v>0</v>
      </c>
      <c r="H205" s="221">
        <f>0+táj.2!H205</f>
        <v>0</v>
      </c>
      <c r="I205" s="221">
        <f>0+táj.2!I205</f>
        <v>0</v>
      </c>
      <c r="J205" s="221">
        <f>0+táj.2!J205</f>
        <v>0</v>
      </c>
      <c r="K205" s="221">
        <f>0+táj.2!K205</f>
        <v>0</v>
      </c>
      <c r="L205" s="221">
        <f>0+táj.2!L205</f>
        <v>0</v>
      </c>
      <c r="M205" s="221">
        <f>0+táj.2!M205</f>
        <v>0</v>
      </c>
      <c r="N205" s="221">
        <f>1000+táj.2!N205</f>
        <v>1000</v>
      </c>
      <c r="O205" s="221">
        <f>0+táj.2!O205</f>
        <v>0</v>
      </c>
      <c r="P205" s="221">
        <f>0+táj.2!P205</f>
        <v>0</v>
      </c>
      <c r="Q205" s="293">
        <f t="shared" si="12"/>
        <v>1000</v>
      </c>
    </row>
    <row r="206" spans="1:17" ht="25.5" x14ac:dyDescent="0.2">
      <c r="A206" s="229"/>
      <c r="B206" s="229"/>
      <c r="C206" s="303" t="s">
        <v>830</v>
      </c>
      <c r="D206" s="379" t="s">
        <v>671</v>
      </c>
      <c r="E206" s="230"/>
      <c r="F206" s="170">
        <v>134933</v>
      </c>
      <c r="G206" s="221">
        <f>0+táj.2!G206</f>
        <v>0</v>
      </c>
      <c r="H206" s="221">
        <f>0+táj.2!H206</f>
        <v>0</v>
      </c>
      <c r="I206" s="221">
        <f>3800+táj.2!I206</f>
        <v>3800</v>
      </c>
      <c r="J206" s="221">
        <f>0+táj.2!J206</f>
        <v>0</v>
      </c>
      <c r="K206" s="221">
        <f>0+táj.2!K206</f>
        <v>0</v>
      </c>
      <c r="L206" s="221">
        <f>0+táj.2!L206</f>
        <v>0</v>
      </c>
      <c r="M206" s="221">
        <f>0+táj.2!M206</f>
        <v>0</v>
      </c>
      <c r="N206" s="221">
        <f>0+táj.2!N206</f>
        <v>0</v>
      </c>
      <c r="O206" s="221">
        <f>0+táj.2!O206</f>
        <v>0</v>
      </c>
      <c r="P206" s="221">
        <f>0+táj.2!P206</f>
        <v>0</v>
      </c>
      <c r="Q206" s="293">
        <f t="shared" si="12"/>
        <v>3800</v>
      </c>
    </row>
    <row r="207" spans="1:17" ht="12.75" x14ac:dyDescent="0.2">
      <c r="A207" s="229"/>
      <c r="B207" s="229"/>
      <c r="C207" s="604" t="s">
        <v>832</v>
      </c>
      <c r="D207" s="379" t="s">
        <v>1365</v>
      </c>
      <c r="E207" s="230"/>
      <c r="F207" s="170">
        <v>134936</v>
      </c>
      <c r="G207" s="221">
        <f>0+táj.2!G207</f>
        <v>0</v>
      </c>
      <c r="H207" s="221">
        <f>0+táj.2!H207</f>
        <v>0</v>
      </c>
      <c r="I207" s="221">
        <f>0+táj.2!I207</f>
        <v>0</v>
      </c>
      <c r="J207" s="221">
        <f>0+táj.2!J207</f>
        <v>0</v>
      </c>
      <c r="K207" s="221">
        <f>0+táj.2!K207</f>
        <v>0</v>
      </c>
      <c r="L207" s="221">
        <f>0+táj.2!L207</f>
        <v>0</v>
      </c>
      <c r="M207" s="221">
        <f>4703+táj.2!M207</f>
        <v>4703</v>
      </c>
      <c r="N207" s="221">
        <f>0+táj.2!N207</f>
        <v>0</v>
      </c>
      <c r="O207" s="221">
        <f>0+táj.2!O207</f>
        <v>0</v>
      </c>
      <c r="P207" s="221">
        <f>0+táj.2!P207</f>
        <v>0</v>
      </c>
      <c r="Q207" s="293">
        <f t="shared" si="12"/>
        <v>4703</v>
      </c>
    </row>
    <row r="208" spans="1:17" ht="25.5" x14ac:dyDescent="0.2">
      <c r="A208" s="715"/>
      <c r="B208" s="715"/>
      <c r="C208" s="305" t="s">
        <v>1421</v>
      </c>
      <c r="D208" s="723" t="s">
        <v>1422</v>
      </c>
      <c r="E208" s="724"/>
      <c r="F208" s="712">
        <v>134924</v>
      </c>
      <c r="G208" s="221">
        <f>0+táj.2!G208</f>
        <v>0</v>
      </c>
      <c r="H208" s="221">
        <f>0+táj.2!H208</f>
        <v>0</v>
      </c>
      <c r="I208" s="221">
        <f>0+táj.2!I208</f>
        <v>0</v>
      </c>
      <c r="J208" s="221">
        <f>0+táj.2!J208</f>
        <v>0</v>
      </c>
      <c r="K208" s="221">
        <f>0+táj.2!K208</f>
        <v>0</v>
      </c>
      <c r="L208" s="221">
        <f>0+táj.2!L208</f>
        <v>0</v>
      </c>
      <c r="M208" s="221">
        <f>1799+táj.2!M208</f>
        <v>1799</v>
      </c>
      <c r="N208" s="221">
        <f>0+táj.2!N208</f>
        <v>0</v>
      </c>
      <c r="O208" s="221">
        <f>0+táj.2!O208</f>
        <v>0</v>
      </c>
      <c r="P208" s="221">
        <f>0+táj.2!P208</f>
        <v>0</v>
      </c>
      <c r="Q208" s="293">
        <f t="shared" si="12"/>
        <v>1799</v>
      </c>
    </row>
    <row r="209" spans="1:17" ht="13.5" x14ac:dyDescent="0.2">
      <c r="A209" s="597"/>
      <c r="B209" s="597"/>
      <c r="C209" s="229" t="s">
        <v>127</v>
      </c>
      <c r="D209" s="603" t="s">
        <v>1373</v>
      </c>
      <c r="E209" s="599"/>
      <c r="F209" s="600"/>
      <c r="G209" s="221"/>
      <c r="H209" s="221"/>
      <c r="I209" s="221"/>
      <c r="J209" s="221"/>
      <c r="K209" s="221"/>
      <c r="L209" s="221"/>
      <c r="M209" s="221"/>
      <c r="N209" s="221"/>
      <c r="O209" s="221"/>
      <c r="P209" s="221"/>
      <c r="Q209" s="293">
        <f t="shared" si="12"/>
        <v>0</v>
      </c>
    </row>
    <row r="210" spans="1:17" ht="25.5" x14ac:dyDescent="0.2">
      <c r="A210" s="597"/>
      <c r="B210" s="597"/>
      <c r="C210" s="197" t="s">
        <v>847</v>
      </c>
      <c r="D210" s="598" t="s">
        <v>1374</v>
      </c>
      <c r="E210" s="599"/>
      <c r="F210" s="606">
        <v>132924</v>
      </c>
      <c r="G210" s="221">
        <f>0+táj.2!G210</f>
        <v>0</v>
      </c>
      <c r="H210" s="221">
        <f>0+táj.2!H210</f>
        <v>0</v>
      </c>
      <c r="I210" s="221">
        <f>0+táj.2!I210</f>
        <v>0</v>
      </c>
      <c r="J210" s="221">
        <f>0+táj.2!J210</f>
        <v>0</v>
      </c>
      <c r="K210" s="221">
        <f>0+táj.2!K210</f>
        <v>0</v>
      </c>
      <c r="L210" s="221">
        <f>0+táj.2!L210</f>
        <v>0</v>
      </c>
      <c r="M210" s="221">
        <f>0+táj.2!M210</f>
        <v>0</v>
      </c>
      <c r="N210" s="221">
        <f>1500+táj.2!N210</f>
        <v>1500</v>
      </c>
      <c r="O210" s="221">
        <f>0+táj.2!O210</f>
        <v>0</v>
      </c>
      <c r="P210" s="221">
        <f>0+táj.2!P210</f>
        <v>0</v>
      </c>
      <c r="Q210" s="293">
        <f t="shared" si="12"/>
        <v>1500</v>
      </c>
    </row>
    <row r="211" spans="1:17" ht="12.75" x14ac:dyDescent="0.2">
      <c r="A211" s="849"/>
      <c r="B211" s="849"/>
      <c r="C211" s="859" t="s">
        <v>1476</v>
      </c>
      <c r="D211" s="860" t="s">
        <v>1477</v>
      </c>
      <c r="E211" s="861"/>
      <c r="F211" s="858">
        <v>132923</v>
      </c>
      <c r="G211" s="221">
        <f>0+táj.2!G211</f>
        <v>0</v>
      </c>
      <c r="H211" s="221">
        <f>0+táj.2!H211</f>
        <v>0</v>
      </c>
      <c r="I211" s="221">
        <f>0+táj.2!I211</f>
        <v>0</v>
      </c>
      <c r="J211" s="221">
        <f>0+táj.2!J211</f>
        <v>0</v>
      </c>
      <c r="K211" s="221">
        <f>0+táj.2!K211</f>
        <v>0</v>
      </c>
      <c r="L211" s="221">
        <f>0+táj.2!L211</f>
        <v>0</v>
      </c>
      <c r="M211" s="221">
        <f>0+táj.2!M211</f>
        <v>0</v>
      </c>
      <c r="N211" s="221">
        <f>0+táj.2!N211</f>
        <v>2000</v>
      </c>
      <c r="O211" s="221">
        <f>0+táj.2!O211</f>
        <v>0</v>
      </c>
      <c r="P211" s="221">
        <f>0+táj.2!P211</f>
        <v>0</v>
      </c>
      <c r="Q211" s="293">
        <f t="shared" si="12"/>
        <v>2000</v>
      </c>
    </row>
    <row r="212" spans="1:17" ht="15" customHeight="1" x14ac:dyDescent="0.2">
      <c r="A212" s="229"/>
      <c r="B212" s="229"/>
      <c r="C212" s="284" t="s">
        <v>114</v>
      </c>
      <c r="D212" s="307" t="s">
        <v>502</v>
      </c>
      <c r="E212" s="232"/>
      <c r="F212" s="233"/>
      <c r="G212" s="221"/>
      <c r="H212" s="221"/>
      <c r="I212" s="221"/>
      <c r="J212" s="221"/>
      <c r="K212" s="221"/>
      <c r="L212" s="221"/>
      <c r="M212" s="221"/>
      <c r="N212" s="221"/>
      <c r="O212" s="221"/>
      <c r="P212" s="221"/>
      <c r="Q212" s="293"/>
    </row>
    <row r="213" spans="1:17" ht="16.5" customHeight="1" x14ac:dyDescent="0.2">
      <c r="A213" s="229"/>
      <c r="B213" s="229"/>
      <c r="C213" s="217" t="s">
        <v>672</v>
      </c>
      <c r="D213" s="308" t="s">
        <v>673</v>
      </c>
      <c r="E213" s="230"/>
      <c r="F213" s="170">
        <v>132990</v>
      </c>
      <c r="G213" s="221">
        <f>0+táj.2!G213</f>
        <v>0</v>
      </c>
      <c r="H213" s="221">
        <f>0+táj.2!H213</f>
        <v>0</v>
      </c>
      <c r="I213" s="221">
        <f>0+táj.2!I213</f>
        <v>0</v>
      </c>
      <c r="J213" s="221">
        <f>0+táj.2!J213</f>
        <v>0</v>
      </c>
      <c r="K213" s="221">
        <f>0+táj.2!K213</f>
        <v>0</v>
      </c>
      <c r="L213" s="221">
        <f>+táj.2!L213</f>
        <v>0</v>
      </c>
      <c r="M213" s="221">
        <f>0+táj.2!M213</f>
        <v>0</v>
      </c>
      <c r="N213" s="221">
        <f>0+táj.2!N213</f>
        <v>0</v>
      </c>
      <c r="O213" s="221">
        <f>0+táj.2!O213</f>
        <v>0</v>
      </c>
      <c r="P213" s="221">
        <f>0+táj.2!P213</f>
        <v>0</v>
      </c>
      <c r="Q213" s="293">
        <f t="shared" ref="Q213:Q221" si="13">SUM(G213:P213)</f>
        <v>0</v>
      </c>
    </row>
    <row r="214" spans="1:17" ht="15.75" customHeight="1" x14ac:dyDescent="0.2">
      <c r="A214" s="229"/>
      <c r="B214" s="229"/>
      <c r="C214" s="217" t="s">
        <v>674</v>
      </c>
      <c r="D214" s="245" t="s">
        <v>675</v>
      </c>
      <c r="E214" s="310"/>
      <c r="F214" s="170">
        <v>132927</v>
      </c>
      <c r="G214" s="221">
        <f>0+táj.2!G214</f>
        <v>0</v>
      </c>
      <c r="H214" s="221">
        <f>0+táj.2!H214</f>
        <v>0</v>
      </c>
      <c r="I214" s="221">
        <f>0+táj.2!I214</f>
        <v>0</v>
      </c>
      <c r="J214" s="221">
        <f>0+táj.2!J214</f>
        <v>0</v>
      </c>
      <c r="K214" s="221">
        <f>0+táj.2!K214</f>
        <v>0</v>
      </c>
      <c r="L214" s="221">
        <f>0+táj.2!L214</f>
        <v>0</v>
      </c>
      <c r="M214" s="221">
        <f>371+táj.2!M214</f>
        <v>371</v>
      </c>
      <c r="N214" s="221">
        <f>0+táj.2!N214</f>
        <v>0</v>
      </c>
      <c r="O214" s="221">
        <f>0+táj.2!O214</f>
        <v>0</v>
      </c>
      <c r="P214" s="221">
        <f>0+táj.2!P214</f>
        <v>0</v>
      </c>
      <c r="Q214" s="293">
        <f t="shared" si="13"/>
        <v>371</v>
      </c>
    </row>
    <row r="215" spans="1:17" ht="27.75" customHeight="1" x14ac:dyDescent="0.2">
      <c r="A215" s="229"/>
      <c r="B215" s="229"/>
      <c r="C215" s="217" t="s">
        <v>676</v>
      </c>
      <c r="D215" s="615" t="s">
        <v>677</v>
      </c>
      <c r="E215" s="311"/>
      <c r="F215" s="170">
        <v>132915</v>
      </c>
      <c r="G215" s="221">
        <f>0+táj.2!G215</f>
        <v>0</v>
      </c>
      <c r="H215" s="221">
        <f>0+táj.2!H215</f>
        <v>0</v>
      </c>
      <c r="I215" s="221">
        <f>0+táj.2!I215</f>
        <v>0</v>
      </c>
      <c r="J215" s="221">
        <f>0+táj.2!J215</f>
        <v>0</v>
      </c>
      <c r="K215" s="221">
        <f>0+táj.2!K215</f>
        <v>0</v>
      </c>
      <c r="L215" s="221">
        <f>0+táj.2!L215</f>
        <v>0</v>
      </c>
      <c r="M215" s="221">
        <f>0+táj.2!M215</f>
        <v>0</v>
      </c>
      <c r="N215" s="221">
        <f>0+táj.2!N215</f>
        <v>0</v>
      </c>
      <c r="O215" s="221">
        <f>0+táj.2!O215</f>
        <v>0</v>
      </c>
      <c r="P215" s="221">
        <f>0+táj.2!P215</f>
        <v>0</v>
      </c>
      <c r="Q215" s="293">
        <f t="shared" si="13"/>
        <v>0</v>
      </c>
    </row>
    <row r="216" spans="1:17" ht="26.25" customHeight="1" x14ac:dyDescent="0.2">
      <c r="A216" s="229"/>
      <c r="B216" s="229"/>
      <c r="C216" s="217" t="s">
        <v>678</v>
      </c>
      <c r="D216" s="245" t="s">
        <v>679</v>
      </c>
      <c r="E216" s="232"/>
      <c r="F216" s="170">
        <v>134910</v>
      </c>
      <c r="G216" s="221">
        <f>0+táj.2!G216</f>
        <v>0</v>
      </c>
      <c r="H216" s="221">
        <f>0+táj.2!H216</f>
        <v>0</v>
      </c>
      <c r="I216" s="221">
        <f>0+táj.2!I216</f>
        <v>0</v>
      </c>
      <c r="J216" s="221">
        <f>0+táj.2!J216</f>
        <v>0</v>
      </c>
      <c r="K216" s="221">
        <f>0+táj.2!K216</f>
        <v>0</v>
      </c>
      <c r="L216" s="221">
        <f>0+táj.2!L216</f>
        <v>0</v>
      </c>
      <c r="M216" s="221">
        <f>3620+táj.2!M216</f>
        <v>3620</v>
      </c>
      <c r="N216" s="221">
        <f>0+táj.2!N216</f>
        <v>0</v>
      </c>
      <c r="O216" s="221">
        <f>0+táj.2!O216</f>
        <v>0</v>
      </c>
      <c r="P216" s="221">
        <f>0+táj.2!P216</f>
        <v>0</v>
      </c>
      <c r="Q216" s="293">
        <f t="shared" si="13"/>
        <v>3620</v>
      </c>
    </row>
    <row r="217" spans="1:17" ht="14.25" customHeight="1" x14ac:dyDescent="0.2">
      <c r="A217" s="229"/>
      <c r="B217" s="229"/>
      <c r="C217" s="217" t="s">
        <v>680</v>
      </c>
      <c r="D217" s="245" t="s">
        <v>681</v>
      </c>
      <c r="E217" s="311"/>
      <c r="F217" s="170">
        <v>134923</v>
      </c>
      <c r="G217" s="221">
        <f>0+táj.2!G217</f>
        <v>0</v>
      </c>
      <c r="H217" s="221">
        <f>0+táj.2!H217</f>
        <v>0</v>
      </c>
      <c r="I217" s="221">
        <f>0+táj.2!I217</f>
        <v>0</v>
      </c>
      <c r="J217" s="221">
        <f>0+táj.2!J217</f>
        <v>0</v>
      </c>
      <c r="K217" s="221">
        <f>0+táj.2!K217</f>
        <v>0</v>
      </c>
      <c r="L217" s="221">
        <f>0+táj.2!L217</f>
        <v>0</v>
      </c>
      <c r="M217" s="221">
        <f>2146+táj.2!M217</f>
        <v>2146</v>
      </c>
      <c r="N217" s="221">
        <f>0+táj.2!N217</f>
        <v>0</v>
      </c>
      <c r="O217" s="221">
        <f>0+táj.2!O217</f>
        <v>0</v>
      </c>
      <c r="P217" s="221">
        <f>0+táj.2!P217</f>
        <v>0</v>
      </c>
      <c r="Q217" s="293">
        <f t="shared" si="13"/>
        <v>2146</v>
      </c>
    </row>
    <row r="218" spans="1:17" ht="25.5" customHeight="1" x14ac:dyDescent="0.2">
      <c r="A218" s="229"/>
      <c r="B218" s="229"/>
      <c r="C218" s="217" t="s">
        <v>682</v>
      </c>
      <c r="D218" s="245" t="s">
        <v>683</v>
      </c>
      <c r="E218" s="310"/>
      <c r="F218" s="170">
        <v>134927</v>
      </c>
      <c r="G218" s="221">
        <f>0+táj.2!G218</f>
        <v>0</v>
      </c>
      <c r="H218" s="221">
        <f>0+táj.2!H218</f>
        <v>0</v>
      </c>
      <c r="I218" s="221">
        <f>0+táj.2!I218</f>
        <v>0</v>
      </c>
      <c r="J218" s="221">
        <f>0+táj.2!J218</f>
        <v>0</v>
      </c>
      <c r="K218" s="221">
        <f>0+táj.2!K218</f>
        <v>0</v>
      </c>
      <c r="L218" s="221">
        <f>0+táj.2!L218</f>
        <v>2125</v>
      </c>
      <c r="M218" s="221">
        <f>11160+táj.2!M218</f>
        <v>9035</v>
      </c>
      <c r="N218" s="221">
        <f>0+táj.2!N218</f>
        <v>0</v>
      </c>
      <c r="O218" s="221">
        <f>0+táj.2!O218</f>
        <v>0</v>
      </c>
      <c r="P218" s="221">
        <f>0+táj.2!P218</f>
        <v>0</v>
      </c>
      <c r="Q218" s="293">
        <f t="shared" si="13"/>
        <v>11160</v>
      </c>
    </row>
    <row r="219" spans="1:17" ht="18.75" customHeight="1" x14ac:dyDescent="0.2">
      <c r="A219" s="229"/>
      <c r="B219" s="229"/>
      <c r="C219" s="217" t="s">
        <v>684</v>
      </c>
      <c r="D219" s="312" t="s">
        <v>1449</v>
      </c>
      <c r="E219" s="313"/>
      <c r="F219" s="170">
        <v>134996</v>
      </c>
      <c r="G219" s="221">
        <f>0+táj.2!G219</f>
        <v>0</v>
      </c>
      <c r="H219" s="221">
        <f>0+táj.2!H219</f>
        <v>0</v>
      </c>
      <c r="I219" s="221">
        <f>0+táj.2!I219</f>
        <v>0</v>
      </c>
      <c r="J219" s="221">
        <f>0+táj.2!J219</f>
        <v>0</v>
      </c>
      <c r="K219" s="221">
        <f>0+táj.2!K219</f>
        <v>0</v>
      </c>
      <c r="L219" s="221">
        <f>0+táj.2!L219</f>
        <v>0</v>
      </c>
      <c r="M219" s="221">
        <f>200+táj.2!M219</f>
        <v>429</v>
      </c>
      <c r="N219" s="221">
        <f>0+táj.2!N219</f>
        <v>0</v>
      </c>
      <c r="O219" s="221">
        <f>0+táj.2!O219</f>
        <v>0</v>
      </c>
      <c r="P219" s="221">
        <f>0+táj.2!P219</f>
        <v>0</v>
      </c>
      <c r="Q219" s="293">
        <f t="shared" si="13"/>
        <v>429</v>
      </c>
    </row>
    <row r="220" spans="1:17" ht="18" customHeight="1" x14ac:dyDescent="0.2">
      <c r="A220" s="229"/>
      <c r="B220" s="229"/>
      <c r="C220" s="217" t="s">
        <v>685</v>
      </c>
      <c r="D220" s="245" t="s">
        <v>686</v>
      </c>
      <c r="E220" s="311"/>
      <c r="F220" s="170">
        <v>132999</v>
      </c>
      <c r="G220" s="221">
        <f>0+táj.2!G220</f>
        <v>0</v>
      </c>
      <c r="H220" s="221">
        <f>0+táj.2!H220</f>
        <v>0</v>
      </c>
      <c r="I220" s="221">
        <f>0+táj.2!I220</f>
        <v>0</v>
      </c>
      <c r="J220" s="221">
        <f>0+táj.2!J220</f>
        <v>0</v>
      </c>
      <c r="K220" s="221">
        <f>0+táj.2!K220</f>
        <v>0</v>
      </c>
      <c r="L220" s="221">
        <f>100+táj.2!L220</f>
        <v>100</v>
      </c>
      <c r="M220" s="221">
        <f>0+táj.2!M220</f>
        <v>0</v>
      </c>
      <c r="N220" s="221">
        <f>0+táj.2!N220</f>
        <v>0</v>
      </c>
      <c r="O220" s="221">
        <f>0+táj.2!O220</f>
        <v>0</v>
      </c>
      <c r="P220" s="221">
        <f>0+táj.2!P220</f>
        <v>0</v>
      </c>
      <c r="Q220" s="293">
        <f t="shared" si="13"/>
        <v>100</v>
      </c>
    </row>
    <row r="221" spans="1:17" ht="18" customHeight="1" x14ac:dyDescent="0.2">
      <c r="A221" s="229"/>
      <c r="B221" s="229"/>
      <c r="C221" s="217" t="s">
        <v>687</v>
      </c>
      <c r="D221" s="245" t="s">
        <v>688</v>
      </c>
      <c r="E221" s="311"/>
      <c r="F221" s="170">
        <v>132926</v>
      </c>
      <c r="G221" s="221">
        <f>0+táj.2!G221</f>
        <v>0</v>
      </c>
      <c r="H221" s="221">
        <f>0+táj.2!H221</f>
        <v>0</v>
      </c>
      <c r="I221" s="221">
        <f>0+táj.2!I221</f>
        <v>0</v>
      </c>
      <c r="J221" s="221">
        <f>0+táj.2!J221</f>
        <v>0</v>
      </c>
      <c r="K221" s="221">
        <f>0+táj.2!K221</f>
        <v>0</v>
      </c>
      <c r="L221" s="221">
        <f>0+táj.2!L221</f>
        <v>0</v>
      </c>
      <c r="M221" s="221">
        <f>0+táj.2!M221</f>
        <v>0</v>
      </c>
      <c r="N221" s="221">
        <f>0+táj.2!N221</f>
        <v>0</v>
      </c>
      <c r="O221" s="221">
        <f>0+táj.2!O221</f>
        <v>0</v>
      </c>
      <c r="P221" s="221">
        <f>0+táj.2!P221</f>
        <v>0</v>
      </c>
      <c r="Q221" s="293">
        <f t="shared" si="13"/>
        <v>0</v>
      </c>
    </row>
    <row r="222" spans="1:17" ht="18.75" customHeight="1" x14ac:dyDescent="0.2">
      <c r="A222" s="223"/>
      <c r="B222" s="223"/>
      <c r="C222" s="224"/>
      <c r="D222" s="182" t="s">
        <v>341</v>
      </c>
      <c r="E222" s="226"/>
      <c r="F222" s="227"/>
      <c r="G222" s="283">
        <f t="shared" ref="G222:Q222" si="14">SUM(G171:G221)</f>
        <v>3891</v>
      </c>
      <c r="H222" s="283">
        <f t="shared" si="14"/>
        <v>1424</v>
      </c>
      <c r="I222" s="283">
        <f t="shared" si="14"/>
        <v>108687</v>
      </c>
      <c r="J222" s="283">
        <f t="shared" si="14"/>
        <v>5100</v>
      </c>
      <c r="K222" s="283">
        <f t="shared" si="14"/>
        <v>906457</v>
      </c>
      <c r="L222" s="283">
        <f t="shared" si="14"/>
        <v>9293</v>
      </c>
      <c r="M222" s="283">
        <f t="shared" si="14"/>
        <v>24376</v>
      </c>
      <c r="N222" s="283">
        <f t="shared" si="14"/>
        <v>14120</v>
      </c>
      <c r="O222" s="283">
        <f t="shared" si="14"/>
        <v>0</v>
      </c>
      <c r="P222" s="283">
        <f t="shared" si="14"/>
        <v>0</v>
      </c>
      <c r="Q222" s="283">
        <f t="shared" si="14"/>
        <v>1073348</v>
      </c>
    </row>
    <row r="223" spans="1:17" ht="12.95" customHeight="1" x14ac:dyDescent="0.2">
      <c r="A223" s="229">
        <v>1</v>
      </c>
      <c r="B223" s="229">
        <v>14</v>
      </c>
      <c r="C223" s="284"/>
      <c r="D223" s="307" t="s">
        <v>238</v>
      </c>
      <c r="E223" s="232"/>
      <c r="F223" s="233"/>
      <c r="G223" s="233"/>
      <c r="H223" s="202"/>
      <c r="I223" s="202"/>
      <c r="J223" s="202"/>
      <c r="K223" s="202"/>
      <c r="L223" s="202"/>
      <c r="M223" s="233"/>
      <c r="N223" s="233"/>
      <c r="O223" s="233"/>
      <c r="P223" s="233"/>
      <c r="Q223" s="233"/>
    </row>
    <row r="224" spans="1:17" ht="12.95" customHeight="1" x14ac:dyDescent="0.2">
      <c r="A224" s="229"/>
      <c r="B224" s="229"/>
      <c r="C224" s="284"/>
      <c r="D224" s="177" t="s">
        <v>342</v>
      </c>
      <c r="E224" s="232"/>
      <c r="F224" s="233"/>
      <c r="G224" s="233"/>
      <c r="H224" s="202"/>
      <c r="I224" s="202"/>
      <c r="J224" s="202"/>
      <c r="K224" s="202"/>
      <c r="L224" s="202"/>
      <c r="M224" s="233"/>
      <c r="N224" s="233"/>
      <c r="O224" s="233"/>
      <c r="P224" s="233"/>
      <c r="Q224" s="233"/>
    </row>
    <row r="225" spans="1:17" ht="12.95" customHeight="1" x14ac:dyDescent="0.2">
      <c r="A225" s="229"/>
      <c r="B225" s="229"/>
      <c r="C225" s="284"/>
      <c r="D225" s="314" t="s">
        <v>689</v>
      </c>
      <c r="E225" s="170">
        <v>1</v>
      </c>
      <c r="F225" s="170">
        <v>171918</v>
      </c>
      <c r="G225" s="170">
        <f>0+táj.2!G225</f>
        <v>0</v>
      </c>
      <c r="H225" s="170">
        <f>0+táj.2!H225</f>
        <v>0</v>
      </c>
      <c r="I225" s="170">
        <f>1104+táj.2!I225</f>
        <v>1104</v>
      </c>
      <c r="J225" s="170">
        <f>0+táj.2!J225</f>
        <v>0</v>
      </c>
      <c r="K225" s="170">
        <f>0+táj.2!K225</f>
        <v>0</v>
      </c>
      <c r="L225" s="170">
        <f>0+táj.2!L225</f>
        <v>0</v>
      </c>
      <c r="M225" s="170">
        <f>0+táj.2!M225</f>
        <v>0</v>
      </c>
      <c r="N225" s="170">
        <f>0+táj.2!N225</f>
        <v>0</v>
      </c>
      <c r="O225" s="170">
        <f>0+táj.2!O225</f>
        <v>0</v>
      </c>
      <c r="P225" s="170">
        <f>0+táj.2!P225</f>
        <v>0</v>
      </c>
      <c r="Q225" s="170">
        <f>SUM(G225:P225)</f>
        <v>1104</v>
      </c>
    </row>
    <row r="226" spans="1:17" ht="30" customHeight="1" x14ac:dyDescent="0.2">
      <c r="A226" s="229"/>
      <c r="B226" s="229"/>
      <c r="C226" s="284"/>
      <c r="D226" s="172" t="s">
        <v>690</v>
      </c>
      <c r="E226" s="170">
        <v>1</v>
      </c>
      <c r="F226" s="170">
        <v>171922</v>
      </c>
      <c r="G226" s="170">
        <f>0+táj.2!G226</f>
        <v>0</v>
      </c>
      <c r="H226" s="170">
        <f>0+táj.2!H226</f>
        <v>0</v>
      </c>
      <c r="I226" s="170">
        <f>2422+táj.2!I226</f>
        <v>2422</v>
      </c>
      <c r="J226" s="170">
        <f>0+táj.2!J226</f>
        <v>0</v>
      </c>
      <c r="K226" s="170">
        <f>0+táj.2!K226</f>
        <v>0</v>
      </c>
      <c r="L226" s="170">
        <f>0+táj.2!L226</f>
        <v>0</v>
      </c>
      <c r="M226" s="170">
        <f>0+táj.2!M226</f>
        <v>0</v>
      </c>
      <c r="N226" s="170">
        <f>0+táj.2!N226</f>
        <v>0</v>
      </c>
      <c r="O226" s="170">
        <f>0+táj.2!O226</f>
        <v>0</v>
      </c>
      <c r="P226" s="170">
        <f>0+táj.2!P226</f>
        <v>0</v>
      </c>
      <c r="Q226" s="170">
        <f>SUM(G226:P226)</f>
        <v>2422</v>
      </c>
    </row>
    <row r="227" spans="1:17" ht="12.95" customHeight="1" x14ac:dyDescent="0.2">
      <c r="A227" s="229"/>
      <c r="B227" s="229"/>
      <c r="C227" s="284"/>
      <c r="D227" s="314" t="s">
        <v>691</v>
      </c>
      <c r="E227" s="170">
        <v>1</v>
      </c>
      <c r="F227" s="170">
        <v>171926</v>
      </c>
      <c r="G227" s="170">
        <f>0+táj.2!G227</f>
        <v>0</v>
      </c>
      <c r="H227" s="170">
        <f>0+táj.2!H227</f>
        <v>0</v>
      </c>
      <c r="I227" s="170">
        <f>1500+táj.2!I227</f>
        <v>1500</v>
      </c>
      <c r="J227" s="170">
        <f>0+táj.2!J227</f>
        <v>0</v>
      </c>
      <c r="K227" s="170">
        <f>0+táj.2!K227</f>
        <v>0</v>
      </c>
      <c r="L227" s="170">
        <f>0+táj.2!L227</f>
        <v>0</v>
      </c>
      <c r="M227" s="170">
        <f>0+táj.2!M227</f>
        <v>0</v>
      </c>
      <c r="N227" s="170">
        <f>0+táj.2!N227</f>
        <v>0</v>
      </c>
      <c r="O227" s="170">
        <f>0+táj.2!O227</f>
        <v>0</v>
      </c>
      <c r="P227" s="170">
        <f>0+táj.2!P227</f>
        <v>0</v>
      </c>
      <c r="Q227" s="170">
        <f>SUM(G227:P227)</f>
        <v>1500</v>
      </c>
    </row>
    <row r="228" spans="1:17" ht="12.95" customHeight="1" x14ac:dyDescent="0.2">
      <c r="A228" s="229"/>
      <c r="B228" s="229"/>
      <c r="C228" s="284"/>
      <c r="D228" s="314" t="s">
        <v>692</v>
      </c>
      <c r="E228" s="170">
        <v>1</v>
      </c>
      <c r="F228" s="170">
        <v>171967</v>
      </c>
      <c r="G228" s="170">
        <f>0+táj.2!G228</f>
        <v>0</v>
      </c>
      <c r="H228" s="170">
        <f>0+táj.2!H228</f>
        <v>0</v>
      </c>
      <c r="I228" s="170">
        <f>4000+táj.2!I228</f>
        <v>4000</v>
      </c>
      <c r="J228" s="170">
        <f>0+táj.2!J228</f>
        <v>0</v>
      </c>
      <c r="K228" s="170">
        <f>0+táj.2!K228</f>
        <v>0</v>
      </c>
      <c r="L228" s="170">
        <f>0+táj.2!L228</f>
        <v>0</v>
      </c>
      <c r="M228" s="170">
        <f>0+táj.2!M228</f>
        <v>0</v>
      </c>
      <c r="N228" s="170">
        <f>0+táj.2!N228</f>
        <v>0</v>
      </c>
      <c r="O228" s="170">
        <f>0+táj.2!O228</f>
        <v>0</v>
      </c>
      <c r="P228" s="170">
        <f>0+táj.2!P228</f>
        <v>0</v>
      </c>
      <c r="Q228" s="170">
        <f>SUM(G228:P228)</f>
        <v>4000</v>
      </c>
    </row>
    <row r="229" spans="1:17" ht="12.95" customHeight="1" x14ac:dyDescent="0.2">
      <c r="A229" s="223"/>
      <c r="B229" s="223"/>
      <c r="C229" s="224"/>
      <c r="D229" s="182" t="s">
        <v>693</v>
      </c>
      <c r="E229" s="315"/>
      <c r="F229" s="316"/>
      <c r="G229" s="317">
        <f t="shared" ref="G229:Q229" si="15">SUM(G225:G228)</f>
        <v>0</v>
      </c>
      <c r="H229" s="317">
        <f t="shared" si="15"/>
        <v>0</v>
      </c>
      <c r="I229" s="317">
        <f t="shared" si="15"/>
        <v>9026</v>
      </c>
      <c r="J229" s="317">
        <f t="shared" si="15"/>
        <v>0</v>
      </c>
      <c r="K229" s="317">
        <f t="shared" si="15"/>
        <v>0</v>
      </c>
      <c r="L229" s="317">
        <f t="shared" si="15"/>
        <v>0</v>
      </c>
      <c r="M229" s="317">
        <f t="shared" si="15"/>
        <v>0</v>
      </c>
      <c r="N229" s="317">
        <f t="shared" si="15"/>
        <v>0</v>
      </c>
      <c r="O229" s="317">
        <f t="shared" si="15"/>
        <v>0</v>
      </c>
      <c r="P229" s="317">
        <f t="shared" si="15"/>
        <v>0</v>
      </c>
      <c r="Q229" s="317">
        <f t="shared" si="15"/>
        <v>9026</v>
      </c>
    </row>
    <row r="230" spans="1:17" ht="12.95" customHeight="1" x14ac:dyDescent="0.2">
      <c r="A230" s="229"/>
      <c r="B230" s="229"/>
      <c r="C230" s="284"/>
      <c r="D230" s="318" t="s">
        <v>694</v>
      </c>
      <c r="E230" s="230"/>
      <c r="F230" s="170"/>
      <c r="G230" s="202"/>
      <c r="H230" s="202"/>
      <c r="I230" s="202"/>
      <c r="J230" s="202"/>
      <c r="K230" s="202"/>
      <c r="L230" s="202"/>
      <c r="M230" s="202"/>
      <c r="N230" s="202"/>
      <c r="O230" s="202"/>
      <c r="P230" s="202"/>
      <c r="Q230" s="202"/>
    </row>
    <row r="231" spans="1:17" ht="12.95" customHeight="1" x14ac:dyDescent="0.2">
      <c r="A231" s="229"/>
      <c r="B231" s="229"/>
      <c r="C231" s="319"/>
      <c r="D231" s="314" t="s">
        <v>502</v>
      </c>
      <c r="E231" s="320"/>
      <c r="F231" s="170"/>
      <c r="G231" s="202"/>
      <c r="H231" s="202"/>
      <c r="I231" s="202"/>
      <c r="J231" s="202"/>
      <c r="K231" s="202"/>
      <c r="L231" s="202"/>
      <c r="M231" s="202"/>
      <c r="N231" s="202"/>
      <c r="O231" s="202"/>
      <c r="P231" s="202"/>
      <c r="Q231" s="202"/>
    </row>
    <row r="232" spans="1:17" ht="12.95" customHeight="1" x14ac:dyDescent="0.2">
      <c r="A232" s="229"/>
      <c r="B232" s="229"/>
      <c r="C232" s="321" t="s">
        <v>503</v>
      </c>
      <c r="D232" s="322" t="s">
        <v>695</v>
      </c>
      <c r="E232" s="320"/>
      <c r="F232" s="170">
        <v>162650</v>
      </c>
      <c r="G232" s="202">
        <f>0+táj.2!G232</f>
        <v>0</v>
      </c>
      <c r="H232" s="202">
        <f>0+táj.2!H232</f>
        <v>0</v>
      </c>
      <c r="I232" s="202">
        <f>0+táj.2!I232</f>
        <v>0</v>
      </c>
      <c r="J232" s="202">
        <f>0+táj.2!J232</f>
        <v>0</v>
      </c>
      <c r="K232" s="202">
        <f>0+táj.2!K232</f>
        <v>0</v>
      </c>
      <c r="L232" s="202">
        <f>17517+táj.2!L232</f>
        <v>17517</v>
      </c>
      <c r="M232" s="202">
        <f>0+táj.2!M232</f>
        <v>0</v>
      </c>
      <c r="N232" s="202">
        <f>0+táj.2!N232</f>
        <v>0</v>
      </c>
      <c r="O232" s="202">
        <f>0+táj.2!O232</f>
        <v>0</v>
      </c>
      <c r="P232" s="202">
        <f>0+táj.2!P232</f>
        <v>0</v>
      </c>
      <c r="Q232" s="202">
        <f>SUM(G232:P232)</f>
        <v>17517</v>
      </c>
    </row>
    <row r="233" spans="1:17" ht="12.95" customHeight="1" x14ac:dyDescent="0.2">
      <c r="A233" s="229"/>
      <c r="B233" s="229"/>
      <c r="C233" s="321" t="s">
        <v>505</v>
      </c>
      <c r="D233" s="323" t="s">
        <v>696</v>
      </c>
      <c r="E233" s="320"/>
      <c r="F233" s="170">
        <v>164903</v>
      </c>
      <c r="G233" s="202">
        <f>0+táj.2!G233</f>
        <v>0</v>
      </c>
      <c r="H233" s="202">
        <f>0+táj.2!H233</f>
        <v>0</v>
      </c>
      <c r="I233" s="202">
        <f>0+táj.2!I233</f>
        <v>0</v>
      </c>
      <c r="J233" s="202">
        <f>0+táj.2!J233</f>
        <v>0</v>
      </c>
      <c r="K233" s="202">
        <f>0+táj.2!K233</f>
        <v>0</v>
      </c>
      <c r="L233" s="202">
        <f>0+táj.2!L233</f>
        <v>0</v>
      </c>
      <c r="M233" s="202">
        <f>0+táj.2!M233</f>
        <v>0</v>
      </c>
      <c r="N233" s="202">
        <f>6901+táj.2!N233</f>
        <v>6901</v>
      </c>
      <c r="O233" s="202">
        <f>0+táj.2!O233</f>
        <v>0</v>
      </c>
      <c r="P233" s="202">
        <f>0+táj.2!P233</f>
        <v>0</v>
      </c>
      <c r="Q233" s="202">
        <f>SUM(G233:P233)</f>
        <v>6901</v>
      </c>
    </row>
    <row r="234" spans="1:17" ht="12.95" customHeight="1" x14ac:dyDescent="0.2">
      <c r="A234" s="223"/>
      <c r="B234" s="223"/>
      <c r="C234" s="224"/>
      <c r="D234" s="182" t="s">
        <v>344</v>
      </c>
      <c r="E234" s="315"/>
      <c r="F234" s="316"/>
      <c r="G234" s="317">
        <f t="shared" ref="G234:Q234" si="16">SUM(G229:G233)</f>
        <v>0</v>
      </c>
      <c r="H234" s="317">
        <f t="shared" si="16"/>
        <v>0</v>
      </c>
      <c r="I234" s="317">
        <f t="shared" si="16"/>
        <v>9026</v>
      </c>
      <c r="J234" s="317">
        <f t="shared" si="16"/>
        <v>0</v>
      </c>
      <c r="K234" s="317">
        <f t="shared" si="16"/>
        <v>0</v>
      </c>
      <c r="L234" s="317">
        <f t="shared" si="16"/>
        <v>17517</v>
      </c>
      <c r="M234" s="317">
        <f t="shared" si="16"/>
        <v>0</v>
      </c>
      <c r="N234" s="317">
        <f t="shared" si="16"/>
        <v>6901</v>
      </c>
      <c r="O234" s="317">
        <f t="shared" si="16"/>
        <v>0</v>
      </c>
      <c r="P234" s="317">
        <f t="shared" si="16"/>
        <v>0</v>
      </c>
      <c r="Q234" s="317">
        <f t="shared" si="16"/>
        <v>33444</v>
      </c>
    </row>
    <row r="235" spans="1:17" ht="14.1" customHeight="1" x14ac:dyDescent="0.2">
      <c r="A235" s="197">
        <v>1</v>
      </c>
      <c r="B235" s="197">
        <v>15</v>
      </c>
      <c r="C235" s="217"/>
      <c r="D235" s="307" t="s">
        <v>698</v>
      </c>
      <c r="E235" s="230"/>
      <c r="F235" s="170"/>
      <c r="G235" s="170"/>
      <c r="H235" s="202"/>
      <c r="I235" s="202"/>
      <c r="J235" s="202"/>
      <c r="K235" s="202"/>
      <c r="L235" s="202"/>
      <c r="M235" s="170"/>
      <c r="N235" s="170"/>
      <c r="O235" s="170"/>
      <c r="P235" s="170"/>
      <c r="Q235" s="170"/>
    </row>
    <row r="236" spans="1:17" ht="14.1" customHeight="1" x14ac:dyDescent="0.2">
      <c r="A236" s="197"/>
      <c r="B236" s="197"/>
      <c r="C236" s="217"/>
      <c r="D236" s="324" t="s">
        <v>699</v>
      </c>
      <c r="E236" s="230"/>
      <c r="F236" s="170"/>
      <c r="G236" s="170"/>
      <c r="H236" s="202"/>
      <c r="I236" s="202"/>
      <c r="J236" s="202"/>
      <c r="K236" s="202"/>
      <c r="L236" s="202"/>
      <c r="M236" s="170"/>
      <c r="N236" s="170"/>
      <c r="O236" s="170"/>
      <c r="P236" s="170"/>
      <c r="Q236" s="170"/>
    </row>
    <row r="237" spans="1:17" ht="18" customHeight="1" x14ac:dyDescent="0.2">
      <c r="A237" s="197"/>
      <c r="B237" s="197"/>
      <c r="C237" s="217"/>
      <c r="D237" s="314" t="s">
        <v>700</v>
      </c>
      <c r="E237" s="170">
        <v>1</v>
      </c>
      <c r="F237" s="170">
        <v>151502</v>
      </c>
      <c r="G237" s="170">
        <f>0+táj.2!G237</f>
        <v>0</v>
      </c>
      <c r="H237" s="170">
        <f>0+táj.2!H237</f>
        <v>0</v>
      </c>
      <c r="I237" s="170">
        <f>27613+táj.2!I237</f>
        <v>27613</v>
      </c>
      <c r="J237" s="170">
        <f>0+táj.2!J237</f>
        <v>0</v>
      </c>
      <c r="K237" s="170">
        <f>0+táj.2!K237</f>
        <v>0</v>
      </c>
      <c r="L237" s="170">
        <f>920+táj.2!L237</f>
        <v>920</v>
      </c>
      <c r="M237" s="170">
        <f>0+táj.2!M237</f>
        <v>0</v>
      </c>
      <c r="N237" s="170">
        <f>0+táj.2!N237</f>
        <v>0</v>
      </c>
      <c r="O237" s="170">
        <f>0+táj.2!O237</f>
        <v>0</v>
      </c>
      <c r="P237" s="170">
        <f>0+táj.2!P237</f>
        <v>0</v>
      </c>
      <c r="Q237" s="170">
        <f t="shared" ref="Q237:Q262" si="17">SUM(G237:P237)</f>
        <v>28533</v>
      </c>
    </row>
    <row r="238" spans="1:17" ht="12" customHeight="1" x14ac:dyDescent="0.2">
      <c r="A238" s="197"/>
      <c r="B238" s="197"/>
      <c r="C238" s="217"/>
      <c r="D238" s="172" t="s">
        <v>1368</v>
      </c>
      <c r="E238" s="170">
        <v>1</v>
      </c>
      <c r="F238" s="170">
        <v>151530</v>
      </c>
      <c r="G238" s="170">
        <f>0+táj.2!G238</f>
        <v>0</v>
      </c>
      <c r="H238" s="170">
        <f>0+táj.2!H238</f>
        <v>0</v>
      </c>
      <c r="I238" s="170">
        <f>5000+táj.2!I238</f>
        <v>5000</v>
      </c>
      <c r="J238" s="170">
        <f>0+táj.2!J238</f>
        <v>0</v>
      </c>
      <c r="K238" s="170">
        <f>0+táj.2!K238</f>
        <v>0</v>
      </c>
      <c r="L238" s="170">
        <f>0+táj.2!L238</f>
        <v>0</v>
      </c>
      <c r="M238" s="170">
        <f>0+táj.2!M238</f>
        <v>0</v>
      </c>
      <c r="N238" s="170">
        <f>0+táj.2!N238</f>
        <v>0</v>
      </c>
      <c r="O238" s="170">
        <f>0+táj.2!O238</f>
        <v>0</v>
      </c>
      <c r="P238" s="170">
        <f>0+táj.2!P238</f>
        <v>0</v>
      </c>
      <c r="Q238" s="170">
        <f t="shared" si="17"/>
        <v>5000</v>
      </c>
    </row>
    <row r="239" spans="1:17" ht="14.1" customHeight="1" x14ac:dyDescent="0.2">
      <c r="A239" s="197"/>
      <c r="B239" s="197"/>
      <c r="C239" s="217"/>
      <c r="D239" s="314" t="s">
        <v>701</v>
      </c>
      <c r="E239" s="170">
        <v>1</v>
      </c>
      <c r="F239" s="170">
        <v>151504</v>
      </c>
      <c r="G239" s="170">
        <f>0+táj.2!G239</f>
        <v>0</v>
      </c>
      <c r="H239" s="170">
        <f>0+táj.2!H239</f>
        <v>0</v>
      </c>
      <c r="I239" s="170">
        <f>226000+táj.2!I239</f>
        <v>226000</v>
      </c>
      <c r="J239" s="170">
        <f>0+táj.2!J239</f>
        <v>0</v>
      </c>
      <c r="K239" s="170">
        <f>0+táj.2!K239</f>
        <v>0</v>
      </c>
      <c r="L239" s="170">
        <f>0+táj.2!L239</f>
        <v>0</v>
      </c>
      <c r="M239" s="170">
        <f>0+táj.2!M239</f>
        <v>0</v>
      </c>
      <c r="N239" s="170">
        <f>0+táj.2!N239</f>
        <v>0</v>
      </c>
      <c r="O239" s="170">
        <f>0+táj.2!O239</f>
        <v>0</v>
      </c>
      <c r="P239" s="170">
        <f>0+táj.2!P239</f>
        <v>0</v>
      </c>
      <c r="Q239" s="170">
        <f t="shared" si="17"/>
        <v>226000</v>
      </c>
    </row>
    <row r="240" spans="1:17" ht="14.1" customHeight="1" x14ac:dyDescent="0.2">
      <c r="A240" s="197"/>
      <c r="B240" s="197"/>
      <c r="C240" s="217"/>
      <c r="D240" s="325" t="s">
        <v>702</v>
      </c>
      <c r="E240" s="170">
        <v>1</v>
      </c>
      <c r="F240" s="170">
        <v>151501</v>
      </c>
      <c r="G240" s="170">
        <f>0+táj.2!G240</f>
        <v>0</v>
      </c>
      <c r="H240" s="170">
        <f>0+táj.2!H240</f>
        <v>0</v>
      </c>
      <c r="I240" s="170">
        <f>13625+táj.2!I240</f>
        <v>11769</v>
      </c>
      <c r="J240" s="170">
        <f>0+táj.2!J240</f>
        <v>0</v>
      </c>
      <c r="K240" s="170">
        <f>0+táj.2!K240</f>
        <v>0</v>
      </c>
      <c r="L240" s="170">
        <f>0+táj.2!L240</f>
        <v>0</v>
      </c>
      <c r="M240" s="170">
        <f>0+táj.2!M240</f>
        <v>0</v>
      </c>
      <c r="N240" s="170">
        <f>0+táj.2!N240</f>
        <v>0</v>
      </c>
      <c r="O240" s="170">
        <f>0+táj.2!O240</f>
        <v>0</v>
      </c>
      <c r="P240" s="170">
        <f>0+táj.2!P240</f>
        <v>0</v>
      </c>
      <c r="Q240" s="170">
        <f t="shared" si="17"/>
        <v>11769</v>
      </c>
    </row>
    <row r="241" spans="1:17" ht="14.1" customHeight="1" x14ac:dyDescent="0.2">
      <c r="A241" s="197"/>
      <c r="B241" s="197"/>
      <c r="C241" s="217"/>
      <c r="D241" s="325" t="s">
        <v>703</v>
      </c>
      <c r="E241" s="170">
        <v>1</v>
      </c>
      <c r="F241" s="170">
        <v>151905</v>
      </c>
      <c r="G241" s="170">
        <f>0+táj.2!G241</f>
        <v>0</v>
      </c>
      <c r="H241" s="170">
        <f>0+táj.2!H241</f>
        <v>0</v>
      </c>
      <c r="I241" s="170">
        <f>800+táj.2!I241</f>
        <v>800</v>
      </c>
      <c r="J241" s="170">
        <f>0+táj.2!J241</f>
        <v>0</v>
      </c>
      <c r="K241" s="170">
        <f>0+táj.2!K241</f>
        <v>0</v>
      </c>
      <c r="L241" s="170">
        <f>0+táj.2!L241</f>
        <v>0</v>
      </c>
      <c r="M241" s="170">
        <f>0+táj.2!M241</f>
        <v>0</v>
      </c>
      <c r="N241" s="170">
        <f>0+táj.2!N241</f>
        <v>0</v>
      </c>
      <c r="O241" s="170">
        <f>0+táj.2!O241</f>
        <v>0</v>
      </c>
      <c r="P241" s="170">
        <f>0+táj.2!P241</f>
        <v>0</v>
      </c>
      <c r="Q241" s="170">
        <f t="shared" si="17"/>
        <v>800</v>
      </c>
    </row>
    <row r="242" spans="1:17" ht="14.1" customHeight="1" x14ac:dyDescent="0.2">
      <c r="A242" s="197"/>
      <c r="B242" s="197"/>
      <c r="C242" s="217"/>
      <c r="D242" s="325" t="s">
        <v>704</v>
      </c>
      <c r="E242" s="170">
        <v>1</v>
      </c>
      <c r="F242" s="170">
        <v>151920</v>
      </c>
      <c r="G242" s="170">
        <f>0+táj.2!G242</f>
        <v>0</v>
      </c>
      <c r="H242" s="170">
        <f>0+táj.2!H242</f>
        <v>0</v>
      </c>
      <c r="I242" s="170">
        <f>2000+táj.2!I242</f>
        <v>2000</v>
      </c>
      <c r="J242" s="170">
        <f>0+táj.2!J242</f>
        <v>0</v>
      </c>
      <c r="K242" s="170">
        <f>0+táj.2!K242</f>
        <v>0</v>
      </c>
      <c r="L242" s="170">
        <f>0+táj.2!L242</f>
        <v>0</v>
      </c>
      <c r="M242" s="170">
        <f>0+táj.2!M242</f>
        <v>0</v>
      </c>
      <c r="N242" s="170">
        <f>0+táj.2!N242</f>
        <v>0</v>
      </c>
      <c r="O242" s="170">
        <f>0+táj.2!O242</f>
        <v>0</v>
      </c>
      <c r="P242" s="170">
        <f>0+táj.2!P242</f>
        <v>0</v>
      </c>
      <c r="Q242" s="170">
        <f t="shared" si="17"/>
        <v>2000</v>
      </c>
    </row>
    <row r="243" spans="1:17" ht="14.1" customHeight="1" x14ac:dyDescent="0.2">
      <c r="A243" s="197"/>
      <c r="B243" s="197"/>
      <c r="C243" s="217"/>
      <c r="D243" s="325" t="s">
        <v>705</v>
      </c>
      <c r="E243" s="170">
        <v>1</v>
      </c>
      <c r="F243" s="170">
        <v>151917</v>
      </c>
      <c r="G243" s="170">
        <f>0+táj.2!G243</f>
        <v>0</v>
      </c>
      <c r="H243" s="170">
        <f>0+táj.2!H243</f>
        <v>0</v>
      </c>
      <c r="I243" s="170">
        <f>15086+táj.2!I243</f>
        <v>31702</v>
      </c>
      <c r="J243" s="170">
        <f>0+táj.2!J243</f>
        <v>0</v>
      </c>
      <c r="K243" s="170">
        <f>0+táj.2!K243</f>
        <v>0</v>
      </c>
      <c r="L243" s="170">
        <f>675+táj.2!L243</f>
        <v>675</v>
      </c>
      <c r="M243" s="170">
        <f>0+táj.2!M243</f>
        <v>0</v>
      </c>
      <c r="N243" s="170">
        <f>0+táj.2!N243</f>
        <v>0</v>
      </c>
      <c r="O243" s="170">
        <f>0+táj.2!O243</f>
        <v>0</v>
      </c>
      <c r="P243" s="170">
        <f>0+táj.2!P243</f>
        <v>0</v>
      </c>
      <c r="Q243" s="170">
        <f t="shared" si="17"/>
        <v>32377</v>
      </c>
    </row>
    <row r="244" spans="1:17" ht="15" customHeight="1" x14ac:dyDescent="0.2">
      <c r="A244" s="197"/>
      <c r="B244" s="197"/>
      <c r="C244" s="217"/>
      <c r="D244" s="325" t="s">
        <v>706</v>
      </c>
      <c r="E244" s="170">
        <v>2</v>
      </c>
      <c r="F244" s="170">
        <v>151503</v>
      </c>
      <c r="G244" s="170">
        <f>0+táj.2!G244</f>
        <v>0</v>
      </c>
      <c r="H244" s="170">
        <f>0+táj.2!H244</f>
        <v>0</v>
      </c>
      <c r="I244" s="170">
        <f>2000+táj.2!I244</f>
        <v>2000</v>
      </c>
      <c r="J244" s="170">
        <f>0+táj.2!J244</f>
        <v>0</v>
      </c>
      <c r="K244" s="170">
        <f>0+táj.2!K244</f>
        <v>0</v>
      </c>
      <c r="L244" s="170">
        <f>0+táj.2!L244</f>
        <v>0</v>
      </c>
      <c r="M244" s="170">
        <f>0+táj.2!M244</f>
        <v>0</v>
      </c>
      <c r="N244" s="170">
        <f>0+táj.2!N244</f>
        <v>0</v>
      </c>
      <c r="O244" s="170">
        <f>0+táj.2!O244</f>
        <v>0</v>
      </c>
      <c r="P244" s="170">
        <f>0+táj.2!P244</f>
        <v>0</v>
      </c>
      <c r="Q244" s="170">
        <f t="shared" si="17"/>
        <v>2000</v>
      </c>
    </row>
    <row r="245" spans="1:17" ht="15" customHeight="1" x14ac:dyDescent="0.2">
      <c r="A245" s="197"/>
      <c r="B245" s="197"/>
      <c r="C245" s="217"/>
      <c r="D245" s="616" t="s">
        <v>707</v>
      </c>
      <c r="E245" s="170">
        <v>2</v>
      </c>
      <c r="F245" s="170">
        <v>151921</v>
      </c>
      <c r="G245" s="170">
        <f>0+táj.2!G245</f>
        <v>0</v>
      </c>
      <c r="H245" s="170">
        <f>0+táj.2!H245</f>
        <v>0</v>
      </c>
      <c r="I245" s="170">
        <f>0+táj.2!I245</f>
        <v>0</v>
      </c>
      <c r="J245" s="170">
        <f>0+táj.2!J245</f>
        <v>0</v>
      </c>
      <c r="K245" s="170">
        <f>0+táj.2!K245</f>
        <v>0</v>
      </c>
      <c r="L245" s="170">
        <f>0+táj.2!L245</f>
        <v>0</v>
      </c>
      <c r="M245" s="170">
        <f>0+táj.2!M245</f>
        <v>0</v>
      </c>
      <c r="N245" s="170">
        <f>0+táj.2!N245</f>
        <v>0</v>
      </c>
      <c r="O245" s="170">
        <f>0+táj.2!O245</f>
        <v>0</v>
      </c>
      <c r="P245" s="170">
        <f>0+táj.2!P245</f>
        <v>0</v>
      </c>
      <c r="Q245" s="170">
        <f t="shared" si="17"/>
        <v>0</v>
      </c>
    </row>
    <row r="246" spans="1:17" ht="15" customHeight="1" x14ac:dyDescent="0.2">
      <c r="A246" s="197"/>
      <c r="B246" s="197"/>
      <c r="C246" s="217"/>
      <c r="D246" s="347" t="s">
        <v>708</v>
      </c>
      <c r="E246" s="170">
        <v>2</v>
      </c>
      <c r="F246" s="170">
        <v>151922</v>
      </c>
      <c r="G246" s="170">
        <f>0+táj.2!G246</f>
        <v>0</v>
      </c>
      <c r="H246" s="170">
        <f>0+táj.2!H246</f>
        <v>0</v>
      </c>
      <c r="I246" s="170">
        <f>2000+táj.2!I246</f>
        <v>2000</v>
      </c>
      <c r="J246" s="170">
        <f>0+táj.2!J246</f>
        <v>0</v>
      </c>
      <c r="K246" s="170">
        <f>0+táj.2!K246</f>
        <v>0</v>
      </c>
      <c r="L246" s="170">
        <f>0+táj.2!L246</f>
        <v>0</v>
      </c>
      <c r="M246" s="170">
        <f>0+táj.2!M246</f>
        <v>0</v>
      </c>
      <c r="N246" s="170">
        <f>0+táj.2!N246</f>
        <v>0</v>
      </c>
      <c r="O246" s="170">
        <f>0+táj.2!O246</f>
        <v>0</v>
      </c>
      <c r="P246" s="170">
        <f>0+táj.2!P246</f>
        <v>0</v>
      </c>
      <c r="Q246" s="170">
        <f t="shared" si="17"/>
        <v>2000</v>
      </c>
    </row>
    <row r="247" spans="1:17" ht="15" customHeight="1" x14ac:dyDescent="0.2">
      <c r="A247" s="197"/>
      <c r="B247" s="197"/>
      <c r="C247" s="217"/>
      <c r="D247" s="325" t="s">
        <v>709</v>
      </c>
      <c r="E247" s="170">
        <v>2</v>
      </c>
      <c r="F247" s="170">
        <v>151507</v>
      </c>
      <c r="G247" s="170">
        <f>0+táj.2!G247</f>
        <v>0</v>
      </c>
      <c r="H247" s="170">
        <f>0+táj.2!H247</f>
        <v>0</v>
      </c>
      <c r="I247" s="170">
        <f>1000+táj.2!I247</f>
        <v>2156</v>
      </c>
      <c r="J247" s="170">
        <f>0+táj.2!J247</f>
        <v>0</v>
      </c>
      <c r="K247" s="170">
        <f>0+táj.2!K247</f>
        <v>0</v>
      </c>
      <c r="L247" s="170">
        <f>0+táj.2!L247</f>
        <v>0</v>
      </c>
      <c r="M247" s="170">
        <f>0+táj.2!M247</f>
        <v>0</v>
      </c>
      <c r="N247" s="170">
        <f>0+táj.2!N247</f>
        <v>0</v>
      </c>
      <c r="O247" s="170">
        <f>0+táj.2!O247</f>
        <v>0</v>
      </c>
      <c r="P247" s="170">
        <f>0+táj.2!P247</f>
        <v>0</v>
      </c>
      <c r="Q247" s="170">
        <f t="shared" si="17"/>
        <v>2156</v>
      </c>
    </row>
    <row r="248" spans="1:17" ht="15" customHeight="1" x14ac:dyDescent="0.2">
      <c r="A248" s="197"/>
      <c r="B248" s="197"/>
      <c r="C248" s="217"/>
      <c r="D248" s="325" t="s">
        <v>710</v>
      </c>
      <c r="E248" s="170">
        <v>2</v>
      </c>
      <c r="F248" s="170">
        <v>151509</v>
      </c>
      <c r="G248" s="170">
        <f>0+táj.2!G248</f>
        <v>0</v>
      </c>
      <c r="H248" s="170">
        <f>0+táj.2!H248</f>
        <v>0</v>
      </c>
      <c r="I248" s="170">
        <f>0+táj.2!I248</f>
        <v>0</v>
      </c>
      <c r="J248" s="170">
        <f>0+táj.2!J248</f>
        <v>0</v>
      </c>
      <c r="K248" s="170">
        <f>0+táj.2!K248</f>
        <v>0</v>
      </c>
      <c r="L248" s="170">
        <f>0+táj.2!L248</f>
        <v>0</v>
      </c>
      <c r="M248" s="170">
        <f>0+táj.2!M248</f>
        <v>0</v>
      </c>
      <c r="N248" s="170">
        <f>0+táj.2!N248</f>
        <v>0</v>
      </c>
      <c r="O248" s="170">
        <f>0+táj.2!O248</f>
        <v>0</v>
      </c>
      <c r="P248" s="170">
        <f>0+táj.2!P248</f>
        <v>0</v>
      </c>
      <c r="Q248" s="170">
        <f t="shared" si="17"/>
        <v>0</v>
      </c>
    </row>
    <row r="249" spans="1:17" ht="15" customHeight="1" x14ac:dyDescent="0.2">
      <c r="A249" s="197"/>
      <c r="B249" s="197"/>
      <c r="C249" s="217"/>
      <c r="D249" s="325" t="s">
        <v>711</v>
      </c>
      <c r="E249" s="170">
        <v>1</v>
      </c>
      <c r="F249" s="170">
        <v>151510</v>
      </c>
      <c r="G249" s="170">
        <f>0+táj.2!G249</f>
        <v>0</v>
      </c>
      <c r="H249" s="170">
        <f>0+táj.2!H249</f>
        <v>0</v>
      </c>
      <c r="I249" s="170">
        <f>12723+táj.2!I249</f>
        <v>13446</v>
      </c>
      <c r="J249" s="170">
        <f>0+táj.2!J249</f>
        <v>0</v>
      </c>
      <c r="K249" s="170">
        <f>0+táj.2!K249</f>
        <v>0</v>
      </c>
      <c r="L249" s="170">
        <f>0+táj.2!L249</f>
        <v>0</v>
      </c>
      <c r="M249" s="170">
        <f>0+táj.2!M249</f>
        <v>0</v>
      </c>
      <c r="N249" s="170">
        <f>0+táj.2!N249</f>
        <v>0</v>
      </c>
      <c r="O249" s="170">
        <f>0+táj.2!O249</f>
        <v>0</v>
      </c>
      <c r="P249" s="170">
        <f>0+táj.2!P249</f>
        <v>0</v>
      </c>
      <c r="Q249" s="170">
        <f t="shared" si="17"/>
        <v>13446</v>
      </c>
    </row>
    <row r="250" spans="1:17" ht="15" customHeight="1" x14ac:dyDescent="0.2">
      <c r="A250" s="197"/>
      <c r="B250" s="197"/>
      <c r="C250" s="217"/>
      <c r="D250" s="327" t="s">
        <v>712</v>
      </c>
      <c r="E250" s="193">
        <v>1</v>
      </c>
      <c r="F250" s="170">
        <v>151520</v>
      </c>
      <c r="G250" s="170">
        <f>0+táj.2!G250</f>
        <v>0</v>
      </c>
      <c r="H250" s="170">
        <f>0+táj.2!H250</f>
        <v>0</v>
      </c>
      <c r="I250" s="170">
        <f>2500+táj.2!I250</f>
        <v>2500</v>
      </c>
      <c r="J250" s="170">
        <f>0+táj.2!J250</f>
        <v>0</v>
      </c>
      <c r="K250" s="170">
        <f>0+táj.2!K250</f>
        <v>0</v>
      </c>
      <c r="L250" s="170">
        <f>0+táj.2!L250</f>
        <v>0</v>
      </c>
      <c r="M250" s="170">
        <f>0+táj.2!M250</f>
        <v>0</v>
      </c>
      <c r="N250" s="170">
        <f>0+táj.2!N250</f>
        <v>0</v>
      </c>
      <c r="O250" s="170">
        <f>0+táj.2!O250</f>
        <v>0</v>
      </c>
      <c r="P250" s="170">
        <f>0+táj.2!P250</f>
        <v>0</v>
      </c>
      <c r="Q250" s="170">
        <f t="shared" si="17"/>
        <v>2500</v>
      </c>
    </row>
    <row r="251" spans="1:17" ht="15" customHeight="1" x14ac:dyDescent="0.2">
      <c r="A251" s="197"/>
      <c r="B251" s="197"/>
      <c r="C251" s="217"/>
      <c r="D251" s="328" t="s">
        <v>713</v>
      </c>
      <c r="E251" s="170">
        <v>1</v>
      </c>
      <c r="F251" s="170">
        <v>151521</v>
      </c>
      <c r="G251" s="170">
        <f>0+táj.2!G251</f>
        <v>0</v>
      </c>
      <c r="H251" s="170">
        <f>0+táj.2!H251</f>
        <v>0</v>
      </c>
      <c r="I251" s="170">
        <f>0+táj.2!I251</f>
        <v>0</v>
      </c>
      <c r="J251" s="170">
        <f>0+táj.2!J251</f>
        <v>0</v>
      </c>
      <c r="K251" s="170">
        <f>0+táj.2!K251</f>
        <v>0</v>
      </c>
      <c r="L251" s="170">
        <f>0+táj.2!L251</f>
        <v>0</v>
      </c>
      <c r="M251" s="170">
        <f>0+táj.2!M251</f>
        <v>0</v>
      </c>
      <c r="N251" s="170">
        <f>0+táj.2!N251</f>
        <v>0</v>
      </c>
      <c r="O251" s="170">
        <f>0+táj.2!O251</f>
        <v>0</v>
      </c>
      <c r="P251" s="170">
        <f>0+táj.2!P251</f>
        <v>0</v>
      </c>
      <c r="Q251" s="170">
        <f t="shared" si="17"/>
        <v>0</v>
      </c>
    </row>
    <row r="252" spans="1:17" ht="15" customHeight="1" x14ac:dyDescent="0.2">
      <c r="A252" s="197"/>
      <c r="B252" s="197"/>
      <c r="C252" s="217"/>
      <c r="D252" s="328" t="s">
        <v>714</v>
      </c>
      <c r="E252" s="170">
        <v>1</v>
      </c>
      <c r="F252" s="170">
        <v>151522</v>
      </c>
      <c r="G252" s="170">
        <f>0+táj.2!G252</f>
        <v>0</v>
      </c>
      <c r="H252" s="170">
        <f>0+táj.2!H252</f>
        <v>0</v>
      </c>
      <c r="I252" s="170">
        <f>1000+táj.2!I252</f>
        <v>1000</v>
      </c>
      <c r="J252" s="170">
        <f>0+táj.2!J252</f>
        <v>0</v>
      </c>
      <c r="K252" s="170">
        <f>0+táj.2!K252</f>
        <v>0</v>
      </c>
      <c r="L252" s="170">
        <f>0+táj.2!L252</f>
        <v>0</v>
      </c>
      <c r="M252" s="170">
        <f>0+táj.2!M252</f>
        <v>0</v>
      </c>
      <c r="N252" s="170">
        <f>0+táj.2!N252</f>
        <v>0</v>
      </c>
      <c r="O252" s="170">
        <f>0+táj.2!O252</f>
        <v>0</v>
      </c>
      <c r="P252" s="170">
        <f>0+táj.2!P252</f>
        <v>0</v>
      </c>
      <c r="Q252" s="170">
        <f t="shared" si="17"/>
        <v>1000</v>
      </c>
    </row>
    <row r="253" spans="1:17" ht="15" customHeight="1" x14ac:dyDescent="0.2">
      <c r="A253" s="197"/>
      <c r="B253" s="197"/>
      <c r="C253" s="217"/>
      <c r="D253" s="245" t="s">
        <v>715</v>
      </c>
      <c r="E253" s="170">
        <v>2</v>
      </c>
      <c r="F253" s="170">
        <v>151529</v>
      </c>
      <c r="G253" s="170">
        <f>0+táj.2!G253</f>
        <v>0</v>
      </c>
      <c r="H253" s="170">
        <f>0+táj.2!H253</f>
        <v>0</v>
      </c>
      <c r="I253" s="170">
        <f>200+táj.2!I253</f>
        <v>200</v>
      </c>
      <c r="J253" s="170">
        <f>0+táj.2!J253</f>
        <v>0</v>
      </c>
      <c r="K253" s="170">
        <f>0+táj.2!K253</f>
        <v>0</v>
      </c>
      <c r="L253" s="170">
        <f>0+táj.2!L253</f>
        <v>0</v>
      </c>
      <c r="M253" s="170">
        <f>0+táj.2!M253</f>
        <v>0</v>
      </c>
      <c r="N253" s="170">
        <f>0+táj.2!N253</f>
        <v>0</v>
      </c>
      <c r="O253" s="170">
        <f>0+táj.2!O253</f>
        <v>0</v>
      </c>
      <c r="P253" s="170">
        <f>0+táj.2!P253</f>
        <v>0</v>
      </c>
      <c r="Q253" s="170">
        <f t="shared" si="17"/>
        <v>200</v>
      </c>
    </row>
    <row r="254" spans="1:17" ht="15" customHeight="1" x14ac:dyDescent="0.2">
      <c r="A254" s="197"/>
      <c r="B254" s="197"/>
      <c r="C254" s="217"/>
      <c r="D254" s="325" t="s">
        <v>716</v>
      </c>
      <c r="E254" s="170">
        <v>1</v>
      </c>
      <c r="F254" s="170">
        <v>151512</v>
      </c>
      <c r="G254" s="170">
        <f>0+táj.2!G254</f>
        <v>0</v>
      </c>
      <c r="H254" s="170">
        <f>0+táj.2!H254</f>
        <v>0</v>
      </c>
      <c r="I254" s="170">
        <f>165+táj.2!I254</f>
        <v>165</v>
      </c>
      <c r="J254" s="170">
        <f>0+táj.2!J254</f>
        <v>0</v>
      </c>
      <c r="K254" s="170">
        <f>0+táj.2!K254</f>
        <v>0</v>
      </c>
      <c r="L254" s="170">
        <f>0+táj.2!L254</f>
        <v>0</v>
      </c>
      <c r="M254" s="170">
        <f>0+táj.2!M254</f>
        <v>0</v>
      </c>
      <c r="N254" s="170">
        <f>0+táj.2!N254</f>
        <v>0</v>
      </c>
      <c r="O254" s="170">
        <f>0+táj.2!O254</f>
        <v>0</v>
      </c>
      <c r="P254" s="170">
        <f>0+táj.2!P254</f>
        <v>0</v>
      </c>
      <c r="Q254" s="170">
        <f t="shared" si="17"/>
        <v>165</v>
      </c>
    </row>
    <row r="255" spans="1:17" ht="15" customHeight="1" x14ac:dyDescent="0.2">
      <c r="A255" s="197"/>
      <c r="B255" s="197"/>
      <c r="C255" s="217"/>
      <c r="D255" s="328" t="s">
        <v>717</v>
      </c>
      <c r="E255" s="170">
        <v>1</v>
      </c>
      <c r="F255" s="170">
        <v>151519</v>
      </c>
      <c r="G255" s="170">
        <f>0+táj.2!G255</f>
        <v>0</v>
      </c>
      <c r="H255" s="170">
        <f>0+táj.2!H255</f>
        <v>0</v>
      </c>
      <c r="I255" s="170">
        <f>0+táj.2!I255</f>
        <v>0</v>
      </c>
      <c r="J255" s="170">
        <f>0+táj.2!J255</f>
        <v>0</v>
      </c>
      <c r="K255" s="170">
        <f>0+táj.2!K255</f>
        <v>0</v>
      </c>
      <c r="L255" s="170">
        <f>0+táj.2!L255</f>
        <v>0</v>
      </c>
      <c r="M255" s="170">
        <f>0+táj.2!M255</f>
        <v>0</v>
      </c>
      <c r="N255" s="170">
        <f>0+táj.2!N255</f>
        <v>0</v>
      </c>
      <c r="O255" s="170">
        <f>0+táj.2!O255</f>
        <v>0</v>
      </c>
      <c r="P255" s="170">
        <f>0+táj.2!P255</f>
        <v>0</v>
      </c>
      <c r="Q255" s="170">
        <f t="shared" si="17"/>
        <v>0</v>
      </c>
    </row>
    <row r="256" spans="1:17" ht="15" customHeight="1" x14ac:dyDescent="0.2">
      <c r="A256" s="197"/>
      <c r="B256" s="197"/>
      <c r="C256" s="217"/>
      <c r="D256" s="325" t="s">
        <v>718</v>
      </c>
      <c r="E256" s="170">
        <v>2</v>
      </c>
      <c r="F256" s="170">
        <v>151511</v>
      </c>
      <c r="G256" s="170">
        <f>0+táj.2!G256</f>
        <v>0</v>
      </c>
      <c r="H256" s="170">
        <f>0+táj.2!H256</f>
        <v>0</v>
      </c>
      <c r="I256" s="170">
        <f>4000+táj.2!I256</f>
        <v>4000</v>
      </c>
      <c r="J256" s="170">
        <f>0+táj.2!J256</f>
        <v>0</v>
      </c>
      <c r="K256" s="170">
        <f>0+táj.2!K256</f>
        <v>0</v>
      </c>
      <c r="L256" s="170">
        <f>0+táj.2!L256</f>
        <v>0</v>
      </c>
      <c r="M256" s="170">
        <f>0+táj.2!M256</f>
        <v>0</v>
      </c>
      <c r="N256" s="170">
        <f>0+táj.2!N256</f>
        <v>0</v>
      </c>
      <c r="O256" s="170">
        <f>0+táj.2!O256</f>
        <v>0</v>
      </c>
      <c r="P256" s="170">
        <f>0+táj.2!P256</f>
        <v>0</v>
      </c>
      <c r="Q256" s="170">
        <f t="shared" si="17"/>
        <v>4000</v>
      </c>
    </row>
    <row r="257" spans="1:17" ht="15" customHeight="1" x14ac:dyDescent="0.2">
      <c r="A257" s="197"/>
      <c r="B257" s="197"/>
      <c r="C257" s="217"/>
      <c r="D257" s="325" t="s">
        <v>719</v>
      </c>
      <c r="E257" s="176">
        <v>2</v>
      </c>
      <c r="F257" s="170">
        <v>151514</v>
      </c>
      <c r="G257" s="170">
        <f>0+táj.2!G257</f>
        <v>0</v>
      </c>
      <c r="H257" s="170">
        <f>0+táj.2!H257</f>
        <v>0</v>
      </c>
      <c r="I257" s="170">
        <f>3000+táj.2!I257</f>
        <v>3000</v>
      </c>
      <c r="J257" s="170">
        <f>0+táj.2!J257</f>
        <v>0</v>
      </c>
      <c r="K257" s="170">
        <f>0+táj.2!K257</f>
        <v>0</v>
      </c>
      <c r="L257" s="170">
        <f>0+táj.2!L257</f>
        <v>0</v>
      </c>
      <c r="M257" s="170">
        <f>0+táj.2!M257</f>
        <v>0</v>
      </c>
      <c r="N257" s="170">
        <f>0+táj.2!N257</f>
        <v>0</v>
      </c>
      <c r="O257" s="170">
        <f>0+táj.2!O257</f>
        <v>0</v>
      </c>
      <c r="P257" s="170">
        <f>0+táj.2!P257</f>
        <v>0</v>
      </c>
      <c r="Q257" s="170">
        <f t="shared" si="17"/>
        <v>3000</v>
      </c>
    </row>
    <row r="258" spans="1:17" ht="15" customHeight="1" x14ac:dyDescent="0.2">
      <c r="A258" s="197"/>
      <c r="B258" s="197"/>
      <c r="C258" s="217"/>
      <c r="D258" s="325" t="s">
        <v>720</v>
      </c>
      <c r="E258" s="176">
        <v>2</v>
      </c>
      <c r="F258" s="170">
        <v>151515</v>
      </c>
      <c r="G258" s="170">
        <f>0+táj.2!G258</f>
        <v>0</v>
      </c>
      <c r="H258" s="170">
        <f>0+táj.2!H258</f>
        <v>0</v>
      </c>
      <c r="I258" s="170">
        <f>0+táj.2!I258</f>
        <v>0</v>
      </c>
      <c r="J258" s="170">
        <f>0+táj.2!J258</f>
        <v>0</v>
      </c>
      <c r="K258" s="170">
        <f>0+táj.2!K258</f>
        <v>0</v>
      </c>
      <c r="L258" s="170">
        <f>0+táj.2!L258</f>
        <v>0</v>
      </c>
      <c r="M258" s="170">
        <f>0+táj.2!M258</f>
        <v>0</v>
      </c>
      <c r="N258" s="170">
        <f>0+táj.2!N258</f>
        <v>0</v>
      </c>
      <c r="O258" s="170">
        <f>0+táj.2!O258</f>
        <v>0</v>
      </c>
      <c r="P258" s="170">
        <f>0+táj.2!P258</f>
        <v>0</v>
      </c>
      <c r="Q258" s="170">
        <f t="shared" si="17"/>
        <v>0</v>
      </c>
    </row>
    <row r="259" spans="1:17" ht="15" customHeight="1" x14ac:dyDescent="0.2">
      <c r="A259" s="197"/>
      <c r="B259" s="197"/>
      <c r="C259" s="217"/>
      <c r="D259" s="325" t="s">
        <v>721</v>
      </c>
      <c r="E259" s="176">
        <v>1</v>
      </c>
      <c r="F259" s="170">
        <v>151513</v>
      </c>
      <c r="G259" s="170">
        <f>0+táj.2!G259</f>
        <v>0</v>
      </c>
      <c r="H259" s="170">
        <f>0+táj.2!H259</f>
        <v>0</v>
      </c>
      <c r="I259" s="170">
        <f>8400+táj.2!I259</f>
        <v>8400</v>
      </c>
      <c r="J259" s="170">
        <f>0+táj.2!J259</f>
        <v>0</v>
      </c>
      <c r="K259" s="170">
        <f>0+táj.2!K259</f>
        <v>0</v>
      </c>
      <c r="L259" s="170">
        <f>0+táj.2!L259</f>
        <v>0</v>
      </c>
      <c r="M259" s="170">
        <f>0+táj.2!M259</f>
        <v>0</v>
      </c>
      <c r="N259" s="170">
        <f>0+táj.2!N259</f>
        <v>0</v>
      </c>
      <c r="O259" s="170">
        <f>0+táj.2!O259</f>
        <v>0</v>
      </c>
      <c r="P259" s="170">
        <f>0+táj.2!P259</f>
        <v>0</v>
      </c>
      <c r="Q259" s="170">
        <f t="shared" si="17"/>
        <v>8400</v>
      </c>
    </row>
    <row r="260" spans="1:17" ht="15" customHeight="1" x14ac:dyDescent="0.2">
      <c r="A260" s="197"/>
      <c r="B260" s="197"/>
      <c r="C260" s="217"/>
      <c r="D260" s="325" t="s">
        <v>722</v>
      </c>
      <c r="E260" s="176">
        <v>2</v>
      </c>
      <c r="F260" s="170">
        <v>151918</v>
      </c>
      <c r="G260" s="170">
        <f>0+táj.2!G260</f>
        <v>0</v>
      </c>
      <c r="H260" s="170">
        <f>0+táj.2!H260</f>
        <v>0</v>
      </c>
      <c r="I260" s="170">
        <f>0+táj.2!I260</f>
        <v>0</v>
      </c>
      <c r="J260" s="170">
        <f>0+táj.2!J260</f>
        <v>0</v>
      </c>
      <c r="K260" s="170">
        <f>0+táj.2!K260</f>
        <v>0</v>
      </c>
      <c r="L260" s="170">
        <f>0+táj.2!L260</f>
        <v>0</v>
      </c>
      <c r="M260" s="170">
        <f>0+táj.2!M260</f>
        <v>0</v>
      </c>
      <c r="N260" s="170">
        <f>0+táj.2!N260</f>
        <v>0</v>
      </c>
      <c r="O260" s="170">
        <f>0+táj.2!O260</f>
        <v>0</v>
      </c>
      <c r="P260" s="170">
        <f>0+táj.2!P260</f>
        <v>0</v>
      </c>
      <c r="Q260" s="170">
        <f t="shared" si="17"/>
        <v>0</v>
      </c>
    </row>
    <row r="261" spans="1:17" ht="15" customHeight="1" x14ac:dyDescent="0.2">
      <c r="A261" s="197"/>
      <c r="B261" s="197"/>
      <c r="C261" s="217"/>
      <c r="D261" s="325" t="s">
        <v>723</v>
      </c>
      <c r="E261" s="176">
        <v>2</v>
      </c>
      <c r="F261" s="170">
        <v>151923</v>
      </c>
      <c r="G261" s="170">
        <f>0+táj.2!G261</f>
        <v>0</v>
      </c>
      <c r="H261" s="170">
        <f>0+táj.2!H261</f>
        <v>0</v>
      </c>
      <c r="I261" s="170">
        <f>0+táj.2!I261</f>
        <v>0</v>
      </c>
      <c r="J261" s="170">
        <f>0+táj.2!J261</f>
        <v>0</v>
      </c>
      <c r="K261" s="170">
        <f>0+táj.2!K261</f>
        <v>0</v>
      </c>
      <c r="L261" s="170">
        <f>0+táj.2!L261</f>
        <v>0</v>
      </c>
      <c r="M261" s="170">
        <f>0+táj.2!M261</f>
        <v>0</v>
      </c>
      <c r="N261" s="170">
        <f>0+táj.2!N261</f>
        <v>0</v>
      </c>
      <c r="O261" s="170">
        <f>0+táj.2!O261</f>
        <v>0</v>
      </c>
      <c r="P261" s="170">
        <f>0+táj.2!P261</f>
        <v>0</v>
      </c>
      <c r="Q261" s="170">
        <f t="shared" si="17"/>
        <v>0</v>
      </c>
    </row>
    <row r="262" spans="1:17" ht="29.25" customHeight="1" x14ac:dyDescent="0.2">
      <c r="A262" s="197"/>
      <c r="B262" s="197"/>
      <c r="C262" s="217"/>
      <c r="D262" s="171" t="s">
        <v>1381</v>
      </c>
      <c r="E262" s="176">
        <v>2</v>
      </c>
      <c r="F262" s="170">
        <v>151524</v>
      </c>
      <c r="G262" s="170">
        <f>0+táj.2!G262</f>
        <v>0</v>
      </c>
      <c r="H262" s="170">
        <f>0+táj.2!H262</f>
        <v>0</v>
      </c>
      <c r="I262" s="170">
        <f>7496+táj.2!I262</f>
        <v>7496</v>
      </c>
      <c r="J262" s="170">
        <f>0+táj.2!J262</f>
        <v>0</v>
      </c>
      <c r="K262" s="170">
        <f>1000+táj.2!K262</f>
        <v>1000</v>
      </c>
      <c r="L262" s="170">
        <f>0+táj.2!L262</f>
        <v>0</v>
      </c>
      <c r="M262" s="170">
        <f>0+táj.2!M262</f>
        <v>0</v>
      </c>
      <c r="N262" s="170">
        <f>0+táj.2!N262</f>
        <v>0</v>
      </c>
      <c r="O262" s="170">
        <f>0+táj.2!O262</f>
        <v>0</v>
      </c>
      <c r="P262" s="170">
        <f>0+táj.2!P262</f>
        <v>0</v>
      </c>
      <c r="Q262" s="170">
        <f t="shared" si="17"/>
        <v>8496</v>
      </c>
    </row>
    <row r="263" spans="1:17" ht="15" customHeight="1" x14ac:dyDescent="0.2">
      <c r="A263" s="197"/>
      <c r="B263" s="197"/>
      <c r="C263" s="217"/>
      <c r="D263" s="314" t="s">
        <v>724</v>
      </c>
      <c r="E263" s="208"/>
      <c r="F263" s="208"/>
      <c r="G263" s="170"/>
      <c r="H263" s="170"/>
      <c r="I263" s="170"/>
      <c r="J263" s="170"/>
      <c r="K263" s="170"/>
      <c r="L263" s="170"/>
      <c r="M263" s="170"/>
      <c r="N263" s="170"/>
      <c r="O263" s="170"/>
      <c r="P263" s="170"/>
      <c r="Q263" s="170"/>
    </row>
    <row r="264" spans="1:17" ht="15" customHeight="1" x14ac:dyDescent="0.2">
      <c r="A264" s="197"/>
      <c r="B264" s="197"/>
      <c r="C264" s="217"/>
      <c r="D264" s="314" t="s">
        <v>725</v>
      </c>
      <c r="E264" s="170">
        <v>1</v>
      </c>
      <c r="F264" s="170">
        <v>151401</v>
      </c>
      <c r="G264" s="170">
        <f>0+táj.2!G264</f>
        <v>0</v>
      </c>
      <c r="H264" s="170">
        <f>0+táj.2!H264</f>
        <v>0</v>
      </c>
      <c r="I264" s="170">
        <f>166219+táj.2!I264</f>
        <v>156703</v>
      </c>
      <c r="J264" s="170">
        <f>0+táj.2!J264</f>
        <v>0</v>
      </c>
      <c r="K264" s="170">
        <f>0+táj.2!K264</f>
        <v>0</v>
      </c>
      <c r="L264" s="170">
        <f>0+táj.2!L264</f>
        <v>0</v>
      </c>
      <c r="M264" s="170">
        <f>0+táj.2!M264</f>
        <v>0</v>
      </c>
      <c r="N264" s="170">
        <f>0+táj.2!N264</f>
        <v>0</v>
      </c>
      <c r="O264" s="170">
        <f>0+táj.2!O264</f>
        <v>0</v>
      </c>
      <c r="P264" s="170">
        <f>0+táj.2!P264</f>
        <v>0</v>
      </c>
      <c r="Q264" s="170">
        <f t="shared" ref="Q264:Q279" si="18">SUM(G264:P264)</f>
        <v>156703</v>
      </c>
    </row>
    <row r="265" spans="1:17" ht="15" customHeight="1" x14ac:dyDescent="0.2">
      <c r="A265" s="197"/>
      <c r="B265" s="197"/>
      <c r="C265" s="217"/>
      <c r="D265" s="314" t="s">
        <v>726</v>
      </c>
      <c r="E265" s="208">
        <v>1</v>
      </c>
      <c r="F265" s="170">
        <v>151402</v>
      </c>
      <c r="G265" s="170">
        <f>0+táj.2!G265</f>
        <v>0</v>
      </c>
      <c r="H265" s="170">
        <f>0+táj.2!H265</f>
        <v>0</v>
      </c>
      <c r="I265" s="170">
        <f>41015+táj.2!I265</f>
        <v>40374</v>
      </c>
      <c r="J265" s="170">
        <f>0+táj.2!J265</f>
        <v>0</v>
      </c>
      <c r="K265" s="170">
        <f>0+táj.2!K265</f>
        <v>0</v>
      </c>
      <c r="L265" s="170">
        <f>0+táj.2!L265</f>
        <v>0</v>
      </c>
      <c r="M265" s="170">
        <f>0+táj.2!M265</f>
        <v>0</v>
      </c>
      <c r="N265" s="170">
        <f>0+táj.2!N265</f>
        <v>0</v>
      </c>
      <c r="O265" s="170">
        <f>0+táj.2!O265</f>
        <v>0</v>
      </c>
      <c r="P265" s="170">
        <f>0+táj.2!P265</f>
        <v>0</v>
      </c>
      <c r="Q265" s="170">
        <f t="shared" si="18"/>
        <v>40374</v>
      </c>
    </row>
    <row r="266" spans="1:17" ht="15" customHeight="1" x14ac:dyDescent="0.2">
      <c r="A266" s="197"/>
      <c r="B266" s="197"/>
      <c r="C266" s="217"/>
      <c r="D266" s="314" t="s">
        <v>727</v>
      </c>
      <c r="E266" s="208">
        <v>1</v>
      </c>
      <c r="F266" s="170">
        <v>151411</v>
      </c>
      <c r="G266" s="170">
        <f>0+táj.2!G266</f>
        <v>0</v>
      </c>
      <c r="H266" s="170">
        <f>0+táj.2!H266</f>
        <v>0</v>
      </c>
      <c r="I266" s="170">
        <f>0+táj.2!I266</f>
        <v>775</v>
      </c>
      <c r="J266" s="170">
        <f>0+táj.2!J266</f>
        <v>0</v>
      </c>
      <c r="K266" s="170">
        <f>0+táj.2!K266</f>
        <v>0</v>
      </c>
      <c r="L266" s="170">
        <f>0+táj.2!L266</f>
        <v>0</v>
      </c>
      <c r="M266" s="170">
        <f>0+táj.2!M266</f>
        <v>0</v>
      </c>
      <c r="N266" s="170">
        <f>0+táj.2!N266</f>
        <v>0</v>
      </c>
      <c r="O266" s="170">
        <f>0+táj.2!O266</f>
        <v>0</v>
      </c>
      <c r="P266" s="170">
        <f>0+táj.2!P266</f>
        <v>0</v>
      </c>
      <c r="Q266" s="170">
        <f t="shared" si="18"/>
        <v>775</v>
      </c>
    </row>
    <row r="267" spans="1:17" ht="15" customHeight="1" x14ac:dyDescent="0.2">
      <c r="A267" s="197"/>
      <c r="B267" s="197"/>
      <c r="C267" s="217"/>
      <c r="D267" s="314" t="s">
        <v>728</v>
      </c>
      <c r="E267" s="208">
        <v>1</v>
      </c>
      <c r="F267" s="170">
        <v>151412</v>
      </c>
      <c r="G267" s="170">
        <f>0+táj.2!G267</f>
        <v>0</v>
      </c>
      <c r="H267" s="170">
        <f>0+táj.2!H267</f>
        <v>0</v>
      </c>
      <c r="I267" s="170">
        <f>0+táj.2!I267</f>
        <v>0</v>
      </c>
      <c r="J267" s="170">
        <f>0+táj.2!J267</f>
        <v>0</v>
      </c>
      <c r="K267" s="170">
        <f>0+táj.2!K267</f>
        <v>0</v>
      </c>
      <c r="L267" s="170">
        <f>0+táj.2!L267</f>
        <v>0</v>
      </c>
      <c r="M267" s="170">
        <f>0+táj.2!M267</f>
        <v>0</v>
      </c>
      <c r="N267" s="170">
        <f>0+táj.2!N267</f>
        <v>0</v>
      </c>
      <c r="O267" s="170">
        <f>0+táj.2!O267</f>
        <v>0</v>
      </c>
      <c r="P267" s="170">
        <f>0+táj.2!P267</f>
        <v>0</v>
      </c>
      <c r="Q267" s="170">
        <f t="shared" si="18"/>
        <v>0</v>
      </c>
    </row>
    <row r="268" spans="1:17" ht="15" customHeight="1" x14ac:dyDescent="0.2">
      <c r="A268" s="197"/>
      <c r="B268" s="197"/>
      <c r="C268" s="217"/>
      <c r="D268" s="314" t="s">
        <v>1387</v>
      </c>
      <c r="E268" s="208">
        <v>1</v>
      </c>
      <c r="F268" s="170">
        <v>151413</v>
      </c>
      <c r="G268" s="170">
        <f>0+táj.2!G268</f>
        <v>0</v>
      </c>
      <c r="H268" s="170">
        <f>0+táj.2!H268</f>
        <v>0</v>
      </c>
      <c r="I268" s="170">
        <f>0+táj.2!I268</f>
        <v>0</v>
      </c>
      <c r="J268" s="170">
        <f>0+táj.2!J268</f>
        <v>0</v>
      </c>
      <c r="K268" s="170">
        <f>0+táj.2!K268</f>
        <v>0</v>
      </c>
      <c r="L268" s="170">
        <f>0+táj.2!L268</f>
        <v>0</v>
      </c>
      <c r="M268" s="170">
        <f>0+táj.2!M268</f>
        <v>0</v>
      </c>
      <c r="N268" s="170">
        <f>0+táj.2!N268</f>
        <v>0</v>
      </c>
      <c r="O268" s="170">
        <f>0+táj.2!O268</f>
        <v>0</v>
      </c>
      <c r="P268" s="170">
        <f>0+táj.2!P268</f>
        <v>0</v>
      </c>
      <c r="Q268" s="170">
        <f t="shared" si="18"/>
        <v>0</v>
      </c>
    </row>
    <row r="269" spans="1:17" ht="15" customHeight="1" x14ac:dyDescent="0.2">
      <c r="A269" s="197"/>
      <c r="B269" s="197"/>
      <c r="C269" s="217"/>
      <c r="D269" s="314" t="s">
        <v>729</v>
      </c>
      <c r="E269" s="208">
        <v>2</v>
      </c>
      <c r="F269" s="170">
        <v>151414</v>
      </c>
      <c r="G269" s="170">
        <f>0+táj.2!G269</f>
        <v>0</v>
      </c>
      <c r="H269" s="170">
        <f>0+táj.2!H269</f>
        <v>0</v>
      </c>
      <c r="I269" s="170">
        <f>0+táj.2!I269</f>
        <v>0</v>
      </c>
      <c r="J269" s="170">
        <f>0+táj.2!J269</f>
        <v>0</v>
      </c>
      <c r="K269" s="170">
        <f>0+táj.2!K269</f>
        <v>0</v>
      </c>
      <c r="L269" s="170">
        <f>0+táj.2!L269</f>
        <v>0</v>
      </c>
      <c r="M269" s="170">
        <f>0+táj.2!M269</f>
        <v>0</v>
      </c>
      <c r="N269" s="170">
        <f>0+táj.2!N269</f>
        <v>0</v>
      </c>
      <c r="O269" s="170">
        <f>0+táj.2!O269</f>
        <v>0</v>
      </c>
      <c r="P269" s="170">
        <f>0+táj.2!P269</f>
        <v>0</v>
      </c>
      <c r="Q269" s="170">
        <f t="shared" si="18"/>
        <v>0</v>
      </c>
    </row>
    <row r="270" spans="1:17" ht="15" customHeight="1" x14ac:dyDescent="0.2">
      <c r="A270" s="197"/>
      <c r="B270" s="197"/>
      <c r="C270" s="217"/>
      <c r="D270" s="314" t="s">
        <v>730</v>
      </c>
      <c r="E270" s="208">
        <v>2</v>
      </c>
      <c r="F270" s="170">
        <v>151415</v>
      </c>
      <c r="G270" s="170">
        <f>0+táj.2!G270</f>
        <v>0</v>
      </c>
      <c r="H270" s="170">
        <f>0+táj.2!H270</f>
        <v>0</v>
      </c>
      <c r="I270" s="170">
        <f>1850+táj.2!I270</f>
        <v>1850</v>
      </c>
      <c r="J270" s="170">
        <f>0+táj.2!J270</f>
        <v>0</v>
      </c>
      <c r="K270" s="170">
        <f>0+táj.2!K270</f>
        <v>0</v>
      </c>
      <c r="L270" s="170">
        <f>0+táj.2!L270</f>
        <v>0</v>
      </c>
      <c r="M270" s="170">
        <f>0+táj.2!M270</f>
        <v>0</v>
      </c>
      <c r="N270" s="170">
        <f>0+táj.2!N270</f>
        <v>0</v>
      </c>
      <c r="O270" s="170">
        <f>0+táj.2!O270</f>
        <v>0</v>
      </c>
      <c r="P270" s="170">
        <f>0+táj.2!P270</f>
        <v>0</v>
      </c>
      <c r="Q270" s="170">
        <f t="shared" si="18"/>
        <v>1850</v>
      </c>
    </row>
    <row r="271" spans="1:17" ht="15" customHeight="1" x14ac:dyDescent="0.2">
      <c r="A271" s="197"/>
      <c r="B271" s="197"/>
      <c r="C271" s="217"/>
      <c r="D271" s="314" t="s">
        <v>731</v>
      </c>
      <c r="E271" s="208">
        <v>2</v>
      </c>
      <c r="F271" s="170">
        <v>151406</v>
      </c>
      <c r="G271" s="170">
        <f>0+táj.2!G271</f>
        <v>0</v>
      </c>
      <c r="H271" s="170">
        <f>0+táj.2!H271</f>
        <v>0</v>
      </c>
      <c r="I271" s="170">
        <f>0+táj.2!I271</f>
        <v>0</v>
      </c>
      <c r="J271" s="170">
        <f>0+táj.2!J271</f>
        <v>0</v>
      </c>
      <c r="K271" s="170">
        <f>0+táj.2!K271</f>
        <v>0</v>
      </c>
      <c r="L271" s="170">
        <f>0+táj.2!L271</f>
        <v>0</v>
      </c>
      <c r="M271" s="170">
        <f>0+táj.2!M271</f>
        <v>0</v>
      </c>
      <c r="N271" s="170">
        <f>0+táj.2!N271</f>
        <v>0</v>
      </c>
      <c r="O271" s="170">
        <f>0+táj.2!O271</f>
        <v>0</v>
      </c>
      <c r="P271" s="170">
        <f>0+táj.2!P271</f>
        <v>0</v>
      </c>
      <c r="Q271" s="170">
        <f t="shared" si="18"/>
        <v>0</v>
      </c>
    </row>
    <row r="272" spans="1:17" ht="15" customHeight="1" x14ac:dyDescent="0.2">
      <c r="A272" s="197"/>
      <c r="B272" s="197"/>
      <c r="C272" s="217"/>
      <c r="D272" s="314" t="s">
        <v>732</v>
      </c>
      <c r="E272" s="208">
        <v>1</v>
      </c>
      <c r="F272" s="170">
        <v>151416</v>
      </c>
      <c r="G272" s="170">
        <f>0+táj.2!G272</f>
        <v>0</v>
      </c>
      <c r="H272" s="170">
        <f>0+táj.2!H272</f>
        <v>0</v>
      </c>
      <c r="I272" s="170">
        <f>0+táj.2!I272</f>
        <v>0</v>
      </c>
      <c r="J272" s="170">
        <f>0+táj.2!J272</f>
        <v>0</v>
      </c>
      <c r="K272" s="170">
        <f>0+táj.2!K272</f>
        <v>0</v>
      </c>
      <c r="L272" s="170">
        <f>0+táj.2!L272</f>
        <v>0</v>
      </c>
      <c r="M272" s="170">
        <f>0+táj.2!M272</f>
        <v>0</v>
      </c>
      <c r="N272" s="170">
        <f>0+táj.2!N272</f>
        <v>0</v>
      </c>
      <c r="O272" s="170">
        <f>0+táj.2!O272</f>
        <v>0</v>
      </c>
      <c r="P272" s="170">
        <f>0+táj.2!P272</f>
        <v>0</v>
      </c>
      <c r="Q272" s="170">
        <f t="shared" si="18"/>
        <v>0</v>
      </c>
    </row>
    <row r="273" spans="1:17" ht="15" customHeight="1" x14ac:dyDescent="0.2">
      <c r="A273" s="197"/>
      <c r="B273" s="197"/>
      <c r="C273" s="217"/>
      <c r="D273" s="314" t="s">
        <v>733</v>
      </c>
      <c r="E273" s="208">
        <v>1</v>
      </c>
      <c r="F273" s="170">
        <v>151417</v>
      </c>
      <c r="G273" s="170">
        <f>0+táj.2!G273</f>
        <v>0</v>
      </c>
      <c r="H273" s="170">
        <f>0+táj.2!H273</f>
        <v>0</v>
      </c>
      <c r="I273" s="170">
        <f>0+táj.2!I273</f>
        <v>0</v>
      </c>
      <c r="J273" s="170">
        <f>0+táj.2!J273</f>
        <v>0</v>
      </c>
      <c r="K273" s="170">
        <f>0+táj.2!K273</f>
        <v>0</v>
      </c>
      <c r="L273" s="170">
        <f>0+táj.2!L273</f>
        <v>0</v>
      </c>
      <c r="M273" s="170">
        <f>0+táj.2!M273</f>
        <v>2797</v>
      </c>
      <c r="N273" s="170">
        <f>0+táj.2!N273</f>
        <v>0</v>
      </c>
      <c r="O273" s="170">
        <f>0+táj.2!O273</f>
        <v>0</v>
      </c>
      <c r="P273" s="170">
        <f>0+táj.2!P273</f>
        <v>0</v>
      </c>
      <c r="Q273" s="170">
        <f t="shared" si="18"/>
        <v>2797</v>
      </c>
    </row>
    <row r="274" spans="1:17" ht="15" customHeight="1" x14ac:dyDescent="0.2">
      <c r="A274" s="197"/>
      <c r="B274" s="197"/>
      <c r="C274" s="217"/>
      <c r="D274" s="314" t="s">
        <v>734</v>
      </c>
      <c r="E274" s="208">
        <v>2</v>
      </c>
      <c r="F274" s="170">
        <v>151407</v>
      </c>
      <c r="G274" s="170">
        <f>0+táj.2!G274</f>
        <v>0</v>
      </c>
      <c r="H274" s="170">
        <f>0+táj.2!H274</f>
        <v>0</v>
      </c>
      <c r="I274" s="170">
        <f>7830+táj.2!I274</f>
        <v>7830</v>
      </c>
      <c r="J274" s="170">
        <f>0+táj.2!J274</f>
        <v>0</v>
      </c>
      <c r="K274" s="170">
        <f>0+táj.2!K274</f>
        <v>0</v>
      </c>
      <c r="L274" s="170">
        <f>0+táj.2!L274</f>
        <v>0</v>
      </c>
      <c r="M274" s="170">
        <f>0+táj.2!M274</f>
        <v>0</v>
      </c>
      <c r="N274" s="170">
        <f>0+táj.2!N274</f>
        <v>0</v>
      </c>
      <c r="O274" s="170">
        <f>0+táj.2!O274</f>
        <v>0</v>
      </c>
      <c r="P274" s="170">
        <f>0+táj.2!P274</f>
        <v>0</v>
      </c>
      <c r="Q274" s="170">
        <f t="shared" si="18"/>
        <v>7830</v>
      </c>
    </row>
    <row r="275" spans="1:17" ht="15" customHeight="1" x14ac:dyDescent="0.2">
      <c r="A275" s="197"/>
      <c r="B275" s="197"/>
      <c r="C275" s="217"/>
      <c r="D275" s="314" t="s">
        <v>735</v>
      </c>
      <c r="E275" s="208">
        <v>1</v>
      </c>
      <c r="F275" s="170">
        <v>151403</v>
      </c>
      <c r="G275" s="170">
        <f>0+táj.2!G275</f>
        <v>0</v>
      </c>
      <c r="H275" s="170">
        <f>0+táj.2!H275</f>
        <v>0</v>
      </c>
      <c r="I275" s="170">
        <f>0+táj.2!I275</f>
        <v>0</v>
      </c>
      <c r="J275" s="170">
        <f>0+táj.2!J275</f>
        <v>0</v>
      </c>
      <c r="K275" s="170">
        <f>0+táj.2!K275</f>
        <v>0</v>
      </c>
      <c r="L275" s="170">
        <f>0+táj.2!L275</f>
        <v>0</v>
      </c>
      <c r="M275" s="170">
        <f>0+táj.2!M275</f>
        <v>0</v>
      </c>
      <c r="N275" s="170">
        <f>0+táj.2!N275</f>
        <v>0</v>
      </c>
      <c r="O275" s="170">
        <f>0+táj.2!O275</f>
        <v>0</v>
      </c>
      <c r="P275" s="170">
        <f>0+táj.2!P275</f>
        <v>0</v>
      </c>
      <c r="Q275" s="170">
        <f t="shared" si="18"/>
        <v>0</v>
      </c>
    </row>
    <row r="276" spans="1:17" ht="15" customHeight="1" x14ac:dyDescent="0.2">
      <c r="A276" s="197"/>
      <c r="B276" s="197"/>
      <c r="C276" s="217"/>
      <c r="D276" s="314" t="s">
        <v>736</v>
      </c>
      <c r="E276" s="208">
        <v>2</v>
      </c>
      <c r="F276" s="208">
        <v>151404</v>
      </c>
      <c r="G276" s="170">
        <f>0+táj.2!G276</f>
        <v>0</v>
      </c>
      <c r="H276" s="170">
        <f>0+táj.2!H276</f>
        <v>0</v>
      </c>
      <c r="I276" s="170">
        <f>6015+táj.2!I276</f>
        <v>6015</v>
      </c>
      <c r="J276" s="170">
        <f>0+táj.2!J276</f>
        <v>0</v>
      </c>
      <c r="K276" s="170">
        <f>0+táj.2!K276</f>
        <v>0</v>
      </c>
      <c r="L276" s="170">
        <f>0+táj.2!L276</f>
        <v>0</v>
      </c>
      <c r="M276" s="170">
        <f>0+táj.2!M276</f>
        <v>0</v>
      </c>
      <c r="N276" s="170">
        <f>0+táj.2!N276</f>
        <v>0</v>
      </c>
      <c r="O276" s="170">
        <f>0+táj.2!O276</f>
        <v>0</v>
      </c>
      <c r="P276" s="170">
        <f>0+táj.2!P276</f>
        <v>0</v>
      </c>
      <c r="Q276" s="170">
        <f t="shared" si="18"/>
        <v>6015</v>
      </c>
    </row>
    <row r="277" spans="1:17" ht="15" customHeight="1" x14ac:dyDescent="0.2">
      <c r="A277" s="197"/>
      <c r="B277" s="197"/>
      <c r="C277" s="217"/>
      <c r="D277" s="328" t="s">
        <v>737</v>
      </c>
      <c r="E277" s="208">
        <v>2</v>
      </c>
      <c r="F277" s="208">
        <v>151408</v>
      </c>
      <c r="G277" s="170">
        <f>0+táj.2!G277</f>
        <v>0</v>
      </c>
      <c r="H277" s="170">
        <f>0+táj.2!H277</f>
        <v>0</v>
      </c>
      <c r="I277" s="170">
        <f>2000+táj.2!I277</f>
        <v>2000</v>
      </c>
      <c r="J277" s="170">
        <f>0+táj.2!J277</f>
        <v>0</v>
      </c>
      <c r="K277" s="170">
        <f>0+táj.2!K277</f>
        <v>0</v>
      </c>
      <c r="L277" s="170">
        <f>0+táj.2!L277</f>
        <v>0</v>
      </c>
      <c r="M277" s="170">
        <f>0+táj.2!M277</f>
        <v>0</v>
      </c>
      <c r="N277" s="170">
        <f>0+táj.2!N277</f>
        <v>0</v>
      </c>
      <c r="O277" s="170">
        <f>0+táj.2!O277</f>
        <v>0</v>
      </c>
      <c r="P277" s="170">
        <f>0+táj.2!P277</f>
        <v>0</v>
      </c>
      <c r="Q277" s="170">
        <f t="shared" si="18"/>
        <v>2000</v>
      </c>
    </row>
    <row r="278" spans="1:17" ht="15" customHeight="1" x14ac:dyDescent="0.2">
      <c r="A278" s="197"/>
      <c r="B278" s="197"/>
      <c r="C278" s="217"/>
      <c r="D278" s="328" t="s">
        <v>738</v>
      </c>
      <c r="E278" s="208">
        <v>1</v>
      </c>
      <c r="F278" s="208">
        <v>151409</v>
      </c>
      <c r="G278" s="170">
        <f>0+táj.2!G278</f>
        <v>0</v>
      </c>
      <c r="H278" s="170">
        <f>0+táj.2!H278</f>
        <v>0</v>
      </c>
      <c r="I278" s="170">
        <f>0+táj.2!I278</f>
        <v>0</v>
      </c>
      <c r="J278" s="170">
        <f>0+táj.2!J278</f>
        <v>0</v>
      </c>
      <c r="K278" s="170">
        <f>0+táj.2!K278</f>
        <v>0</v>
      </c>
      <c r="L278" s="170">
        <f>0+táj.2!L278</f>
        <v>0</v>
      </c>
      <c r="M278" s="170">
        <f>0+táj.2!M278</f>
        <v>0</v>
      </c>
      <c r="N278" s="170">
        <f>0+táj.2!N278</f>
        <v>0</v>
      </c>
      <c r="O278" s="170">
        <f>0+táj.2!O278</f>
        <v>0</v>
      </c>
      <c r="P278" s="170">
        <f>0+táj.2!P278</f>
        <v>0</v>
      </c>
      <c r="Q278" s="170">
        <f t="shared" si="18"/>
        <v>0</v>
      </c>
    </row>
    <row r="279" spans="1:17" ht="15" customHeight="1" x14ac:dyDescent="0.2">
      <c r="A279" s="197"/>
      <c r="B279" s="197"/>
      <c r="C279" s="217"/>
      <c r="D279" s="329" t="s">
        <v>739</v>
      </c>
      <c r="E279" s="208">
        <v>2</v>
      </c>
      <c r="F279" s="208">
        <v>151418</v>
      </c>
      <c r="G279" s="170">
        <f>0+táj.2!G279</f>
        <v>0</v>
      </c>
      <c r="H279" s="170">
        <f>0+táj.2!H279</f>
        <v>0</v>
      </c>
      <c r="I279" s="170">
        <f>0+táj.2!I279</f>
        <v>0</v>
      </c>
      <c r="J279" s="170">
        <f>0+táj.2!J279</f>
        <v>0</v>
      </c>
      <c r="K279" s="170">
        <f>0+táj.2!K279</f>
        <v>0</v>
      </c>
      <c r="L279" s="170">
        <f>0+táj.2!L279</f>
        <v>0</v>
      </c>
      <c r="M279" s="170">
        <f>0+táj.2!M279</f>
        <v>0</v>
      </c>
      <c r="N279" s="170">
        <f>0+táj.2!N279</f>
        <v>0</v>
      </c>
      <c r="O279" s="170">
        <f>0+táj.2!O279</f>
        <v>0</v>
      </c>
      <c r="P279" s="170">
        <f>0+táj.2!P279</f>
        <v>0</v>
      </c>
      <c r="Q279" s="170">
        <f t="shared" si="18"/>
        <v>0</v>
      </c>
    </row>
    <row r="280" spans="1:17" ht="15" customHeight="1" x14ac:dyDescent="0.2">
      <c r="A280" s="197"/>
      <c r="B280" s="197"/>
      <c r="C280" s="217"/>
      <c r="D280" s="314" t="s">
        <v>740</v>
      </c>
      <c r="E280" s="208"/>
      <c r="F280" s="208"/>
      <c r="G280" s="170"/>
      <c r="H280" s="170"/>
      <c r="I280" s="170"/>
      <c r="J280" s="170"/>
      <c r="K280" s="170"/>
      <c r="L280" s="170"/>
      <c r="M280" s="170"/>
      <c r="N280" s="170"/>
      <c r="O280" s="170"/>
      <c r="P280" s="170"/>
      <c r="Q280" s="170"/>
    </row>
    <row r="281" spans="1:17" ht="24" customHeight="1" x14ac:dyDescent="0.2">
      <c r="A281" s="197"/>
      <c r="B281" s="197"/>
      <c r="C281" s="217"/>
      <c r="D281" s="172" t="s">
        <v>741</v>
      </c>
      <c r="E281" s="241">
        <v>1</v>
      </c>
      <c r="F281" s="250">
        <v>191129</v>
      </c>
      <c r="G281" s="170">
        <f>0+táj.2!G281</f>
        <v>0</v>
      </c>
      <c r="H281" s="170">
        <f>0+táj.2!H281</f>
        <v>0</v>
      </c>
      <c r="I281" s="170">
        <f>0+táj.2!I281</f>
        <v>0</v>
      </c>
      <c r="J281" s="170">
        <f>0+táj.2!J281</f>
        <v>0</v>
      </c>
      <c r="K281" s="170">
        <f>385622+táj.2!K281</f>
        <v>385622</v>
      </c>
      <c r="L281" s="170">
        <f>0+táj.2!L281</f>
        <v>0</v>
      </c>
      <c r="M281" s="170">
        <f>0+táj.2!M281</f>
        <v>0</v>
      </c>
      <c r="N281" s="170">
        <f>0+táj.2!N281</f>
        <v>0</v>
      </c>
      <c r="O281" s="170">
        <f>0+táj.2!O281</f>
        <v>0</v>
      </c>
      <c r="P281" s="170">
        <f>0+táj.2!P281</f>
        <v>0</v>
      </c>
      <c r="Q281" s="170">
        <f>SUM(G281:P281)</f>
        <v>385622</v>
      </c>
    </row>
    <row r="282" spans="1:17" ht="14.25" customHeight="1" x14ac:dyDescent="0.2">
      <c r="A282" s="197"/>
      <c r="B282" s="197"/>
      <c r="C282" s="217"/>
      <c r="D282" s="325" t="s">
        <v>742</v>
      </c>
      <c r="E282" s="208"/>
      <c r="F282" s="208"/>
      <c r="G282" s="170"/>
      <c r="H282" s="170"/>
      <c r="I282" s="170"/>
      <c r="J282" s="170"/>
      <c r="K282" s="170"/>
      <c r="L282" s="170"/>
      <c r="M282" s="170"/>
      <c r="N282" s="170"/>
      <c r="O282" s="170"/>
      <c r="P282" s="170"/>
      <c r="Q282" s="170"/>
    </row>
    <row r="283" spans="1:17" ht="15" customHeight="1" x14ac:dyDescent="0.2">
      <c r="A283" s="170"/>
      <c r="B283" s="170"/>
      <c r="C283" s="170"/>
      <c r="D283" s="314" t="s">
        <v>743</v>
      </c>
      <c r="E283" s="170">
        <v>1</v>
      </c>
      <c r="F283" s="170">
        <v>151102</v>
      </c>
      <c r="G283" s="170">
        <f>0+táj.2!G283</f>
        <v>0</v>
      </c>
      <c r="H283" s="170">
        <f>0+táj.2!H283</f>
        <v>0</v>
      </c>
      <c r="I283" s="170">
        <f>2550+táj.2!I283</f>
        <v>2550</v>
      </c>
      <c r="J283" s="170">
        <f>0+táj.2!J283</f>
        <v>0</v>
      </c>
      <c r="K283" s="170">
        <f>0+táj.2!K283</f>
        <v>0</v>
      </c>
      <c r="L283" s="170">
        <f>0+táj.2!L283</f>
        <v>0</v>
      </c>
      <c r="M283" s="170">
        <f>0+táj.2!M283</f>
        <v>0</v>
      </c>
      <c r="N283" s="170">
        <f>0+táj.2!N283</f>
        <v>0</v>
      </c>
      <c r="O283" s="170">
        <f>0+táj.2!O283</f>
        <v>0</v>
      </c>
      <c r="P283" s="170">
        <f>0+táj.2!P283</f>
        <v>0</v>
      </c>
      <c r="Q283" s="170">
        <f>SUM(G283:P283)</f>
        <v>2550</v>
      </c>
    </row>
    <row r="284" spans="1:17" ht="15" customHeight="1" x14ac:dyDescent="0.2">
      <c r="A284" s="197"/>
      <c r="B284" s="197"/>
      <c r="C284" s="217"/>
      <c r="D284" s="314" t="s">
        <v>744</v>
      </c>
      <c r="E284" s="170">
        <v>1</v>
      </c>
      <c r="F284" s="170">
        <v>151103</v>
      </c>
      <c r="G284" s="170">
        <f>0+táj.2!G284</f>
        <v>0</v>
      </c>
      <c r="H284" s="170">
        <f>0+táj.2!H284</f>
        <v>0</v>
      </c>
      <c r="I284" s="170">
        <f>2801+táj.2!I284</f>
        <v>2801</v>
      </c>
      <c r="J284" s="170">
        <f>0+táj.2!J284</f>
        <v>0</v>
      </c>
      <c r="K284" s="170">
        <f>0+táj.2!K284</f>
        <v>0</v>
      </c>
      <c r="L284" s="170">
        <f>0+táj.2!L284</f>
        <v>0</v>
      </c>
      <c r="M284" s="170">
        <f>0+táj.2!M284</f>
        <v>0</v>
      </c>
      <c r="N284" s="170">
        <f>0+táj.2!N284</f>
        <v>0</v>
      </c>
      <c r="O284" s="170">
        <f>0+táj.2!O284</f>
        <v>0</v>
      </c>
      <c r="P284" s="170">
        <f>0+táj.2!P284</f>
        <v>0</v>
      </c>
      <c r="Q284" s="170">
        <f>SUM(G284:P284)</f>
        <v>2801</v>
      </c>
    </row>
    <row r="285" spans="1:17" ht="15" customHeight="1" x14ac:dyDescent="0.2">
      <c r="A285" s="197"/>
      <c r="B285" s="197"/>
      <c r="C285" s="217"/>
      <c r="D285" s="314" t="s">
        <v>745</v>
      </c>
      <c r="E285" s="170">
        <v>1</v>
      </c>
      <c r="F285" s="170">
        <v>151105</v>
      </c>
      <c r="G285" s="170">
        <f>0+táj.2!G285</f>
        <v>0</v>
      </c>
      <c r="H285" s="170">
        <f>0+táj.2!H285</f>
        <v>0</v>
      </c>
      <c r="I285" s="170">
        <f>1500+táj.2!I285</f>
        <v>1500</v>
      </c>
      <c r="J285" s="170">
        <f>0+táj.2!J285</f>
        <v>0</v>
      </c>
      <c r="K285" s="170">
        <f>0+táj.2!K285</f>
        <v>0</v>
      </c>
      <c r="L285" s="170">
        <f>0+táj.2!L285</f>
        <v>0</v>
      </c>
      <c r="M285" s="170">
        <f>0+táj.2!M285</f>
        <v>0</v>
      </c>
      <c r="N285" s="170">
        <f>0+táj.2!N285</f>
        <v>0</v>
      </c>
      <c r="O285" s="170">
        <f>0+táj.2!O285</f>
        <v>0</v>
      </c>
      <c r="P285" s="170">
        <f>0+táj.2!P285</f>
        <v>0</v>
      </c>
      <c r="Q285" s="170">
        <f>SUM(G285:P285)</f>
        <v>1500</v>
      </c>
    </row>
    <row r="286" spans="1:17" ht="15" customHeight="1" x14ac:dyDescent="0.2">
      <c r="A286" s="197"/>
      <c r="B286" s="197"/>
      <c r="C286" s="217"/>
      <c r="D286" s="314" t="s">
        <v>746</v>
      </c>
      <c r="E286" s="208"/>
      <c r="F286" s="208"/>
      <c r="G286" s="170"/>
      <c r="H286" s="170"/>
      <c r="I286" s="170"/>
      <c r="J286" s="170"/>
      <c r="K286" s="170"/>
      <c r="L286" s="170"/>
      <c r="M286" s="170"/>
      <c r="N286" s="170"/>
      <c r="O286" s="170"/>
      <c r="P286" s="170"/>
      <c r="Q286" s="170"/>
    </row>
    <row r="287" spans="1:17" ht="15" customHeight="1" x14ac:dyDescent="0.2">
      <c r="A287" s="197"/>
      <c r="B287" s="197"/>
      <c r="C287" s="217"/>
      <c r="D287" s="325" t="s">
        <v>747</v>
      </c>
      <c r="E287" s="208">
        <v>1</v>
      </c>
      <c r="F287" s="170">
        <v>151301</v>
      </c>
      <c r="G287" s="170">
        <f>0+táj.2!G287</f>
        <v>0</v>
      </c>
      <c r="H287" s="170">
        <f>0+táj.2!H287</f>
        <v>0</v>
      </c>
      <c r="I287" s="170">
        <f>18467+táj.2!I287</f>
        <v>16310</v>
      </c>
      <c r="J287" s="170">
        <f>0+táj.2!J287</f>
        <v>0</v>
      </c>
      <c r="K287" s="170">
        <f>0+táj.2!K287</f>
        <v>0</v>
      </c>
      <c r="L287" s="170">
        <f>0+táj.2!L287</f>
        <v>0</v>
      </c>
      <c r="M287" s="170">
        <f>0+táj.2!M287</f>
        <v>0</v>
      </c>
      <c r="N287" s="170">
        <f>0+táj.2!N287</f>
        <v>0</v>
      </c>
      <c r="O287" s="170">
        <f>0+táj.2!O287</f>
        <v>0</v>
      </c>
      <c r="P287" s="170">
        <f>0+táj.2!P287</f>
        <v>0</v>
      </c>
      <c r="Q287" s="170">
        <f t="shared" ref="Q287:Q302" si="19">SUM(G287:P287)</f>
        <v>16310</v>
      </c>
    </row>
    <row r="288" spans="1:17" ht="15" customHeight="1" x14ac:dyDescent="0.2">
      <c r="A288" s="197"/>
      <c r="B288" s="197"/>
      <c r="C288" s="217"/>
      <c r="D288" s="325" t="s">
        <v>748</v>
      </c>
      <c r="E288" s="208">
        <v>1</v>
      </c>
      <c r="F288" s="170">
        <v>151310</v>
      </c>
      <c r="G288" s="170">
        <f>0+táj.2!G288</f>
        <v>0</v>
      </c>
      <c r="H288" s="170">
        <f>0+táj.2!H288</f>
        <v>0</v>
      </c>
      <c r="I288" s="170">
        <f>15387+táj.2!I288</f>
        <v>15387</v>
      </c>
      <c r="J288" s="170">
        <f>0+táj.2!J288</f>
        <v>0</v>
      </c>
      <c r="K288" s="170">
        <f>0+táj.2!K288</f>
        <v>0</v>
      </c>
      <c r="L288" s="170">
        <f>0+táj.2!L288</f>
        <v>0</v>
      </c>
      <c r="M288" s="170">
        <f>0+táj.2!M288</f>
        <v>0</v>
      </c>
      <c r="N288" s="170">
        <f>0+táj.2!N288</f>
        <v>0</v>
      </c>
      <c r="O288" s="170">
        <f>0+táj.2!O288</f>
        <v>0</v>
      </c>
      <c r="P288" s="170">
        <f>0+táj.2!P288</f>
        <v>0</v>
      </c>
      <c r="Q288" s="170">
        <f t="shared" si="19"/>
        <v>15387</v>
      </c>
    </row>
    <row r="289" spans="1:17" ht="15" customHeight="1" x14ac:dyDescent="0.2">
      <c r="A289" s="197"/>
      <c r="B289" s="197"/>
      <c r="C289" s="217"/>
      <c r="D289" s="325" t="s">
        <v>749</v>
      </c>
      <c r="E289" s="208">
        <v>1</v>
      </c>
      <c r="F289" s="170">
        <v>151313</v>
      </c>
      <c r="G289" s="170">
        <f>0+táj.2!G289</f>
        <v>0</v>
      </c>
      <c r="H289" s="170">
        <f>0+táj.2!H289</f>
        <v>0</v>
      </c>
      <c r="I289" s="170">
        <f>15166+táj.2!I289</f>
        <v>14950</v>
      </c>
      <c r="J289" s="170">
        <f>0+táj.2!J289</f>
        <v>0</v>
      </c>
      <c r="K289" s="170">
        <f>0+táj.2!K289</f>
        <v>0</v>
      </c>
      <c r="L289" s="170">
        <f>0+táj.2!L289</f>
        <v>0</v>
      </c>
      <c r="M289" s="170">
        <f>0+táj.2!M289</f>
        <v>0</v>
      </c>
      <c r="N289" s="170">
        <f>0+táj.2!N289</f>
        <v>0</v>
      </c>
      <c r="O289" s="170">
        <f>0+táj.2!O289</f>
        <v>0</v>
      </c>
      <c r="P289" s="170">
        <f>0+táj.2!P289</f>
        <v>0</v>
      </c>
      <c r="Q289" s="170">
        <f t="shared" si="19"/>
        <v>14950</v>
      </c>
    </row>
    <row r="290" spans="1:17" ht="15" customHeight="1" x14ac:dyDescent="0.2">
      <c r="A290" s="197"/>
      <c r="B290" s="197"/>
      <c r="C290" s="217"/>
      <c r="D290" s="325" t="s">
        <v>750</v>
      </c>
      <c r="E290" s="208">
        <v>1</v>
      </c>
      <c r="F290" s="170">
        <v>151314</v>
      </c>
      <c r="G290" s="170">
        <f>0+táj.2!G290</f>
        <v>0</v>
      </c>
      <c r="H290" s="170">
        <f>0+táj.2!H290</f>
        <v>0</v>
      </c>
      <c r="I290" s="170">
        <f>36499+táj.2!I290</f>
        <v>36499</v>
      </c>
      <c r="J290" s="170">
        <f>0+táj.2!J290</f>
        <v>0</v>
      </c>
      <c r="K290" s="170">
        <f>0+táj.2!K290</f>
        <v>0</v>
      </c>
      <c r="L290" s="170">
        <f>0+táj.2!L290</f>
        <v>0</v>
      </c>
      <c r="M290" s="170">
        <f>0+táj.2!M290</f>
        <v>0</v>
      </c>
      <c r="N290" s="170">
        <f>0+táj.2!N290</f>
        <v>0</v>
      </c>
      <c r="O290" s="170">
        <f>0+táj.2!O290</f>
        <v>0</v>
      </c>
      <c r="P290" s="170">
        <f>0+táj.2!P290</f>
        <v>0</v>
      </c>
      <c r="Q290" s="170">
        <f t="shared" si="19"/>
        <v>36499</v>
      </c>
    </row>
    <row r="291" spans="1:17" ht="15" customHeight="1" x14ac:dyDescent="0.2">
      <c r="A291" s="197"/>
      <c r="B291" s="197"/>
      <c r="C291" s="217"/>
      <c r="D291" s="325" t="s">
        <v>751</v>
      </c>
      <c r="E291" s="208">
        <v>1</v>
      </c>
      <c r="F291" s="170">
        <v>151320</v>
      </c>
      <c r="G291" s="170">
        <f>0+táj.2!G291</f>
        <v>0</v>
      </c>
      <c r="H291" s="170">
        <f>0+táj.2!H291</f>
        <v>0</v>
      </c>
      <c r="I291" s="170">
        <f>3500+táj.2!I291</f>
        <v>3500</v>
      </c>
      <c r="J291" s="170">
        <f>0+táj.2!J291</f>
        <v>0</v>
      </c>
      <c r="K291" s="170">
        <f>0+táj.2!K291</f>
        <v>0</v>
      </c>
      <c r="L291" s="170">
        <f>0+táj.2!L291</f>
        <v>0</v>
      </c>
      <c r="M291" s="170">
        <f>0+táj.2!M291</f>
        <v>0</v>
      </c>
      <c r="N291" s="170">
        <f>0+táj.2!N291</f>
        <v>0</v>
      </c>
      <c r="O291" s="170">
        <f>0+táj.2!O291</f>
        <v>0</v>
      </c>
      <c r="P291" s="170">
        <f>0+táj.2!P291</f>
        <v>0</v>
      </c>
      <c r="Q291" s="170">
        <f t="shared" si="19"/>
        <v>3500</v>
      </c>
    </row>
    <row r="292" spans="1:17" ht="15" customHeight="1" x14ac:dyDescent="0.2">
      <c r="A292" s="197"/>
      <c r="B292" s="197"/>
      <c r="C292" s="217"/>
      <c r="D292" s="325" t="s">
        <v>752</v>
      </c>
      <c r="E292" s="208">
        <v>1</v>
      </c>
      <c r="F292" s="170">
        <v>151317</v>
      </c>
      <c r="G292" s="170">
        <f>0+táj.2!G292</f>
        <v>0</v>
      </c>
      <c r="H292" s="170">
        <f>0+táj.2!H292</f>
        <v>0</v>
      </c>
      <c r="I292" s="170">
        <f>16718+táj.2!I292</f>
        <v>16718</v>
      </c>
      <c r="J292" s="170">
        <f>0+táj.2!J292</f>
        <v>0</v>
      </c>
      <c r="K292" s="170">
        <f>0+táj.2!K292</f>
        <v>0</v>
      </c>
      <c r="L292" s="170">
        <f>0+táj.2!L292</f>
        <v>0</v>
      </c>
      <c r="M292" s="170">
        <f>0+táj.2!M292</f>
        <v>0</v>
      </c>
      <c r="N292" s="170">
        <f>0+táj.2!N292</f>
        <v>0</v>
      </c>
      <c r="O292" s="170">
        <f>0+táj.2!O292</f>
        <v>0</v>
      </c>
      <c r="P292" s="170">
        <f>0+táj.2!P292</f>
        <v>0</v>
      </c>
      <c r="Q292" s="170">
        <f t="shared" si="19"/>
        <v>16718</v>
      </c>
    </row>
    <row r="293" spans="1:17" ht="19.5" customHeight="1" x14ac:dyDescent="0.2">
      <c r="A293" s="197"/>
      <c r="B293" s="197"/>
      <c r="C293" s="217"/>
      <c r="D293" s="172" t="s">
        <v>753</v>
      </c>
      <c r="E293" s="208">
        <v>1</v>
      </c>
      <c r="F293" s="462">
        <v>151306</v>
      </c>
      <c r="G293" s="170">
        <f>0+táj.2!G293</f>
        <v>0</v>
      </c>
      <c r="H293" s="170">
        <f>0+táj.2!H293</f>
        <v>0</v>
      </c>
      <c r="I293" s="170">
        <f>9226+táj.2!I293</f>
        <v>9226</v>
      </c>
      <c r="J293" s="170">
        <f>0+táj.2!J293</f>
        <v>0</v>
      </c>
      <c r="K293" s="170">
        <f>0+táj.2!K293</f>
        <v>0</v>
      </c>
      <c r="L293" s="170">
        <f>0+táj.2!L293</f>
        <v>0</v>
      </c>
      <c r="M293" s="170">
        <f>0+táj.2!M293</f>
        <v>0</v>
      </c>
      <c r="N293" s="170">
        <f>0+táj.2!N293</f>
        <v>0</v>
      </c>
      <c r="O293" s="170">
        <f>0+táj.2!O293</f>
        <v>0</v>
      </c>
      <c r="P293" s="170">
        <f>0+táj.2!P293</f>
        <v>0</v>
      </c>
      <c r="Q293" s="170">
        <f t="shared" si="19"/>
        <v>9226</v>
      </c>
    </row>
    <row r="294" spans="1:17" ht="36" customHeight="1" x14ac:dyDescent="0.2">
      <c r="A294" s="197"/>
      <c r="B294" s="197"/>
      <c r="C294" s="217"/>
      <c r="D294" s="172" t="s">
        <v>754</v>
      </c>
      <c r="E294" s="208">
        <v>1</v>
      </c>
      <c r="F294" s="170">
        <v>151307</v>
      </c>
      <c r="G294" s="170">
        <f>0+táj.2!G294</f>
        <v>0</v>
      </c>
      <c r="H294" s="170">
        <f>0+táj.2!H294</f>
        <v>0</v>
      </c>
      <c r="I294" s="170">
        <f>13052+táj.2!I294</f>
        <v>13052</v>
      </c>
      <c r="J294" s="170">
        <f>0+táj.2!J294</f>
        <v>0</v>
      </c>
      <c r="K294" s="170">
        <f>0+táj.2!K294</f>
        <v>0</v>
      </c>
      <c r="L294" s="170">
        <f>0+táj.2!L294</f>
        <v>0</v>
      </c>
      <c r="M294" s="170">
        <f>0+táj.2!M294</f>
        <v>0</v>
      </c>
      <c r="N294" s="170">
        <f>0+táj.2!N294</f>
        <v>0</v>
      </c>
      <c r="O294" s="170">
        <f>0+táj.2!O294</f>
        <v>0</v>
      </c>
      <c r="P294" s="170">
        <f>0+táj.2!P294</f>
        <v>0</v>
      </c>
      <c r="Q294" s="170">
        <f t="shared" si="19"/>
        <v>13052</v>
      </c>
    </row>
    <row r="295" spans="1:17" ht="24" customHeight="1" x14ac:dyDescent="0.2">
      <c r="A295" s="197"/>
      <c r="B295" s="197"/>
      <c r="C295" s="217"/>
      <c r="D295" s="172" t="s">
        <v>755</v>
      </c>
      <c r="E295" s="208">
        <v>1</v>
      </c>
      <c r="F295" s="170">
        <v>151308</v>
      </c>
      <c r="G295" s="170">
        <f>0+táj.2!G295</f>
        <v>0</v>
      </c>
      <c r="H295" s="170">
        <f>0+táj.2!H295</f>
        <v>0</v>
      </c>
      <c r="I295" s="170">
        <f>1183+táj.2!I295</f>
        <v>1183</v>
      </c>
      <c r="J295" s="170">
        <f>0+táj.2!J295</f>
        <v>0</v>
      </c>
      <c r="K295" s="170">
        <f>0+táj.2!K295</f>
        <v>0</v>
      </c>
      <c r="L295" s="170">
        <f>0+táj.2!L295</f>
        <v>0</v>
      </c>
      <c r="M295" s="170">
        <f>0+táj.2!M295</f>
        <v>0</v>
      </c>
      <c r="N295" s="170">
        <f>0+táj.2!N295</f>
        <v>0</v>
      </c>
      <c r="O295" s="170">
        <f>0+táj.2!O295</f>
        <v>0</v>
      </c>
      <c r="P295" s="170">
        <f>0+táj.2!P295</f>
        <v>0</v>
      </c>
      <c r="Q295" s="170">
        <f t="shared" si="19"/>
        <v>1183</v>
      </c>
    </row>
    <row r="296" spans="1:17" ht="24" customHeight="1" x14ac:dyDescent="0.2">
      <c r="A296" s="197"/>
      <c r="B296" s="197"/>
      <c r="C296" s="217"/>
      <c r="D296" s="172" t="s">
        <v>756</v>
      </c>
      <c r="E296" s="241">
        <v>1</v>
      </c>
      <c r="F296" s="250">
        <v>151311</v>
      </c>
      <c r="G296" s="170">
        <f>0+táj.2!G296</f>
        <v>0</v>
      </c>
      <c r="H296" s="170">
        <f>0+táj.2!H296</f>
        <v>0</v>
      </c>
      <c r="I296" s="170">
        <f>1000+táj.2!I296</f>
        <v>1245</v>
      </c>
      <c r="J296" s="170">
        <f>0+táj.2!J296</f>
        <v>0</v>
      </c>
      <c r="K296" s="170">
        <f>0+táj.2!K296</f>
        <v>0</v>
      </c>
      <c r="L296" s="170">
        <f>0+táj.2!L296</f>
        <v>0</v>
      </c>
      <c r="M296" s="170">
        <f>0+táj.2!M296</f>
        <v>0</v>
      </c>
      <c r="N296" s="170">
        <f>0+táj.2!N296</f>
        <v>0</v>
      </c>
      <c r="O296" s="170">
        <f>0+táj.2!O296</f>
        <v>0</v>
      </c>
      <c r="P296" s="170">
        <f>0+táj.2!P296</f>
        <v>0</v>
      </c>
      <c r="Q296" s="170">
        <f t="shared" si="19"/>
        <v>1245</v>
      </c>
    </row>
    <row r="297" spans="1:17" ht="15" customHeight="1" x14ac:dyDescent="0.2">
      <c r="A297" s="197"/>
      <c r="B297" s="197"/>
      <c r="C297" s="217"/>
      <c r="D297" s="314" t="s">
        <v>757</v>
      </c>
      <c r="E297" s="208">
        <v>1</v>
      </c>
      <c r="F297" s="170">
        <v>151312</v>
      </c>
      <c r="G297" s="170">
        <f>0+táj.2!G297</f>
        <v>0</v>
      </c>
      <c r="H297" s="170">
        <f>0+táj.2!H297</f>
        <v>0</v>
      </c>
      <c r="I297" s="170">
        <f>500+táj.2!I297</f>
        <v>350</v>
      </c>
      <c r="J297" s="170">
        <f>0+táj.2!J297</f>
        <v>0</v>
      </c>
      <c r="K297" s="170">
        <f>0+táj.2!K297</f>
        <v>0</v>
      </c>
      <c r="L297" s="170">
        <f>0+táj.2!L297</f>
        <v>0</v>
      </c>
      <c r="M297" s="170">
        <f>0+táj.2!M297</f>
        <v>0</v>
      </c>
      <c r="N297" s="170">
        <f>0+táj.2!N297</f>
        <v>0</v>
      </c>
      <c r="O297" s="170">
        <f>0+táj.2!O297</f>
        <v>0</v>
      </c>
      <c r="P297" s="170">
        <f>0+táj.2!P297</f>
        <v>0</v>
      </c>
      <c r="Q297" s="170">
        <f t="shared" si="19"/>
        <v>350</v>
      </c>
    </row>
    <row r="298" spans="1:17" ht="17.25" customHeight="1" x14ac:dyDescent="0.2">
      <c r="A298" s="197"/>
      <c r="B298" s="197"/>
      <c r="C298" s="217"/>
      <c r="D298" s="172" t="s">
        <v>758</v>
      </c>
      <c r="E298" s="208">
        <v>1</v>
      </c>
      <c r="F298" s="170">
        <v>151302</v>
      </c>
      <c r="G298" s="170">
        <f>0+táj.2!G298</f>
        <v>0</v>
      </c>
      <c r="H298" s="170">
        <f>0+táj.2!H298</f>
        <v>0</v>
      </c>
      <c r="I298" s="170">
        <f>2000+táj.2!I298</f>
        <v>2000</v>
      </c>
      <c r="J298" s="170">
        <f>0+táj.2!J298</f>
        <v>0</v>
      </c>
      <c r="K298" s="170">
        <f>0+táj.2!K298</f>
        <v>0</v>
      </c>
      <c r="L298" s="170">
        <f>0+táj.2!L298</f>
        <v>0</v>
      </c>
      <c r="M298" s="170">
        <f>0+táj.2!M298</f>
        <v>0</v>
      </c>
      <c r="N298" s="170">
        <f>0+táj.2!N298</f>
        <v>0</v>
      </c>
      <c r="O298" s="170">
        <f>0+táj.2!O298</f>
        <v>0</v>
      </c>
      <c r="P298" s="170">
        <f>0+táj.2!P298</f>
        <v>0</v>
      </c>
      <c r="Q298" s="170">
        <f t="shared" si="19"/>
        <v>2000</v>
      </c>
    </row>
    <row r="299" spans="1:17" ht="25.5" customHeight="1" x14ac:dyDescent="0.2">
      <c r="A299" s="197"/>
      <c r="B299" s="197"/>
      <c r="C299" s="217"/>
      <c r="D299" s="171" t="s">
        <v>759</v>
      </c>
      <c r="E299" s="208">
        <v>1</v>
      </c>
      <c r="F299" s="170">
        <v>151303</v>
      </c>
      <c r="G299" s="170">
        <f>0+táj.2!G299</f>
        <v>0</v>
      </c>
      <c r="H299" s="170">
        <f>0+táj.2!H299</f>
        <v>0</v>
      </c>
      <c r="I299" s="170">
        <f>0+táj.2!I299</f>
        <v>0</v>
      </c>
      <c r="J299" s="170">
        <f>0+táj.2!J299</f>
        <v>0</v>
      </c>
      <c r="K299" s="170">
        <f>0+táj.2!K299</f>
        <v>0</v>
      </c>
      <c r="L299" s="170">
        <f>0+táj.2!L299</f>
        <v>0</v>
      </c>
      <c r="M299" s="170">
        <f>0+táj.2!M299</f>
        <v>0</v>
      </c>
      <c r="N299" s="170">
        <f>0+táj.2!N299</f>
        <v>0</v>
      </c>
      <c r="O299" s="170">
        <f>0+táj.2!O299</f>
        <v>0</v>
      </c>
      <c r="P299" s="170">
        <f>0+táj.2!P299</f>
        <v>0</v>
      </c>
      <c r="Q299" s="170">
        <f t="shared" si="19"/>
        <v>0</v>
      </c>
    </row>
    <row r="300" spans="1:17" ht="25.5" customHeight="1" x14ac:dyDescent="0.2">
      <c r="A300" s="197"/>
      <c r="B300" s="197"/>
      <c r="C300" s="217"/>
      <c r="D300" s="330" t="s">
        <v>760</v>
      </c>
      <c r="E300" s="331">
        <v>2</v>
      </c>
      <c r="F300" s="250">
        <v>151315</v>
      </c>
      <c r="G300" s="170">
        <f>0+táj.2!G300</f>
        <v>0</v>
      </c>
      <c r="H300" s="170">
        <f>0+táj.2!H300</f>
        <v>0</v>
      </c>
      <c r="I300" s="170">
        <f>0+táj.2!I300</f>
        <v>150</v>
      </c>
      <c r="J300" s="170">
        <f>0+táj.2!J300</f>
        <v>0</v>
      </c>
      <c r="K300" s="170">
        <f>0+táj.2!K300</f>
        <v>0</v>
      </c>
      <c r="L300" s="170">
        <f>0+táj.2!L300</f>
        <v>0</v>
      </c>
      <c r="M300" s="170">
        <f>0+táj.2!M300</f>
        <v>0</v>
      </c>
      <c r="N300" s="170">
        <f>0+táj.2!N300</f>
        <v>0</v>
      </c>
      <c r="O300" s="170">
        <f>0+táj.2!O300</f>
        <v>0</v>
      </c>
      <c r="P300" s="170">
        <f>0+táj.2!P300</f>
        <v>0</v>
      </c>
      <c r="Q300" s="170">
        <f t="shared" si="19"/>
        <v>150</v>
      </c>
    </row>
    <row r="301" spans="1:17" ht="25.5" customHeight="1" x14ac:dyDescent="0.2">
      <c r="A301" s="197"/>
      <c r="B301" s="197"/>
      <c r="C301" s="217"/>
      <c r="D301" s="617" t="s">
        <v>1450</v>
      </c>
      <c r="E301" s="332">
        <v>1</v>
      </c>
      <c r="F301" s="250">
        <v>151321</v>
      </c>
      <c r="G301" s="170">
        <f>0+táj.2!G301</f>
        <v>0</v>
      </c>
      <c r="H301" s="170">
        <f>0+táj.2!H301</f>
        <v>0</v>
      </c>
      <c r="I301" s="170">
        <f>3000+táj.2!I301</f>
        <v>0</v>
      </c>
      <c r="J301" s="170">
        <f>0+táj.2!J301</f>
        <v>0</v>
      </c>
      <c r="K301" s="170">
        <f>0+táj.2!K301</f>
        <v>0</v>
      </c>
      <c r="L301" s="170">
        <f>0+táj.2!L301</f>
        <v>1255</v>
      </c>
      <c r="M301" s="170">
        <f>0+táj.2!M301</f>
        <v>2411</v>
      </c>
      <c r="N301" s="170">
        <f>0+táj.2!N301</f>
        <v>0</v>
      </c>
      <c r="O301" s="170">
        <f>0+táj.2!O301</f>
        <v>0</v>
      </c>
      <c r="P301" s="170">
        <f>0+táj.2!P301</f>
        <v>0</v>
      </c>
      <c r="Q301" s="170">
        <f t="shared" si="19"/>
        <v>3666</v>
      </c>
    </row>
    <row r="302" spans="1:17" ht="25.5" customHeight="1" x14ac:dyDescent="0.2">
      <c r="A302" s="197"/>
      <c r="B302" s="197"/>
      <c r="C302" s="217"/>
      <c r="D302" s="172" t="s">
        <v>761</v>
      </c>
      <c r="E302" s="179">
        <v>1</v>
      </c>
      <c r="F302" s="250">
        <v>151319</v>
      </c>
      <c r="G302" s="170">
        <f>0+táj.2!G302</f>
        <v>0</v>
      </c>
      <c r="H302" s="170">
        <f>0+táj.2!H302</f>
        <v>0</v>
      </c>
      <c r="I302" s="170">
        <f>1399+táj.2!I302</f>
        <v>1399</v>
      </c>
      <c r="J302" s="170">
        <f>0+táj.2!J302</f>
        <v>0</v>
      </c>
      <c r="K302" s="170">
        <f>0+táj.2!K302</f>
        <v>0</v>
      </c>
      <c r="L302" s="170">
        <f>0+táj.2!L302</f>
        <v>0</v>
      </c>
      <c r="M302" s="170">
        <f>0+táj.2!M302</f>
        <v>0</v>
      </c>
      <c r="N302" s="170">
        <f>0+táj.2!N302</f>
        <v>0</v>
      </c>
      <c r="O302" s="170">
        <f>0+táj.2!O302</f>
        <v>0</v>
      </c>
      <c r="P302" s="170">
        <f>0+táj.2!P302</f>
        <v>0</v>
      </c>
      <c r="Q302" s="170">
        <f t="shared" si="19"/>
        <v>1399</v>
      </c>
    </row>
    <row r="303" spans="1:17" ht="24.95" customHeight="1" x14ac:dyDescent="0.2">
      <c r="A303" s="197"/>
      <c r="B303" s="197"/>
      <c r="C303" s="217"/>
      <c r="D303" s="172" t="s">
        <v>763</v>
      </c>
      <c r="E303" s="241"/>
      <c r="F303" s="241"/>
      <c r="G303" s="170"/>
      <c r="H303" s="170"/>
      <c r="I303" s="170"/>
      <c r="J303" s="170"/>
      <c r="K303" s="170"/>
      <c r="L303" s="170"/>
      <c r="M303" s="170"/>
      <c r="N303" s="170"/>
      <c r="O303" s="170"/>
      <c r="P303" s="170"/>
      <c r="Q303" s="170"/>
    </row>
    <row r="304" spans="1:17" ht="14.1" customHeight="1" x14ac:dyDescent="0.2">
      <c r="A304" s="197"/>
      <c r="B304" s="197"/>
      <c r="C304" s="217"/>
      <c r="D304" s="314" t="s">
        <v>764</v>
      </c>
      <c r="E304" s="170">
        <v>1</v>
      </c>
      <c r="F304" s="170">
        <v>151703</v>
      </c>
      <c r="G304" s="170">
        <f>0+táj.2!G304</f>
        <v>0</v>
      </c>
      <c r="H304" s="170">
        <f>0+táj.2!H304</f>
        <v>0</v>
      </c>
      <c r="I304" s="170">
        <f>2000+táj.2!I304</f>
        <v>2000</v>
      </c>
      <c r="J304" s="170">
        <f>0+táj.2!J304</f>
        <v>0</v>
      </c>
      <c r="K304" s="170">
        <f>0+táj.2!K304</f>
        <v>0</v>
      </c>
      <c r="L304" s="170">
        <f>0+táj.2!L304</f>
        <v>0</v>
      </c>
      <c r="M304" s="170">
        <f>0+táj.2!M304</f>
        <v>0</v>
      </c>
      <c r="N304" s="170">
        <f>0+táj.2!N304</f>
        <v>0</v>
      </c>
      <c r="O304" s="170">
        <f>0+táj.2!O304</f>
        <v>0</v>
      </c>
      <c r="P304" s="170">
        <f>0+táj.2!P304</f>
        <v>0</v>
      </c>
      <c r="Q304" s="170">
        <f>SUM(G304:P304)</f>
        <v>2000</v>
      </c>
    </row>
    <row r="305" spans="1:17" ht="14.1" customHeight="1" x14ac:dyDescent="0.2">
      <c r="A305" s="197"/>
      <c r="B305" s="197"/>
      <c r="C305" s="217"/>
      <c r="D305" s="325" t="s">
        <v>356</v>
      </c>
      <c r="E305" s="208"/>
      <c r="F305" s="208"/>
      <c r="G305" s="170"/>
      <c r="H305" s="170"/>
      <c r="I305" s="170"/>
      <c r="J305" s="170"/>
      <c r="K305" s="170"/>
      <c r="L305" s="170"/>
      <c r="M305" s="170"/>
      <c r="N305" s="170"/>
      <c r="O305" s="170"/>
      <c r="P305" s="170"/>
      <c r="Q305" s="170"/>
    </row>
    <row r="306" spans="1:17" ht="14.1" customHeight="1" x14ac:dyDescent="0.2">
      <c r="A306" s="197"/>
      <c r="B306" s="197"/>
      <c r="C306" s="217"/>
      <c r="D306" s="314" t="s">
        <v>765</v>
      </c>
      <c r="E306" s="170">
        <v>1</v>
      </c>
      <c r="F306" s="170">
        <v>151601</v>
      </c>
      <c r="G306" s="170">
        <f>0+táj.2!G306</f>
        <v>0</v>
      </c>
      <c r="H306" s="170">
        <f>0+táj.2!H306</f>
        <v>0</v>
      </c>
      <c r="I306" s="170">
        <f>15249+táj.2!I306</f>
        <v>13326</v>
      </c>
      <c r="J306" s="170">
        <f>0+táj.2!J306</f>
        <v>0</v>
      </c>
      <c r="K306" s="170">
        <f>0+táj.2!K306</f>
        <v>0</v>
      </c>
      <c r="L306" s="170">
        <f>0+táj.2!L306</f>
        <v>0</v>
      </c>
      <c r="M306" s="170">
        <f>0+táj.2!M306</f>
        <v>0</v>
      </c>
      <c r="N306" s="170">
        <f>0+táj.2!N306</f>
        <v>0</v>
      </c>
      <c r="O306" s="170">
        <f>0+táj.2!O306</f>
        <v>0</v>
      </c>
      <c r="P306" s="170">
        <f>0+táj.2!P306</f>
        <v>0</v>
      </c>
      <c r="Q306" s="170">
        <f t="shared" ref="Q306:Q325" si="20">SUM(G306:P306)</f>
        <v>13326</v>
      </c>
    </row>
    <row r="307" spans="1:17" ht="14.1" customHeight="1" x14ac:dyDescent="0.2">
      <c r="A307" s="197"/>
      <c r="B307" s="197"/>
      <c r="C307" s="217"/>
      <c r="D307" s="314" t="s">
        <v>766</v>
      </c>
      <c r="E307" s="170">
        <v>1</v>
      </c>
      <c r="F307" s="170">
        <v>151602</v>
      </c>
      <c r="G307" s="170">
        <f>0+táj.2!G307</f>
        <v>0</v>
      </c>
      <c r="H307" s="170">
        <f>0+táj.2!H307</f>
        <v>0</v>
      </c>
      <c r="I307" s="170">
        <f>0+táj.2!I307</f>
        <v>0</v>
      </c>
      <c r="J307" s="170">
        <f>0+táj.2!J307</f>
        <v>0</v>
      </c>
      <c r="K307" s="170">
        <f>19500+táj.2!K307</f>
        <v>19500</v>
      </c>
      <c r="L307" s="170">
        <f>0+táj.2!L307</f>
        <v>0</v>
      </c>
      <c r="M307" s="170">
        <f>0+táj.2!M307</f>
        <v>0</v>
      </c>
      <c r="N307" s="170">
        <f>0+táj.2!N307</f>
        <v>0</v>
      </c>
      <c r="O307" s="170">
        <f>0+táj.2!O307</f>
        <v>0</v>
      </c>
      <c r="P307" s="170">
        <f>0+táj.2!P307</f>
        <v>0</v>
      </c>
      <c r="Q307" s="170">
        <f t="shared" si="20"/>
        <v>19500</v>
      </c>
    </row>
    <row r="308" spans="1:17" ht="14.1" customHeight="1" x14ac:dyDescent="0.2">
      <c r="A308" s="197"/>
      <c r="B308" s="197"/>
      <c r="C308" s="217"/>
      <c r="D308" s="314" t="s">
        <v>767</v>
      </c>
      <c r="E308" s="170">
        <v>1</v>
      </c>
      <c r="F308" s="170">
        <v>151607</v>
      </c>
      <c r="G308" s="170">
        <f>0+táj.2!G308</f>
        <v>0</v>
      </c>
      <c r="H308" s="170">
        <f>0+táj.2!H308</f>
        <v>0</v>
      </c>
      <c r="I308" s="170">
        <f>19221+táj.2!I308</f>
        <v>19221</v>
      </c>
      <c r="J308" s="170">
        <f>0+táj.2!J308</f>
        <v>0</v>
      </c>
      <c r="K308" s="170">
        <f>415+táj.2!K308</f>
        <v>415</v>
      </c>
      <c r="L308" s="170">
        <f>400+táj.2!L308</f>
        <v>400</v>
      </c>
      <c r="M308" s="170">
        <f>0+táj.2!M308</f>
        <v>0</v>
      </c>
      <c r="N308" s="170">
        <f>0+táj.2!N308</f>
        <v>0</v>
      </c>
      <c r="O308" s="170">
        <f>0+táj.2!O308</f>
        <v>0</v>
      </c>
      <c r="P308" s="170">
        <f>0+táj.2!P308</f>
        <v>0</v>
      </c>
      <c r="Q308" s="170">
        <f t="shared" si="20"/>
        <v>20036</v>
      </c>
    </row>
    <row r="309" spans="1:17" ht="14.1" customHeight="1" x14ac:dyDescent="0.2">
      <c r="A309" s="197"/>
      <c r="B309" s="197"/>
      <c r="C309" s="217"/>
      <c r="D309" s="314" t="s">
        <v>768</v>
      </c>
      <c r="E309" s="170">
        <v>2</v>
      </c>
      <c r="F309" s="170">
        <v>151610</v>
      </c>
      <c r="G309" s="170">
        <f>0+táj.2!G309</f>
        <v>0</v>
      </c>
      <c r="H309" s="170">
        <f>0+táj.2!H309</f>
        <v>0</v>
      </c>
      <c r="I309" s="170">
        <f>0+táj.2!I309</f>
        <v>0</v>
      </c>
      <c r="J309" s="170">
        <f>0+táj.2!J309</f>
        <v>0</v>
      </c>
      <c r="K309" s="170">
        <f>0+táj.2!K309</f>
        <v>0</v>
      </c>
      <c r="L309" s="170">
        <f>0+táj.2!L309</f>
        <v>0</v>
      </c>
      <c r="M309" s="170">
        <f>0+táj.2!M309</f>
        <v>0</v>
      </c>
      <c r="N309" s="170">
        <f>0+táj.2!N309</f>
        <v>0</v>
      </c>
      <c r="O309" s="170">
        <f>0+táj.2!O309</f>
        <v>0</v>
      </c>
      <c r="P309" s="170">
        <f>0+táj.2!P309</f>
        <v>0</v>
      </c>
      <c r="Q309" s="170">
        <f t="shared" si="20"/>
        <v>0</v>
      </c>
    </row>
    <row r="310" spans="1:17" ht="24" customHeight="1" x14ac:dyDescent="0.2">
      <c r="A310" s="197" t="s">
        <v>121</v>
      </c>
      <c r="B310" s="197"/>
      <c r="C310" s="217"/>
      <c r="D310" s="172" t="s">
        <v>769</v>
      </c>
      <c r="E310" s="208">
        <v>2</v>
      </c>
      <c r="F310" s="170">
        <v>151619</v>
      </c>
      <c r="G310" s="170">
        <f>0+táj.2!G310</f>
        <v>0</v>
      </c>
      <c r="H310" s="170">
        <f>0+táj.2!H310</f>
        <v>0</v>
      </c>
      <c r="I310" s="170">
        <f>58736+táj.2!I310</f>
        <v>58736</v>
      </c>
      <c r="J310" s="170">
        <f>0+táj.2!J310</f>
        <v>0</v>
      </c>
      <c r="K310" s="170">
        <f>0+táj.2!K310</f>
        <v>0</v>
      </c>
      <c r="L310" s="170">
        <f>0+táj.2!L310</f>
        <v>0</v>
      </c>
      <c r="M310" s="170">
        <f>0+táj.2!M310</f>
        <v>0</v>
      </c>
      <c r="N310" s="170">
        <f>0+táj.2!N310</f>
        <v>0</v>
      </c>
      <c r="O310" s="170">
        <f>0+táj.2!O310</f>
        <v>0</v>
      </c>
      <c r="P310" s="170">
        <f>0+táj.2!P310</f>
        <v>0</v>
      </c>
      <c r="Q310" s="170">
        <f t="shared" si="20"/>
        <v>58736</v>
      </c>
    </row>
    <row r="311" spans="1:17" ht="14.1" customHeight="1" x14ac:dyDescent="0.2">
      <c r="A311" s="197"/>
      <c r="B311" s="197"/>
      <c r="C311" s="217"/>
      <c r="D311" s="325" t="s">
        <v>770</v>
      </c>
      <c r="E311" s="176">
        <v>2</v>
      </c>
      <c r="F311" s="170">
        <v>151626</v>
      </c>
      <c r="G311" s="170">
        <f>0+táj.2!G311</f>
        <v>0</v>
      </c>
      <c r="H311" s="170">
        <f>0+táj.2!H311</f>
        <v>0</v>
      </c>
      <c r="I311" s="170">
        <f>0+táj.2!I311</f>
        <v>0</v>
      </c>
      <c r="J311" s="170">
        <f>0+táj.2!J311</f>
        <v>0</v>
      </c>
      <c r="K311" s="170">
        <f>0+táj.2!K311</f>
        <v>0</v>
      </c>
      <c r="L311" s="170">
        <f>0+táj.2!L311</f>
        <v>0</v>
      </c>
      <c r="M311" s="170">
        <f>0+táj.2!M311</f>
        <v>0</v>
      </c>
      <c r="N311" s="170">
        <f>0+táj.2!N311</f>
        <v>0</v>
      </c>
      <c r="O311" s="170">
        <f>0+táj.2!O311</f>
        <v>0</v>
      </c>
      <c r="P311" s="170">
        <f>0+táj.2!P311</f>
        <v>0</v>
      </c>
      <c r="Q311" s="170">
        <f t="shared" si="20"/>
        <v>0</v>
      </c>
    </row>
    <row r="312" spans="1:17" s="15" customFormat="1" ht="24.95" customHeight="1" x14ac:dyDescent="0.2">
      <c r="A312" s="683"/>
      <c r="B312" s="683"/>
      <c r="C312" s="684"/>
      <c r="D312" s="821" t="s">
        <v>771</v>
      </c>
      <c r="E312" s="822">
        <v>2</v>
      </c>
      <c r="F312" s="605">
        <v>151627</v>
      </c>
      <c r="G312" s="462">
        <f>0+táj.2!G312</f>
        <v>0</v>
      </c>
      <c r="H312" s="462">
        <f>0+táj.2!H312</f>
        <v>0</v>
      </c>
      <c r="I312" s="462">
        <f>1000+táj.2!I312</f>
        <v>1000</v>
      </c>
      <c r="J312" s="462">
        <f>0+táj.2!J312</f>
        <v>0</v>
      </c>
      <c r="K312" s="462">
        <f>0+táj.2!K312</f>
        <v>0</v>
      </c>
      <c r="L312" s="462">
        <f>0+táj.2!L312</f>
        <v>0</v>
      </c>
      <c r="M312" s="462">
        <f>0+táj.2!M312</f>
        <v>0</v>
      </c>
      <c r="N312" s="462">
        <f>0+táj.2!N312</f>
        <v>0</v>
      </c>
      <c r="O312" s="462">
        <f>0+táj.2!O312</f>
        <v>0</v>
      </c>
      <c r="P312" s="462">
        <f>0+táj.2!P312</f>
        <v>0</v>
      </c>
      <c r="Q312" s="462">
        <f t="shared" si="20"/>
        <v>1000</v>
      </c>
    </row>
    <row r="313" spans="1:17" ht="16.5" customHeight="1" x14ac:dyDescent="0.2">
      <c r="A313" s="197"/>
      <c r="B313" s="197"/>
      <c r="C313" s="217"/>
      <c r="D313" s="325" t="s">
        <v>772</v>
      </c>
      <c r="E313" s="179">
        <v>2</v>
      </c>
      <c r="F313" s="250">
        <v>151638</v>
      </c>
      <c r="G313" s="170">
        <f>0+táj.2!G313</f>
        <v>0</v>
      </c>
      <c r="H313" s="170">
        <f>0+táj.2!H313</f>
        <v>0</v>
      </c>
      <c r="I313" s="170">
        <f>1500+táj.2!I313</f>
        <v>1500</v>
      </c>
      <c r="J313" s="170">
        <f>0+táj.2!J313</f>
        <v>0</v>
      </c>
      <c r="K313" s="170">
        <f>0+táj.2!K313</f>
        <v>0</v>
      </c>
      <c r="L313" s="170">
        <f>0+táj.2!L313</f>
        <v>0</v>
      </c>
      <c r="M313" s="170">
        <f>0+táj.2!M313</f>
        <v>0</v>
      </c>
      <c r="N313" s="170">
        <f>0+táj.2!N313</f>
        <v>0</v>
      </c>
      <c r="O313" s="170">
        <f>0+táj.2!O313</f>
        <v>0</v>
      </c>
      <c r="P313" s="170">
        <f>0+táj.2!P313</f>
        <v>0</v>
      </c>
      <c r="Q313" s="170">
        <f t="shared" si="20"/>
        <v>1500</v>
      </c>
    </row>
    <row r="314" spans="1:17" ht="14.1" customHeight="1" x14ac:dyDescent="0.2">
      <c r="A314" s="197"/>
      <c r="B314" s="197"/>
      <c r="C314" s="217"/>
      <c r="D314" s="314" t="s">
        <v>773</v>
      </c>
      <c r="E314" s="170">
        <v>1</v>
      </c>
      <c r="F314" s="170">
        <v>151603</v>
      </c>
      <c r="G314" s="170">
        <f>0+táj.2!G314</f>
        <v>0</v>
      </c>
      <c r="H314" s="170">
        <f>0+táj.2!H314</f>
        <v>0</v>
      </c>
      <c r="I314" s="170">
        <f>87665+táj.2!I314</f>
        <v>87665</v>
      </c>
      <c r="J314" s="170">
        <f>0+táj.2!J314</f>
        <v>0</v>
      </c>
      <c r="K314" s="170">
        <f>0+táj.2!K314</f>
        <v>0</v>
      </c>
      <c r="L314" s="170">
        <f>0+táj.2!L314</f>
        <v>0</v>
      </c>
      <c r="M314" s="170">
        <f>0+táj.2!M314</f>
        <v>0</v>
      </c>
      <c r="N314" s="170">
        <f>0+táj.2!N314</f>
        <v>0</v>
      </c>
      <c r="O314" s="170">
        <f>0+táj.2!O314</f>
        <v>0</v>
      </c>
      <c r="P314" s="170">
        <f>0+táj.2!P314</f>
        <v>0</v>
      </c>
      <c r="Q314" s="170">
        <f t="shared" si="20"/>
        <v>87665</v>
      </c>
    </row>
    <row r="315" spans="1:17" ht="14.1" customHeight="1" x14ac:dyDescent="0.2">
      <c r="A315" s="197"/>
      <c r="B315" s="197"/>
      <c r="C315" s="217"/>
      <c r="D315" s="314" t="s">
        <v>774</v>
      </c>
      <c r="E315" s="170">
        <v>1</v>
      </c>
      <c r="F315" s="170">
        <v>151605</v>
      </c>
      <c r="G315" s="170">
        <f>0+táj.2!G315</f>
        <v>0</v>
      </c>
      <c r="H315" s="170">
        <f>0+táj.2!H315</f>
        <v>0</v>
      </c>
      <c r="I315" s="170">
        <f>110175+táj.2!I315</f>
        <v>110175</v>
      </c>
      <c r="J315" s="170">
        <f>0+táj.2!J315</f>
        <v>0</v>
      </c>
      <c r="K315" s="170">
        <f>0+táj.2!K315</f>
        <v>0</v>
      </c>
      <c r="L315" s="170">
        <f>0+táj.2!L315</f>
        <v>0</v>
      </c>
      <c r="M315" s="170">
        <f>0+táj.2!M315</f>
        <v>0</v>
      </c>
      <c r="N315" s="170">
        <f>0+táj.2!N315</f>
        <v>0</v>
      </c>
      <c r="O315" s="170">
        <f>0+táj.2!O315</f>
        <v>0</v>
      </c>
      <c r="P315" s="170">
        <f>0+táj.2!P315</f>
        <v>0</v>
      </c>
      <c r="Q315" s="170">
        <f t="shared" si="20"/>
        <v>110175</v>
      </c>
    </row>
    <row r="316" spans="1:17" ht="14.1" customHeight="1" x14ac:dyDescent="0.2">
      <c r="A316" s="197"/>
      <c r="B316" s="197"/>
      <c r="C316" s="217"/>
      <c r="D316" s="314" t="s">
        <v>775</v>
      </c>
      <c r="E316" s="170">
        <v>1</v>
      </c>
      <c r="F316" s="170">
        <v>151608</v>
      </c>
      <c r="G316" s="170">
        <f>0+táj.2!G316</f>
        <v>0</v>
      </c>
      <c r="H316" s="170">
        <f>0+táj.2!H316</f>
        <v>0</v>
      </c>
      <c r="I316" s="170">
        <f>70000+táj.2!I316</f>
        <v>70000</v>
      </c>
      <c r="J316" s="170">
        <f>0+táj.2!J316</f>
        <v>0</v>
      </c>
      <c r="K316" s="170">
        <f>0+táj.2!K316</f>
        <v>0</v>
      </c>
      <c r="L316" s="170">
        <f>0+táj.2!L316</f>
        <v>0</v>
      </c>
      <c r="M316" s="170">
        <f>0+táj.2!M316</f>
        <v>0</v>
      </c>
      <c r="N316" s="170">
        <f>0+táj.2!N316</f>
        <v>0</v>
      </c>
      <c r="O316" s="170">
        <f>0+táj.2!O316</f>
        <v>0</v>
      </c>
      <c r="P316" s="170">
        <f>0+táj.2!P316</f>
        <v>0</v>
      </c>
      <c r="Q316" s="170">
        <f t="shared" si="20"/>
        <v>70000</v>
      </c>
    </row>
    <row r="317" spans="1:17" ht="14.1" customHeight="1" x14ac:dyDescent="0.2">
      <c r="A317" s="197"/>
      <c r="B317" s="197"/>
      <c r="C317" s="217"/>
      <c r="D317" s="314" t="s">
        <v>776</v>
      </c>
      <c r="E317" s="170">
        <v>2</v>
      </c>
      <c r="F317" s="170">
        <v>151624</v>
      </c>
      <c r="G317" s="170">
        <f>0+táj.2!G317</f>
        <v>0</v>
      </c>
      <c r="H317" s="170">
        <f>0+táj.2!H317</f>
        <v>0</v>
      </c>
      <c r="I317" s="170">
        <f>3600+táj.2!I317</f>
        <v>0</v>
      </c>
      <c r="J317" s="170">
        <f>0+táj.2!J317</f>
        <v>0</v>
      </c>
      <c r="K317" s="170">
        <f>0+táj.2!K317</f>
        <v>3600</v>
      </c>
      <c r="L317" s="170">
        <f>0+táj.2!L317</f>
        <v>0</v>
      </c>
      <c r="M317" s="170">
        <f>0+táj.2!M317</f>
        <v>0</v>
      </c>
      <c r="N317" s="170">
        <f>0+táj.2!N317</f>
        <v>0</v>
      </c>
      <c r="O317" s="170">
        <f>0+táj.2!O317</f>
        <v>0</v>
      </c>
      <c r="P317" s="170">
        <f>0+táj.2!P317</f>
        <v>0</v>
      </c>
      <c r="Q317" s="170">
        <f t="shared" si="20"/>
        <v>3600</v>
      </c>
    </row>
    <row r="318" spans="1:17" ht="14.1" customHeight="1" x14ac:dyDescent="0.2">
      <c r="A318" s="197"/>
      <c r="B318" s="197"/>
      <c r="C318" s="217"/>
      <c r="D318" s="314" t="s">
        <v>777</v>
      </c>
      <c r="E318" s="170">
        <v>1</v>
      </c>
      <c r="F318" s="170">
        <v>151631</v>
      </c>
      <c r="G318" s="170">
        <f>0+táj.2!G318</f>
        <v>0</v>
      </c>
      <c r="H318" s="170">
        <f>0+táj.2!H318</f>
        <v>0</v>
      </c>
      <c r="I318" s="170">
        <f>5108+táj.2!I318</f>
        <v>5108</v>
      </c>
      <c r="J318" s="170">
        <f>0+táj.2!J318</f>
        <v>0</v>
      </c>
      <c r="K318" s="170">
        <f>0+táj.2!K318</f>
        <v>0</v>
      </c>
      <c r="L318" s="170">
        <f>0+táj.2!L318</f>
        <v>0</v>
      </c>
      <c r="M318" s="170">
        <f>0+táj.2!M318</f>
        <v>0</v>
      </c>
      <c r="N318" s="170">
        <f>0+táj.2!N318</f>
        <v>0</v>
      </c>
      <c r="O318" s="170">
        <f>0+táj.2!O318</f>
        <v>0</v>
      </c>
      <c r="P318" s="170">
        <f>0+táj.2!P318</f>
        <v>0</v>
      </c>
      <c r="Q318" s="170">
        <f t="shared" si="20"/>
        <v>5108</v>
      </c>
    </row>
    <row r="319" spans="1:17" ht="14.1" customHeight="1" x14ac:dyDescent="0.2">
      <c r="A319" s="197"/>
      <c r="B319" s="197"/>
      <c r="C319" s="217"/>
      <c r="D319" s="335" t="s">
        <v>778</v>
      </c>
      <c r="E319" s="170">
        <v>1</v>
      </c>
      <c r="F319" s="170">
        <v>151632</v>
      </c>
      <c r="G319" s="170">
        <f>0+táj.2!G319</f>
        <v>0</v>
      </c>
      <c r="H319" s="170">
        <f>0+táj.2!H319</f>
        <v>0</v>
      </c>
      <c r="I319" s="170">
        <f>2500+táj.2!I319</f>
        <v>2500</v>
      </c>
      <c r="J319" s="170">
        <f>0+táj.2!J319</f>
        <v>0</v>
      </c>
      <c r="K319" s="170">
        <f>0+táj.2!K319</f>
        <v>0</v>
      </c>
      <c r="L319" s="170">
        <f>0+táj.2!L319</f>
        <v>0</v>
      </c>
      <c r="M319" s="170">
        <f>0+táj.2!M319</f>
        <v>0</v>
      </c>
      <c r="N319" s="170">
        <f>0+táj.2!N319</f>
        <v>0</v>
      </c>
      <c r="O319" s="170">
        <f>0+táj.2!O319</f>
        <v>0</v>
      </c>
      <c r="P319" s="170">
        <f>0+táj.2!P319</f>
        <v>0</v>
      </c>
      <c r="Q319" s="170">
        <f t="shared" si="20"/>
        <v>2500</v>
      </c>
    </row>
    <row r="320" spans="1:17" ht="24.75" customHeight="1" x14ac:dyDescent="0.2">
      <c r="A320" s="197"/>
      <c r="B320" s="197"/>
      <c r="C320" s="217"/>
      <c r="D320" s="336" t="s">
        <v>779</v>
      </c>
      <c r="E320" s="170">
        <v>1</v>
      </c>
      <c r="F320" s="170">
        <v>151635</v>
      </c>
      <c r="G320" s="170">
        <f>0+táj.2!G320</f>
        <v>0</v>
      </c>
      <c r="H320" s="170">
        <f>0+táj.2!H320</f>
        <v>0</v>
      </c>
      <c r="I320" s="170">
        <f>5153+táj.2!I320</f>
        <v>5153</v>
      </c>
      <c r="J320" s="170">
        <f>0+táj.2!J320</f>
        <v>0</v>
      </c>
      <c r="K320" s="170">
        <f>0+táj.2!K320</f>
        <v>0</v>
      </c>
      <c r="L320" s="170">
        <f>0+táj.2!L320</f>
        <v>0</v>
      </c>
      <c r="M320" s="170">
        <f>0+táj.2!M320</f>
        <v>0</v>
      </c>
      <c r="N320" s="170">
        <f>0+táj.2!N320</f>
        <v>0</v>
      </c>
      <c r="O320" s="170">
        <f>0+táj.2!O320</f>
        <v>0</v>
      </c>
      <c r="P320" s="170">
        <f>0+táj.2!P320</f>
        <v>0</v>
      </c>
      <c r="Q320" s="170">
        <f t="shared" si="20"/>
        <v>5153</v>
      </c>
    </row>
    <row r="321" spans="1:17" ht="14.1" customHeight="1" x14ac:dyDescent="0.2">
      <c r="A321" s="197"/>
      <c r="B321" s="197"/>
      <c r="C321" s="217"/>
      <c r="D321" s="337" t="s">
        <v>780</v>
      </c>
      <c r="E321" s="170">
        <v>1</v>
      </c>
      <c r="F321" s="170">
        <v>151612</v>
      </c>
      <c r="G321" s="170">
        <f>0+táj.2!G321</f>
        <v>0</v>
      </c>
      <c r="H321" s="170">
        <f>0+táj.2!H321</f>
        <v>0</v>
      </c>
      <c r="I321" s="170">
        <f>2000+táj.2!I321</f>
        <v>2000</v>
      </c>
      <c r="J321" s="170">
        <f>0+táj.2!J321</f>
        <v>0</v>
      </c>
      <c r="K321" s="170">
        <f>0+táj.2!K321</f>
        <v>0</v>
      </c>
      <c r="L321" s="170">
        <f>0+táj.2!L321</f>
        <v>0</v>
      </c>
      <c r="M321" s="170">
        <f>0+táj.2!M321</f>
        <v>0</v>
      </c>
      <c r="N321" s="170">
        <f>0+táj.2!N321</f>
        <v>0</v>
      </c>
      <c r="O321" s="170">
        <f>0+táj.2!O321</f>
        <v>0</v>
      </c>
      <c r="P321" s="170">
        <f>0+táj.2!P321</f>
        <v>0</v>
      </c>
      <c r="Q321" s="170">
        <f t="shared" si="20"/>
        <v>2000</v>
      </c>
    </row>
    <row r="322" spans="1:17" ht="14.1" customHeight="1" x14ac:dyDescent="0.2">
      <c r="A322" s="197"/>
      <c r="B322" s="197"/>
      <c r="C322" s="217"/>
      <c r="D322" s="337" t="s">
        <v>781</v>
      </c>
      <c r="E322" s="170">
        <v>1</v>
      </c>
      <c r="F322" s="170">
        <v>151614</v>
      </c>
      <c r="G322" s="170">
        <f>0+táj.2!G322</f>
        <v>0</v>
      </c>
      <c r="H322" s="170">
        <f>0+táj.2!H322</f>
        <v>0</v>
      </c>
      <c r="I322" s="170">
        <f>5953+táj.2!I322</f>
        <v>5953</v>
      </c>
      <c r="J322" s="170">
        <f>0+táj.2!J322</f>
        <v>0</v>
      </c>
      <c r="K322" s="170">
        <f>0+táj.2!K322</f>
        <v>0</v>
      </c>
      <c r="L322" s="170">
        <f>0+táj.2!L322</f>
        <v>0</v>
      </c>
      <c r="M322" s="170">
        <f>0+táj.2!M322</f>
        <v>0</v>
      </c>
      <c r="N322" s="170">
        <f>0+táj.2!N322</f>
        <v>0</v>
      </c>
      <c r="O322" s="170">
        <f>0+táj.2!O322</f>
        <v>0</v>
      </c>
      <c r="P322" s="170">
        <f>0+táj.2!P322</f>
        <v>0</v>
      </c>
      <c r="Q322" s="170">
        <f t="shared" si="20"/>
        <v>5953</v>
      </c>
    </row>
    <row r="323" spans="1:17" ht="14.1" customHeight="1" x14ac:dyDescent="0.2">
      <c r="A323" s="197"/>
      <c r="B323" s="197"/>
      <c r="C323" s="217"/>
      <c r="D323" s="325" t="s">
        <v>782</v>
      </c>
      <c r="E323" s="170">
        <v>2</v>
      </c>
      <c r="F323" s="170">
        <v>162695</v>
      </c>
      <c r="G323" s="170">
        <f>0+táj.2!G323</f>
        <v>0</v>
      </c>
      <c r="H323" s="170">
        <f>0+táj.2!H323</f>
        <v>0</v>
      </c>
      <c r="I323" s="170">
        <f>0+táj.2!I323</f>
        <v>0</v>
      </c>
      <c r="J323" s="170">
        <f>0+táj.2!J323</f>
        <v>0</v>
      </c>
      <c r="K323" s="170">
        <f>0+táj.2!K323</f>
        <v>0</v>
      </c>
      <c r="L323" s="170">
        <f>0+táj.2!L323</f>
        <v>0</v>
      </c>
      <c r="M323" s="170">
        <f>0+táj.2!M323</f>
        <v>0</v>
      </c>
      <c r="N323" s="170">
        <f>0+táj.2!N323</f>
        <v>0</v>
      </c>
      <c r="O323" s="170">
        <f>0+táj.2!O323</f>
        <v>0</v>
      </c>
      <c r="P323" s="170">
        <f>0+táj.2!P323</f>
        <v>0</v>
      </c>
      <c r="Q323" s="170">
        <f t="shared" si="20"/>
        <v>0</v>
      </c>
    </row>
    <row r="324" spans="1:17" ht="25.5" customHeight="1" x14ac:dyDescent="0.2">
      <c r="A324" s="862"/>
      <c r="B324" s="862"/>
      <c r="C324" s="856"/>
      <c r="D324" s="865" t="s">
        <v>342</v>
      </c>
      <c r="E324" s="858"/>
      <c r="F324" s="858"/>
      <c r="G324" s="170"/>
      <c r="H324" s="823"/>
      <c r="I324" s="823"/>
      <c r="J324" s="823"/>
      <c r="K324" s="823"/>
      <c r="L324" s="823"/>
      <c r="M324" s="823"/>
      <c r="N324" s="823"/>
      <c r="O324" s="823"/>
      <c r="P324" s="823"/>
      <c r="Q324" s="170">
        <f t="shared" si="20"/>
        <v>0</v>
      </c>
    </row>
    <row r="325" spans="1:17" ht="18" customHeight="1" x14ac:dyDescent="0.2">
      <c r="A325" s="862"/>
      <c r="B325" s="862"/>
      <c r="C325" s="856"/>
      <c r="D325" s="841" t="s">
        <v>1478</v>
      </c>
      <c r="E325" s="858"/>
      <c r="F325" s="858">
        <v>151636</v>
      </c>
      <c r="G325" s="170">
        <f>0+táj.2!G325</f>
        <v>0</v>
      </c>
      <c r="H325" s="170">
        <f>0+táj.2!H325</f>
        <v>0</v>
      </c>
      <c r="I325" s="170">
        <f>0+táj.2!I325</f>
        <v>5</v>
      </c>
      <c r="J325" s="170">
        <f>0+táj.2!J325</f>
        <v>0</v>
      </c>
      <c r="K325" s="170">
        <f>0+táj.2!K325</f>
        <v>0</v>
      </c>
      <c r="L325" s="170">
        <f>0+táj.2!L325</f>
        <v>0</v>
      </c>
      <c r="M325" s="170">
        <f>0+táj.2!M325</f>
        <v>0</v>
      </c>
      <c r="N325" s="170">
        <f>0+táj.2!N325</f>
        <v>0</v>
      </c>
      <c r="O325" s="170">
        <f>0+táj.2!O325</f>
        <v>0</v>
      </c>
      <c r="P325" s="170">
        <f>0+táj.2!P325</f>
        <v>0</v>
      </c>
      <c r="Q325" s="170">
        <f t="shared" si="20"/>
        <v>5</v>
      </c>
    </row>
    <row r="326" spans="1:17" ht="12.95" customHeight="1" x14ac:dyDescent="0.2">
      <c r="A326" s="197"/>
      <c r="B326" s="197"/>
      <c r="C326" s="217"/>
      <c r="D326" s="324" t="s">
        <v>699</v>
      </c>
      <c r="E326" s="170"/>
      <c r="F326" s="170"/>
      <c r="G326" s="170"/>
      <c r="H326" s="170"/>
      <c r="I326" s="170"/>
      <c r="J326" s="170"/>
      <c r="K326" s="170"/>
      <c r="L326" s="170"/>
      <c r="M326" s="170"/>
      <c r="N326" s="170"/>
      <c r="O326" s="170"/>
      <c r="P326" s="170"/>
      <c r="Q326" s="170"/>
    </row>
    <row r="327" spans="1:17" ht="24" customHeight="1" x14ac:dyDescent="0.2">
      <c r="A327" s="197"/>
      <c r="B327" s="197"/>
      <c r="C327" s="217"/>
      <c r="D327" s="172" t="s">
        <v>783</v>
      </c>
      <c r="E327" s="170">
        <v>1</v>
      </c>
      <c r="F327" s="170">
        <v>151505</v>
      </c>
      <c r="G327" s="170">
        <f>0+táj.2!G327</f>
        <v>0</v>
      </c>
      <c r="H327" s="170">
        <f>0+táj.2!H327</f>
        <v>0</v>
      </c>
      <c r="I327" s="170">
        <f>6317+táj.2!I327</f>
        <v>6317</v>
      </c>
      <c r="J327" s="170">
        <f>0+táj.2!J327</f>
        <v>0</v>
      </c>
      <c r="K327" s="170">
        <f>0+táj.2!K327</f>
        <v>0</v>
      </c>
      <c r="L327" s="170">
        <f>0+táj.2!L327</f>
        <v>0</v>
      </c>
      <c r="M327" s="170">
        <f>0+táj.2!M327</f>
        <v>0</v>
      </c>
      <c r="N327" s="170">
        <f>0+táj.2!N327</f>
        <v>0</v>
      </c>
      <c r="O327" s="170">
        <f>0+táj.2!O327</f>
        <v>0</v>
      </c>
      <c r="P327" s="170">
        <f>0+táj.2!P327</f>
        <v>0</v>
      </c>
      <c r="Q327" s="170">
        <f>SUM(G327:P327)</f>
        <v>6317</v>
      </c>
    </row>
    <row r="328" spans="1:17" ht="12.95" customHeight="1" x14ac:dyDescent="0.2">
      <c r="A328" s="197"/>
      <c r="B328" s="197"/>
      <c r="C328" s="217"/>
      <c r="D328" s="325" t="s">
        <v>345</v>
      </c>
      <c r="E328" s="208"/>
      <c r="F328" s="208"/>
      <c r="G328" s="170"/>
      <c r="H328" s="170"/>
      <c r="I328" s="170"/>
      <c r="J328" s="170"/>
      <c r="K328" s="170"/>
      <c r="L328" s="170"/>
      <c r="M328" s="170"/>
      <c r="N328" s="170"/>
      <c r="O328" s="170"/>
      <c r="P328" s="170"/>
      <c r="Q328" s="170"/>
    </row>
    <row r="329" spans="1:17" ht="14.1" customHeight="1" x14ac:dyDescent="0.2">
      <c r="A329" s="197"/>
      <c r="B329" s="197"/>
      <c r="C329" s="197"/>
      <c r="D329" s="314" t="s">
        <v>346</v>
      </c>
      <c r="E329" s="170">
        <v>2</v>
      </c>
      <c r="F329" s="170">
        <v>151906</v>
      </c>
      <c r="G329" s="170">
        <f>0+táj.2!G329</f>
        <v>0</v>
      </c>
      <c r="H329" s="170">
        <f>0+táj.2!H329</f>
        <v>0</v>
      </c>
      <c r="I329" s="170">
        <f>134027+táj.2!I329</f>
        <v>134027</v>
      </c>
      <c r="J329" s="170">
        <f>0+táj.2!J329</f>
        <v>0</v>
      </c>
      <c r="K329" s="170">
        <f>0+táj.2!K329</f>
        <v>0</v>
      </c>
      <c r="L329" s="170">
        <f>0+táj.2!L329</f>
        <v>0</v>
      </c>
      <c r="M329" s="170">
        <f>0+táj.2!M329</f>
        <v>0</v>
      </c>
      <c r="N329" s="170">
        <f>0+táj.2!N329</f>
        <v>0</v>
      </c>
      <c r="O329" s="170">
        <f>0+táj.2!O329</f>
        <v>0</v>
      </c>
      <c r="P329" s="170">
        <f>0+táj.2!P329</f>
        <v>0</v>
      </c>
      <c r="Q329" s="170">
        <f>SUM(G329:P329)</f>
        <v>134027</v>
      </c>
    </row>
    <row r="330" spans="1:17" ht="14.1" customHeight="1" x14ac:dyDescent="0.2">
      <c r="A330" s="197"/>
      <c r="B330" s="197"/>
      <c r="C330" s="217"/>
      <c r="D330" s="314" t="s">
        <v>784</v>
      </c>
      <c r="E330" s="170">
        <v>2</v>
      </c>
      <c r="F330" s="170">
        <v>151915</v>
      </c>
      <c r="G330" s="170">
        <f>0+táj.2!G330</f>
        <v>0</v>
      </c>
      <c r="H330" s="170">
        <f>0+táj.2!H330</f>
        <v>0</v>
      </c>
      <c r="I330" s="170">
        <f>2667+táj.2!I330</f>
        <v>2667</v>
      </c>
      <c r="J330" s="170">
        <f>0+táj.2!J330</f>
        <v>0</v>
      </c>
      <c r="K330" s="170">
        <f>0+táj.2!K330</f>
        <v>0</v>
      </c>
      <c r="L330" s="170">
        <f>0+táj.2!L330</f>
        <v>0</v>
      </c>
      <c r="M330" s="170">
        <f>0+táj.2!M330</f>
        <v>0</v>
      </c>
      <c r="N330" s="170">
        <f>0+táj.2!N330</f>
        <v>0</v>
      </c>
      <c r="O330" s="170">
        <f>0+táj.2!O330</f>
        <v>0</v>
      </c>
      <c r="P330" s="170">
        <f>0+táj.2!P330</f>
        <v>0</v>
      </c>
      <c r="Q330" s="170">
        <f>SUM(G330:P330)</f>
        <v>2667</v>
      </c>
    </row>
    <row r="331" spans="1:17" ht="14.1" customHeight="1" x14ac:dyDescent="0.2">
      <c r="A331" s="197"/>
      <c r="B331" s="197"/>
      <c r="C331" s="217"/>
      <c r="D331" s="314" t="s">
        <v>347</v>
      </c>
      <c r="E331" s="170">
        <v>2</v>
      </c>
      <c r="F331" s="170">
        <v>151907</v>
      </c>
      <c r="G331" s="170">
        <f>0+táj.2!G331</f>
        <v>0</v>
      </c>
      <c r="H331" s="170">
        <f>0+táj.2!H331</f>
        <v>0</v>
      </c>
      <c r="I331" s="170">
        <f>179070+táj.2!I331</f>
        <v>168910</v>
      </c>
      <c r="J331" s="170">
        <f>0+táj.2!J331</f>
        <v>0</v>
      </c>
      <c r="K331" s="170">
        <f>0+táj.2!K331</f>
        <v>0</v>
      </c>
      <c r="L331" s="170">
        <f>0+táj.2!L331</f>
        <v>0</v>
      </c>
      <c r="M331" s="170">
        <f>0+táj.2!M331</f>
        <v>0</v>
      </c>
      <c r="N331" s="170">
        <f>0+táj.2!N331</f>
        <v>0</v>
      </c>
      <c r="O331" s="170">
        <f>0+táj.2!O331</f>
        <v>0</v>
      </c>
      <c r="P331" s="170">
        <f>0+táj.2!P331</f>
        <v>0</v>
      </c>
      <c r="Q331" s="170">
        <f>SUM(G331:P331)</f>
        <v>168910</v>
      </c>
    </row>
    <row r="332" spans="1:17" ht="25.5" customHeight="1" x14ac:dyDescent="0.2">
      <c r="A332" s="197"/>
      <c r="B332" s="197"/>
      <c r="C332" s="217"/>
      <c r="D332" s="172" t="s">
        <v>785</v>
      </c>
      <c r="E332" s="170">
        <v>2</v>
      </c>
      <c r="F332" s="170">
        <v>151924</v>
      </c>
      <c r="G332" s="170">
        <f>0+táj.2!G332</f>
        <v>0</v>
      </c>
      <c r="H332" s="170">
        <f>0+táj.2!H332</f>
        <v>0</v>
      </c>
      <c r="I332" s="170">
        <f>1000+táj.2!I332</f>
        <v>710</v>
      </c>
      <c r="J332" s="170">
        <f>0+táj.2!J332</f>
        <v>0</v>
      </c>
      <c r="K332" s="170">
        <f>0+táj.2!K332</f>
        <v>0</v>
      </c>
      <c r="L332" s="170">
        <f>0+táj.2!L332</f>
        <v>290</v>
      </c>
      <c r="M332" s="170">
        <f>0+táj.2!M332</f>
        <v>0</v>
      </c>
      <c r="N332" s="170">
        <f>0+táj.2!N332</f>
        <v>0</v>
      </c>
      <c r="O332" s="170">
        <f>0+táj.2!O332</f>
        <v>0</v>
      </c>
      <c r="P332" s="170">
        <f>0+táj.2!P332</f>
        <v>0</v>
      </c>
      <c r="Q332" s="170">
        <f>SUM(G332:P332)</f>
        <v>1000</v>
      </c>
    </row>
    <row r="333" spans="1:17" ht="14.1" customHeight="1" x14ac:dyDescent="0.2">
      <c r="A333" s="197"/>
      <c r="B333" s="197"/>
      <c r="C333" s="217"/>
      <c r="D333" s="325" t="s">
        <v>786</v>
      </c>
      <c r="E333" s="208"/>
      <c r="F333" s="208"/>
      <c r="G333" s="170"/>
      <c r="H333" s="170"/>
      <c r="I333" s="170"/>
      <c r="J333" s="170"/>
      <c r="K333" s="170"/>
      <c r="L333" s="170"/>
      <c r="M333" s="170"/>
      <c r="N333" s="170"/>
      <c r="O333" s="170"/>
      <c r="P333" s="170"/>
      <c r="Q333" s="170"/>
    </row>
    <row r="334" spans="1:17" ht="14.1" customHeight="1" x14ac:dyDescent="0.2">
      <c r="A334" s="197"/>
      <c r="B334" s="197"/>
      <c r="C334" s="217"/>
      <c r="D334" s="325" t="s">
        <v>787</v>
      </c>
      <c r="E334" s="208">
        <v>1</v>
      </c>
      <c r="F334" s="170">
        <v>151801</v>
      </c>
      <c r="G334" s="170">
        <f>0+táj.2!G334</f>
        <v>0</v>
      </c>
      <c r="H334" s="170">
        <f>0+táj.2!H334</f>
        <v>0</v>
      </c>
      <c r="I334" s="170">
        <f>0+táj.2!I334</f>
        <v>0</v>
      </c>
      <c r="J334" s="170">
        <f>0+táj.2!J334</f>
        <v>0</v>
      </c>
      <c r="K334" s="170">
        <f>27911+táj.2!K334</f>
        <v>27911</v>
      </c>
      <c r="L334" s="170">
        <f>0+táj.2!L334</f>
        <v>0</v>
      </c>
      <c r="M334" s="170">
        <f>0+táj.2!M334</f>
        <v>0</v>
      </c>
      <c r="N334" s="170">
        <f>0+táj.2!N334</f>
        <v>0</v>
      </c>
      <c r="O334" s="170">
        <f>0+táj.2!O334</f>
        <v>0</v>
      </c>
      <c r="P334" s="170">
        <f>0+táj.2!P334</f>
        <v>0</v>
      </c>
      <c r="Q334" s="170">
        <f>SUM(G334:P334)</f>
        <v>27911</v>
      </c>
    </row>
    <row r="335" spans="1:17" ht="14.1" customHeight="1" x14ac:dyDescent="0.2">
      <c r="A335" s="197"/>
      <c r="B335" s="197"/>
      <c r="C335" s="217"/>
      <c r="D335" s="325" t="s">
        <v>788</v>
      </c>
      <c r="E335" s="208">
        <v>1</v>
      </c>
      <c r="F335" s="170">
        <v>151803</v>
      </c>
      <c r="G335" s="170">
        <f>0+táj.2!G335</f>
        <v>0</v>
      </c>
      <c r="H335" s="170">
        <f>0+táj.2!H335</f>
        <v>0</v>
      </c>
      <c r="I335" s="170">
        <f>500+táj.2!I335</f>
        <v>500</v>
      </c>
      <c r="J335" s="170">
        <f>0+táj.2!J335</f>
        <v>0</v>
      </c>
      <c r="K335" s="170">
        <f>0+táj.2!K335</f>
        <v>0</v>
      </c>
      <c r="L335" s="170">
        <f>0+táj.2!L335</f>
        <v>0</v>
      </c>
      <c r="M335" s="170">
        <f>0+táj.2!M335</f>
        <v>0</v>
      </c>
      <c r="N335" s="170">
        <f>0+táj.2!N335</f>
        <v>0</v>
      </c>
      <c r="O335" s="170">
        <f>0+táj.2!O335</f>
        <v>0</v>
      </c>
      <c r="P335" s="170">
        <f>0+táj.2!P335</f>
        <v>0</v>
      </c>
      <c r="Q335" s="170">
        <f>SUM(G335:P335)</f>
        <v>500</v>
      </c>
    </row>
    <row r="336" spans="1:17" ht="14.1" customHeight="1" x14ac:dyDescent="0.2">
      <c r="A336" s="197"/>
      <c r="B336" s="197"/>
      <c r="C336" s="217"/>
      <c r="D336" s="338" t="s">
        <v>789</v>
      </c>
      <c r="E336" s="211">
        <v>1</v>
      </c>
      <c r="F336" s="170">
        <v>151802</v>
      </c>
      <c r="G336" s="170">
        <f>0+táj.2!G336</f>
        <v>0</v>
      </c>
      <c r="H336" s="170">
        <f>0+táj.2!H336</f>
        <v>0</v>
      </c>
      <c r="I336" s="170">
        <f>1500+táj.2!I336</f>
        <v>1500</v>
      </c>
      <c r="J336" s="170">
        <f>0+táj.2!J336</f>
        <v>0</v>
      </c>
      <c r="K336" s="170">
        <f>0+táj.2!K336</f>
        <v>0</v>
      </c>
      <c r="L336" s="170">
        <f>0+táj.2!L336</f>
        <v>0</v>
      </c>
      <c r="M336" s="170">
        <f>0+táj.2!M336</f>
        <v>0</v>
      </c>
      <c r="N336" s="170">
        <f>0+táj.2!N336</f>
        <v>0</v>
      </c>
      <c r="O336" s="170">
        <f>0+táj.2!O336</f>
        <v>0</v>
      </c>
      <c r="P336" s="170">
        <f>0+táj.2!P336</f>
        <v>0</v>
      </c>
      <c r="Q336" s="170">
        <f>SUM(G336:P336)</f>
        <v>1500</v>
      </c>
    </row>
    <row r="337" spans="1:17" ht="14.1" customHeight="1" x14ac:dyDescent="0.2">
      <c r="A337" s="197"/>
      <c r="B337" s="197"/>
      <c r="C337" s="217"/>
      <c r="D337" s="325" t="s">
        <v>790</v>
      </c>
      <c r="E337" s="208"/>
      <c r="F337" s="208"/>
      <c r="G337" s="170"/>
      <c r="H337" s="170"/>
      <c r="I337" s="170"/>
      <c r="J337" s="170"/>
      <c r="K337" s="170"/>
      <c r="L337" s="170"/>
      <c r="M337" s="170"/>
      <c r="N337" s="170"/>
      <c r="O337" s="170"/>
      <c r="P337" s="170"/>
      <c r="Q337" s="170"/>
    </row>
    <row r="338" spans="1:17" ht="14.1" customHeight="1" x14ac:dyDescent="0.2">
      <c r="A338" s="197"/>
      <c r="B338" s="197"/>
      <c r="C338" s="217"/>
      <c r="D338" s="325" t="s">
        <v>791</v>
      </c>
      <c r="E338" s="170">
        <v>1</v>
      </c>
      <c r="F338" s="170">
        <v>151201</v>
      </c>
      <c r="G338" s="170">
        <f>0+táj.2!G338</f>
        <v>0</v>
      </c>
      <c r="H338" s="170">
        <f>0+táj.2!H338</f>
        <v>0</v>
      </c>
      <c r="I338" s="170">
        <f>134064+táj.2!I338</f>
        <v>134329</v>
      </c>
      <c r="J338" s="170">
        <f>0+táj.2!J338</f>
        <v>0</v>
      </c>
      <c r="K338" s="170">
        <f>0+táj.2!K338</f>
        <v>0</v>
      </c>
      <c r="L338" s="170">
        <f>0+táj.2!L338</f>
        <v>0</v>
      </c>
      <c r="M338" s="170">
        <f>0+táj.2!M338</f>
        <v>0</v>
      </c>
      <c r="N338" s="170">
        <f>0+táj.2!N338</f>
        <v>0</v>
      </c>
      <c r="O338" s="170">
        <f>0+táj.2!O338</f>
        <v>0</v>
      </c>
      <c r="P338" s="170">
        <f>0+táj.2!P338</f>
        <v>0</v>
      </c>
      <c r="Q338" s="170">
        <f t="shared" ref="Q338:Q344" si="21">SUM(G338:P338)</f>
        <v>134329</v>
      </c>
    </row>
    <row r="339" spans="1:17" ht="14.1" customHeight="1" x14ac:dyDescent="0.2">
      <c r="A339" s="197"/>
      <c r="B339" s="197"/>
      <c r="C339" s="217"/>
      <c r="D339" s="325" t="s">
        <v>792</v>
      </c>
      <c r="E339" s="208">
        <v>1</v>
      </c>
      <c r="F339" s="170">
        <v>151204</v>
      </c>
      <c r="G339" s="170">
        <f>0+táj.2!G339</f>
        <v>0</v>
      </c>
      <c r="H339" s="170">
        <f>0+táj.2!H339</f>
        <v>0</v>
      </c>
      <c r="I339" s="170">
        <f>2207+táj.2!I339</f>
        <v>2207</v>
      </c>
      <c r="J339" s="170">
        <f>0+táj.2!J339</f>
        <v>0</v>
      </c>
      <c r="K339" s="170">
        <f>0+táj.2!K339</f>
        <v>0</v>
      </c>
      <c r="L339" s="170">
        <f>0+táj.2!L339</f>
        <v>0</v>
      </c>
      <c r="M339" s="170">
        <f>0+táj.2!M339</f>
        <v>0</v>
      </c>
      <c r="N339" s="170">
        <f>0+táj.2!N339</f>
        <v>0</v>
      </c>
      <c r="O339" s="170">
        <f>0+táj.2!O339</f>
        <v>0</v>
      </c>
      <c r="P339" s="170">
        <f>0+táj.2!P339</f>
        <v>0</v>
      </c>
      <c r="Q339" s="170">
        <f t="shared" si="21"/>
        <v>2207</v>
      </c>
    </row>
    <row r="340" spans="1:17" ht="14.1" customHeight="1" x14ac:dyDescent="0.2">
      <c r="A340" s="197"/>
      <c r="B340" s="197"/>
      <c r="C340" s="217"/>
      <c r="D340" s="325" t="s">
        <v>793</v>
      </c>
      <c r="E340" s="208">
        <v>1</v>
      </c>
      <c r="F340" s="170">
        <v>151202</v>
      </c>
      <c r="G340" s="170">
        <f>0+táj.2!G340</f>
        <v>0</v>
      </c>
      <c r="H340" s="170">
        <f>0+táj.2!H340</f>
        <v>0</v>
      </c>
      <c r="I340" s="170">
        <f>22455+táj.2!I340</f>
        <v>23063</v>
      </c>
      <c r="J340" s="170">
        <f>0+táj.2!J340</f>
        <v>0</v>
      </c>
      <c r="K340" s="170">
        <f>0+táj.2!K340</f>
        <v>0</v>
      </c>
      <c r="L340" s="170">
        <f>0+táj.2!L340</f>
        <v>0</v>
      </c>
      <c r="M340" s="170">
        <f>0+táj.2!M340</f>
        <v>0</v>
      </c>
      <c r="N340" s="170">
        <f>0+táj.2!N340</f>
        <v>0</v>
      </c>
      <c r="O340" s="170">
        <f>0+táj.2!O340</f>
        <v>0</v>
      </c>
      <c r="P340" s="170">
        <f>0+táj.2!P340</f>
        <v>0</v>
      </c>
      <c r="Q340" s="170">
        <f t="shared" si="21"/>
        <v>23063</v>
      </c>
    </row>
    <row r="341" spans="1:17" ht="14.1" customHeight="1" x14ac:dyDescent="0.2">
      <c r="A341" s="197"/>
      <c r="B341" s="197"/>
      <c r="C341" s="217"/>
      <c r="D341" s="325" t="s">
        <v>794</v>
      </c>
      <c r="E341" s="208">
        <v>1</v>
      </c>
      <c r="F341" s="170">
        <v>151205</v>
      </c>
      <c r="G341" s="170">
        <f>0+táj.2!G341</f>
        <v>0</v>
      </c>
      <c r="H341" s="170">
        <f>0+táj.2!H341</f>
        <v>0</v>
      </c>
      <c r="I341" s="170">
        <f>1000+táj.2!I341</f>
        <v>1000</v>
      </c>
      <c r="J341" s="170">
        <f>0+táj.2!J341</f>
        <v>0</v>
      </c>
      <c r="K341" s="170">
        <f>0+táj.2!K341</f>
        <v>0</v>
      </c>
      <c r="L341" s="170">
        <f>0+táj.2!L341</f>
        <v>0</v>
      </c>
      <c r="M341" s="170">
        <f>0+táj.2!M341</f>
        <v>0</v>
      </c>
      <c r="N341" s="170">
        <f>0+táj.2!N341</f>
        <v>0</v>
      </c>
      <c r="O341" s="170">
        <f>0+táj.2!O341</f>
        <v>0</v>
      </c>
      <c r="P341" s="170">
        <f>0+táj.2!P341</f>
        <v>0</v>
      </c>
      <c r="Q341" s="170">
        <f t="shared" si="21"/>
        <v>1000</v>
      </c>
    </row>
    <row r="342" spans="1:17" ht="23.25" customHeight="1" x14ac:dyDescent="0.2">
      <c r="A342" s="197"/>
      <c r="B342" s="197"/>
      <c r="C342" s="217"/>
      <c r="D342" s="171" t="s">
        <v>795</v>
      </c>
      <c r="E342" s="208">
        <v>2</v>
      </c>
      <c r="F342" s="170">
        <v>151207</v>
      </c>
      <c r="G342" s="170">
        <f>0+táj.2!G342</f>
        <v>0</v>
      </c>
      <c r="H342" s="170">
        <f>0+táj.2!H342</f>
        <v>0</v>
      </c>
      <c r="I342" s="170">
        <f>0+táj.2!I342</f>
        <v>0</v>
      </c>
      <c r="J342" s="170">
        <f>0+táj.2!J342</f>
        <v>0</v>
      </c>
      <c r="K342" s="170">
        <f>0+táj.2!K342</f>
        <v>0</v>
      </c>
      <c r="L342" s="170">
        <f>0+táj.2!L342</f>
        <v>0</v>
      </c>
      <c r="M342" s="170">
        <f>0+táj.2!M342</f>
        <v>0</v>
      </c>
      <c r="N342" s="170">
        <f>0+táj.2!N342</f>
        <v>0</v>
      </c>
      <c r="O342" s="170">
        <f>0+táj.2!O342</f>
        <v>0</v>
      </c>
      <c r="P342" s="170">
        <f>0+táj.2!P342</f>
        <v>0</v>
      </c>
      <c r="Q342" s="170">
        <f t="shared" si="21"/>
        <v>0</v>
      </c>
    </row>
    <row r="343" spans="1:17" ht="14.1" customHeight="1" x14ac:dyDescent="0.2">
      <c r="A343" s="197"/>
      <c r="B343" s="197"/>
      <c r="C343" s="217"/>
      <c r="D343" s="325" t="s">
        <v>796</v>
      </c>
      <c r="E343" s="208">
        <v>1</v>
      </c>
      <c r="F343" s="170">
        <v>151902</v>
      </c>
      <c r="G343" s="170">
        <f>7800+táj.2!G343</f>
        <v>7842</v>
      </c>
      <c r="H343" s="170">
        <f>1350+táj.2!H343</f>
        <v>1350</v>
      </c>
      <c r="I343" s="170">
        <f>5976+táj.2!I343</f>
        <v>6542</v>
      </c>
      <c r="J343" s="170">
        <f>0+táj.2!J343</f>
        <v>0</v>
      </c>
      <c r="K343" s="170">
        <f>0+táj.2!K343</f>
        <v>0</v>
      </c>
      <c r="L343" s="170">
        <f>0+táj.2!L343</f>
        <v>0</v>
      </c>
      <c r="M343" s="170">
        <f>0+táj.2!M343</f>
        <v>0</v>
      </c>
      <c r="N343" s="170">
        <f>0+táj.2!N343</f>
        <v>0</v>
      </c>
      <c r="O343" s="170">
        <f>0+táj.2!O343</f>
        <v>0</v>
      </c>
      <c r="P343" s="170">
        <f>0+táj.2!P343</f>
        <v>0</v>
      </c>
      <c r="Q343" s="170">
        <f t="shared" si="21"/>
        <v>15734</v>
      </c>
    </row>
    <row r="344" spans="1:17" ht="25.5" customHeight="1" x14ac:dyDescent="0.2">
      <c r="A344" s="197"/>
      <c r="B344" s="197"/>
      <c r="C344" s="217"/>
      <c r="D344" s="171" t="s">
        <v>797</v>
      </c>
      <c r="E344" s="208"/>
      <c r="F344" s="170">
        <v>151925</v>
      </c>
      <c r="G344" s="170">
        <f>0+táj.2!G344</f>
        <v>0</v>
      </c>
      <c r="H344" s="170">
        <f>0+táj.2!H344</f>
        <v>0</v>
      </c>
      <c r="I344" s="170">
        <f>3000+táj.2!I344</f>
        <v>3000</v>
      </c>
      <c r="J344" s="170">
        <f>0+táj.2!J344</f>
        <v>0</v>
      </c>
      <c r="K344" s="170">
        <f>0+táj.2!K344</f>
        <v>0</v>
      </c>
      <c r="L344" s="170">
        <f>0+táj.2!L344</f>
        <v>0</v>
      </c>
      <c r="M344" s="170">
        <f>0+táj.2!M344</f>
        <v>0</v>
      </c>
      <c r="N344" s="170">
        <f>0+táj.2!N344</f>
        <v>0</v>
      </c>
      <c r="O344" s="170">
        <f>0+táj.2!O344</f>
        <v>0</v>
      </c>
      <c r="P344" s="170">
        <f>0+táj.2!P344</f>
        <v>0</v>
      </c>
      <c r="Q344" s="170">
        <f t="shared" si="21"/>
        <v>3000</v>
      </c>
    </row>
    <row r="345" spans="1:17" ht="15" customHeight="1" x14ac:dyDescent="0.2">
      <c r="A345" s="197"/>
      <c r="B345" s="197"/>
      <c r="C345" s="217"/>
      <c r="D345" s="172" t="s">
        <v>360</v>
      </c>
      <c r="E345" s="241"/>
      <c r="F345" s="241"/>
      <c r="G345" s="170"/>
      <c r="H345" s="170"/>
      <c r="I345" s="170"/>
      <c r="J345" s="170"/>
      <c r="K345" s="170"/>
      <c r="L345" s="170"/>
      <c r="M345" s="170"/>
      <c r="N345" s="170"/>
      <c r="O345" s="170"/>
      <c r="P345" s="170"/>
      <c r="Q345" s="170"/>
    </row>
    <row r="346" spans="1:17" ht="24.95" customHeight="1" x14ac:dyDescent="0.2">
      <c r="A346" s="197"/>
      <c r="B346" s="197"/>
      <c r="C346" s="217"/>
      <c r="D346" s="172" t="s">
        <v>798</v>
      </c>
      <c r="E346" s="179">
        <v>2</v>
      </c>
      <c r="F346" s="250">
        <v>151910</v>
      </c>
      <c r="G346" s="170">
        <f>0+táj.2!G346</f>
        <v>0</v>
      </c>
      <c r="H346" s="170">
        <f>0+táj.2!H346</f>
        <v>0</v>
      </c>
      <c r="I346" s="170">
        <f>180190+táj.2!I346</f>
        <v>180190</v>
      </c>
      <c r="J346" s="170">
        <f>0+táj.2!J346</f>
        <v>0</v>
      </c>
      <c r="K346" s="170">
        <f>0+táj.2!K346</f>
        <v>0</v>
      </c>
      <c r="L346" s="170">
        <f>0+táj.2!L346</f>
        <v>0</v>
      </c>
      <c r="M346" s="170">
        <f>0+táj.2!M346</f>
        <v>0</v>
      </c>
      <c r="N346" s="170">
        <f>0+táj.2!N346</f>
        <v>0</v>
      </c>
      <c r="O346" s="170">
        <f>0+táj.2!O346</f>
        <v>0</v>
      </c>
      <c r="P346" s="170">
        <f>0+táj.2!P346</f>
        <v>0</v>
      </c>
      <c r="Q346" s="170">
        <f>SUM(G346:P346)</f>
        <v>180190</v>
      </c>
    </row>
    <row r="347" spans="1:17" ht="24.75" customHeight="1" x14ac:dyDescent="0.2">
      <c r="A347" s="197"/>
      <c r="B347" s="197"/>
      <c r="C347" s="217"/>
      <c r="D347" s="172" t="s">
        <v>424</v>
      </c>
      <c r="E347" s="179"/>
      <c r="F347" s="241"/>
      <c r="G347" s="170"/>
      <c r="H347" s="170"/>
      <c r="I347" s="170"/>
      <c r="J347" s="170"/>
      <c r="K347" s="170"/>
      <c r="L347" s="170"/>
      <c r="M347" s="170"/>
      <c r="N347" s="170"/>
      <c r="O347" s="170"/>
      <c r="P347" s="170"/>
      <c r="Q347" s="170"/>
    </row>
    <row r="348" spans="1:17" ht="24.95" customHeight="1" x14ac:dyDescent="0.2">
      <c r="A348" s="197"/>
      <c r="B348" s="197"/>
      <c r="C348" s="217"/>
      <c r="D348" s="172" t="s">
        <v>799</v>
      </c>
      <c r="E348" s="179">
        <v>1</v>
      </c>
      <c r="F348" s="250">
        <v>152915</v>
      </c>
      <c r="G348" s="170">
        <f>0+táj.2!G348</f>
        <v>0</v>
      </c>
      <c r="H348" s="170">
        <f>0+táj.2!H348</f>
        <v>0</v>
      </c>
      <c r="I348" s="170">
        <f>15808+táj.2!I348</f>
        <v>15808</v>
      </c>
      <c r="J348" s="170">
        <f>0+táj.2!J348</f>
        <v>0</v>
      </c>
      <c r="K348" s="170">
        <f>0+táj.2!K348</f>
        <v>0</v>
      </c>
      <c r="L348" s="170">
        <f>0+táj.2!L348</f>
        <v>0</v>
      </c>
      <c r="M348" s="170">
        <f>0+táj.2!M348</f>
        <v>0</v>
      </c>
      <c r="N348" s="170">
        <f>0+táj.2!N348</f>
        <v>0</v>
      </c>
      <c r="O348" s="170">
        <f>0+táj.2!O348</f>
        <v>0</v>
      </c>
      <c r="P348" s="170">
        <f>0+táj.2!P348</f>
        <v>0</v>
      </c>
      <c r="Q348" s="170">
        <f>SUM(G348:P348)</f>
        <v>15808</v>
      </c>
    </row>
    <row r="349" spans="1:17" ht="17.100000000000001" customHeight="1" x14ac:dyDescent="0.2">
      <c r="A349" s="197"/>
      <c r="B349" s="197"/>
      <c r="C349" s="217"/>
      <c r="D349" s="325" t="s">
        <v>800</v>
      </c>
      <c r="E349" s="208"/>
      <c r="F349" s="208"/>
      <c r="G349" s="170"/>
      <c r="H349" s="170"/>
      <c r="I349" s="170"/>
      <c r="J349" s="170"/>
      <c r="K349" s="170"/>
      <c r="L349" s="170"/>
      <c r="M349" s="170"/>
      <c r="N349" s="170"/>
      <c r="O349" s="170"/>
      <c r="P349" s="170"/>
      <c r="Q349" s="170"/>
    </row>
    <row r="350" spans="1:17" ht="17.100000000000001" customHeight="1" x14ac:dyDescent="0.2">
      <c r="A350" s="197"/>
      <c r="B350" s="197"/>
      <c r="C350" s="217"/>
      <c r="D350" s="325" t="s">
        <v>801</v>
      </c>
      <c r="E350" s="170">
        <v>1</v>
      </c>
      <c r="F350" s="170">
        <v>151704</v>
      </c>
      <c r="G350" s="170">
        <f>0+táj.2!G350</f>
        <v>0</v>
      </c>
      <c r="H350" s="170">
        <f>0+táj.2!H350</f>
        <v>0</v>
      </c>
      <c r="I350" s="170">
        <f>0+táj.2!I350</f>
        <v>0</v>
      </c>
      <c r="J350" s="170">
        <f>0+táj.2!J350</f>
        <v>0</v>
      </c>
      <c r="K350" s="170">
        <f>250+táj.2!K350</f>
        <v>250</v>
      </c>
      <c r="L350" s="170">
        <f>0+táj.2!L350</f>
        <v>0</v>
      </c>
      <c r="M350" s="170">
        <f>0+táj.2!M350</f>
        <v>0</v>
      </c>
      <c r="N350" s="170">
        <f>0+táj.2!N350</f>
        <v>0</v>
      </c>
      <c r="O350" s="170">
        <f>0+táj.2!O350</f>
        <v>0</v>
      </c>
      <c r="P350" s="170">
        <f>0+táj.2!P350</f>
        <v>0</v>
      </c>
      <c r="Q350" s="170">
        <f>SUM(G350:P350)</f>
        <v>250</v>
      </c>
    </row>
    <row r="351" spans="1:17" ht="17.100000000000001" customHeight="1" x14ac:dyDescent="0.2">
      <c r="A351" s="223"/>
      <c r="B351" s="223"/>
      <c r="C351" s="224"/>
      <c r="D351" s="339" t="s">
        <v>802</v>
      </c>
      <c r="E351" s="226"/>
      <c r="F351" s="227"/>
      <c r="G351" s="227">
        <f t="shared" ref="G351:Q351" si="22">SUM(G237:G350)</f>
        <v>7842</v>
      </c>
      <c r="H351" s="227">
        <f t="shared" si="22"/>
        <v>1350</v>
      </c>
      <c r="I351" s="227">
        <f t="shared" si="22"/>
        <v>1770726</v>
      </c>
      <c r="J351" s="227">
        <f t="shared" si="22"/>
        <v>0</v>
      </c>
      <c r="K351" s="227">
        <f t="shared" si="22"/>
        <v>438298</v>
      </c>
      <c r="L351" s="227">
        <f t="shared" si="22"/>
        <v>3540</v>
      </c>
      <c r="M351" s="227">
        <f t="shared" si="22"/>
        <v>5208</v>
      </c>
      <c r="N351" s="227">
        <f t="shared" si="22"/>
        <v>0</v>
      </c>
      <c r="O351" s="227">
        <f t="shared" si="22"/>
        <v>0</v>
      </c>
      <c r="P351" s="227">
        <f t="shared" si="22"/>
        <v>0</v>
      </c>
      <c r="Q351" s="227">
        <f t="shared" si="22"/>
        <v>2226964</v>
      </c>
    </row>
    <row r="352" spans="1:17" ht="17.100000000000001" customHeight="1" x14ac:dyDescent="0.2">
      <c r="A352" s="229"/>
      <c r="B352" s="229"/>
      <c r="C352" s="229"/>
      <c r="D352" s="318" t="s">
        <v>499</v>
      </c>
      <c r="E352" s="232"/>
      <c r="F352" s="233"/>
      <c r="G352" s="233"/>
      <c r="H352" s="233"/>
      <c r="I352" s="233"/>
      <c r="J352" s="233"/>
      <c r="K352" s="233"/>
      <c r="L352" s="233"/>
      <c r="M352" s="233"/>
      <c r="N352" s="233"/>
      <c r="O352" s="233"/>
      <c r="P352" s="233"/>
      <c r="Q352" s="233"/>
    </row>
    <row r="353" spans="1:17" ht="17.25" customHeight="1" x14ac:dyDescent="0.2">
      <c r="A353" s="229"/>
      <c r="B353" s="229"/>
      <c r="C353" s="340" t="s">
        <v>125</v>
      </c>
      <c r="D353" s="341" t="s">
        <v>803</v>
      </c>
      <c r="E353" s="232"/>
      <c r="F353" s="233"/>
      <c r="G353" s="233"/>
      <c r="H353" s="233"/>
      <c r="I353" s="233"/>
      <c r="J353" s="233"/>
      <c r="K353" s="233"/>
      <c r="L353" s="233"/>
      <c r="M353" s="233"/>
      <c r="N353" s="233"/>
      <c r="O353" s="233"/>
      <c r="P353" s="233"/>
      <c r="Q353" s="233"/>
    </row>
    <row r="354" spans="1:17" ht="26.25" customHeight="1" x14ac:dyDescent="0.2">
      <c r="A354" s="229"/>
      <c r="B354" s="229"/>
      <c r="C354" s="197" t="s">
        <v>500</v>
      </c>
      <c r="D354" s="297" t="s">
        <v>804</v>
      </c>
      <c r="E354" s="610"/>
      <c r="F354" s="170">
        <v>154132</v>
      </c>
      <c r="G354" s="170">
        <f>0+táj.2!G354</f>
        <v>0</v>
      </c>
      <c r="H354" s="170">
        <f>0+táj.2!H354</f>
        <v>0</v>
      </c>
      <c r="I354" s="170">
        <f>0+táj.2!I354</f>
        <v>0</v>
      </c>
      <c r="J354" s="170">
        <f>0+táj.2!J354</f>
        <v>0</v>
      </c>
      <c r="K354" s="170">
        <f>0+táj.2!K354</f>
        <v>0</v>
      </c>
      <c r="L354" s="170">
        <f>0+táj.2!L354</f>
        <v>0</v>
      </c>
      <c r="M354" s="170">
        <f>0+táj.2!M354</f>
        <v>0</v>
      </c>
      <c r="N354" s="170">
        <f>0+táj.2!N354</f>
        <v>0</v>
      </c>
      <c r="O354" s="170">
        <f>0+táj.2!O354</f>
        <v>0</v>
      </c>
      <c r="P354" s="170">
        <f>0+táj.2!P354</f>
        <v>0</v>
      </c>
      <c r="Q354" s="170">
        <f t="shared" ref="Q354:Q361" si="23">SUM(G354:P354)</f>
        <v>0</v>
      </c>
    </row>
    <row r="355" spans="1:17" ht="17.100000000000001" customHeight="1" x14ac:dyDescent="0.2">
      <c r="A355" s="229"/>
      <c r="B355" s="229"/>
      <c r="C355" s="197" t="s">
        <v>805</v>
      </c>
      <c r="D355" s="678" t="s">
        <v>806</v>
      </c>
      <c r="E355" s="610"/>
      <c r="F355" s="170">
        <v>152130</v>
      </c>
      <c r="G355" s="170">
        <f>0+táj.2!G355</f>
        <v>0</v>
      </c>
      <c r="H355" s="170">
        <f>0+táj.2!H355</f>
        <v>0</v>
      </c>
      <c r="I355" s="170">
        <f>0+táj.2!I355</f>
        <v>0</v>
      </c>
      <c r="J355" s="170">
        <f>0+táj.2!J355</f>
        <v>0</v>
      </c>
      <c r="K355" s="170">
        <f>0+táj.2!K355</f>
        <v>0</v>
      </c>
      <c r="L355" s="170">
        <f>0+táj.2!L355</f>
        <v>0</v>
      </c>
      <c r="M355" s="170">
        <f>0+táj.2!M355</f>
        <v>0</v>
      </c>
      <c r="N355" s="170">
        <f>0+táj.2!N355</f>
        <v>0</v>
      </c>
      <c r="O355" s="170">
        <f>0+táj.2!O355</f>
        <v>0</v>
      </c>
      <c r="P355" s="170">
        <f>0+táj.2!P355</f>
        <v>0</v>
      </c>
      <c r="Q355" s="170">
        <f t="shared" si="23"/>
        <v>0</v>
      </c>
    </row>
    <row r="356" spans="1:17" ht="17.100000000000001" customHeight="1" x14ac:dyDescent="0.2">
      <c r="A356" s="229"/>
      <c r="B356" s="229"/>
      <c r="C356" s="197" t="s">
        <v>807</v>
      </c>
      <c r="D356" s="681" t="s">
        <v>808</v>
      </c>
      <c r="E356" s="610"/>
      <c r="F356" s="170">
        <v>152112</v>
      </c>
      <c r="G356" s="170">
        <f>0+táj.2!G356</f>
        <v>0</v>
      </c>
      <c r="H356" s="170">
        <f>0+táj.2!H356</f>
        <v>0</v>
      </c>
      <c r="I356" s="170">
        <f>0+táj.2!I356</f>
        <v>0</v>
      </c>
      <c r="J356" s="170">
        <f>0+táj.2!J356</f>
        <v>0</v>
      </c>
      <c r="K356" s="170">
        <f>0+táj.2!K356</f>
        <v>0</v>
      </c>
      <c r="L356" s="170">
        <f>10000+táj.2!L356</f>
        <v>6654</v>
      </c>
      <c r="M356" s="170">
        <f>0+táj.2!M356</f>
        <v>0</v>
      </c>
      <c r="N356" s="170">
        <f>0+táj.2!N356</f>
        <v>0</v>
      </c>
      <c r="O356" s="170">
        <f>0+táj.2!O356</f>
        <v>0</v>
      </c>
      <c r="P356" s="170">
        <f>0+táj.2!P356</f>
        <v>0</v>
      </c>
      <c r="Q356" s="170">
        <f t="shared" si="23"/>
        <v>6654</v>
      </c>
    </row>
    <row r="357" spans="1:17" ht="17.100000000000001" customHeight="1" x14ac:dyDescent="0.2">
      <c r="A357" s="229"/>
      <c r="B357" s="229"/>
      <c r="C357" s="197" t="s">
        <v>809</v>
      </c>
      <c r="D357" s="679" t="s">
        <v>810</v>
      </c>
      <c r="E357" s="610"/>
      <c r="F357" s="170">
        <v>152131</v>
      </c>
      <c r="G357" s="170">
        <f>0+táj.2!G357</f>
        <v>0</v>
      </c>
      <c r="H357" s="170">
        <f>0+táj.2!H357</f>
        <v>0</v>
      </c>
      <c r="I357" s="170">
        <f>0+táj.2!I357</f>
        <v>0</v>
      </c>
      <c r="J357" s="170">
        <f>0+táj.2!J357</f>
        <v>0</v>
      </c>
      <c r="K357" s="170">
        <f>0+táj.2!K357</f>
        <v>0</v>
      </c>
      <c r="L357" s="170">
        <f>0+táj.2!L357</f>
        <v>0</v>
      </c>
      <c r="M357" s="170">
        <f>0+táj.2!M357</f>
        <v>0</v>
      </c>
      <c r="N357" s="170">
        <f>0+táj.2!N357</f>
        <v>0</v>
      </c>
      <c r="O357" s="170">
        <f>0+táj.2!O357</f>
        <v>0</v>
      </c>
      <c r="P357" s="170">
        <f>0+táj.2!P357</f>
        <v>0</v>
      </c>
      <c r="Q357" s="170">
        <f t="shared" si="23"/>
        <v>0</v>
      </c>
    </row>
    <row r="358" spans="1:17" ht="17.100000000000001" customHeight="1" x14ac:dyDescent="0.2">
      <c r="A358" s="229"/>
      <c r="B358" s="229"/>
      <c r="C358" s="197" t="s">
        <v>811</v>
      </c>
      <c r="D358" s="680" t="s">
        <v>812</v>
      </c>
      <c r="E358" s="610"/>
      <c r="F358" s="170">
        <v>152132</v>
      </c>
      <c r="G358" s="170">
        <f>0+táj.2!G358</f>
        <v>0</v>
      </c>
      <c r="H358" s="170">
        <f>0+táj.2!H358</f>
        <v>0</v>
      </c>
      <c r="I358" s="170">
        <f>0+táj.2!I358</f>
        <v>0</v>
      </c>
      <c r="J358" s="170">
        <f>0+táj.2!J358</f>
        <v>0</v>
      </c>
      <c r="K358" s="170">
        <f>0+táj.2!K358</f>
        <v>0</v>
      </c>
      <c r="L358" s="170">
        <f>2000+táj.2!L358</f>
        <v>2000</v>
      </c>
      <c r="M358" s="170">
        <f>0+táj.2!M358</f>
        <v>0</v>
      </c>
      <c r="N358" s="170">
        <f>0+táj.2!N358</f>
        <v>0</v>
      </c>
      <c r="O358" s="170">
        <f>0+táj.2!O358</f>
        <v>0</v>
      </c>
      <c r="P358" s="170">
        <f>0+táj.2!P358</f>
        <v>0</v>
      </c>
      <c r="Q358" s="170">
        <f t="shared" si="23"/>
        <v>2000</v>
      </c>
    </row>
    <row r="359" spans="1:17" ht="17.100000000000001" customHeight="1" x14ac:dyDescent="0.2">
      <c r="A359" s="229"/>
      <c r="B359" s="229"/>
      <c r="C359" s="197" t="s">
        <v>813</v>
      </c>
      <c r="D359" s="680" t="s">
        <v>814</v>
      </c>
      <c r="E359" s="610"/>
      <c r="F359" s="170">
        <v>152133</v>
      </c>
      <c r="G359" s="170">
        <f>0+táj.2!G359</f>
        <v>0</v>
      </c>
      <c r="H359" s="170">
        <f>0+táj.2!H359</f>
        <v>0</v>
      </c>
      <c r="I359" s="170">
        <f>0+táj.2!I359</f>
        <v>0</v>
      </c>
      <c r="J359" s="170">
        <f>0+táj.2!J359</f>
        <v>0</v>
      </c>
      <c r="K359" s="170">
        <f>0+táj.2!K359</f>
        <v>0</v>
      </c>
      <c r="L359" s="170">
        <f>1500+táj.2!L359</f>
        <v>1500</v>
      </c>
      <c r="M359" s="170">
        <f>0+táj.2!M359</f>
        <v>0</v>
      </c>
      <c r="N359" s="170">
        <f>0+táj.2!N359</f>
        <v>0</v>
      </c>
      <c r="O359" s="170">
        <f>0+táj.2!O359</f>
        <v>0</v>
      </c>
      <c r="P359" s="170">
        <f>0+táj.2!P359</f>
        <v>0</v>
      </c>
      <c r="Q359" s="170">
        <f t="shared" si="23"/>
        <v>1500</v>
      </c>
    </row>
    <row r="360" spans="1:17" ht="17.100000000000001" customHeight="1" x14ac:dyDescent="0.2">
      <c r="A360" s="229"/>
      <c r="B360" s="229"/>
      <c r="C360" s="197" t="s">
        <v>815</v>
      </c>
      <c r="D360" s="359" t="s">
        <v>816</v>
      </c>
      <c r="E360" s="610"/>
      <c r="F360" s="170">
        <v>152134</v>
      </c>
      <c r="G360" s="170">
        <f>0+táj.2!G360</f>
        <v>0</v>
      </c>
      <c r="H360" s="170">
        <f>0+táj.2!H360</f>
        <v>0</v>
      </c>
      <c r="I360" s="170">
        <f>0+táj.2!I360</f>
        <v>0</v>
      </c>
      <c r="J360" s="170">
        <f>0+táj.2!J360</f>
        <v>0</v>
      </c>
      <c r="K360" s="170">
        <f>0+táj.2!K360</f>
        <v>0</v>
      </c>
      <c r="L360" s="170">
        <f>0+táj.2!L360</f>
        <v>0</v>
      </c>
      <c r="M360" s="170">
        <f>0+táj.2!M360</f>
        <v>0</v>
      </c>
      <c r="N360" s="170">
        <f>0+táj.2!N360</f>
        <v>0</v>
      </c>
      <c r="O360" s="170">
        <f>0+táj.2!O360</f>
        <v>0</v>
      </c>
      <c r="P360" s="170">
        <f>0+táj.2!P360</f>
        <v>0</v>
      </c>
      <c r="Q360" s="170">
        <f t="shared" si="23"/>
        <v>0</v>
      </c>
    </row>
    <row r="361" spans="1:17" ht="17.100000000000001" customHeight="1" x14ac:dyDescent="0.2">
      <c r="A361" s="229"/>
      <c r="B361" s="229"/>
      <c r="C361" s="197" t="s">
        <v>817</v>
      </c>
      <c r="D361" s="343" t="s">
        <v>818</v>
      </c>
      <c r="E361" s="610"/>
      <c r="F361" s="170">
        <v>152135</v>
      </c>
      <c r="G361" s="170">
        <f>0+táj.2!G361</f>
        <v>0</v>
      </c>
      <c r="H361" s="170">
        <f>0+táj.2!H361</f>
        <v>0</v>
      </c>
      <c r="I361" s="170">
        <f>0+táj.2!I361</f>
        <v>0</v>
      </c>
      <c r="J361" s="170">
        <f>0+táj.2!J361</f>
        <v>0</v>
      </c>
      <c r="K361" s="170">
        <f>0+táj.2!K361</f>
        <v>0</v>
      </c>
      <c r="L361" s="170">
        <f>2972+táj.2!L361</f>
        <v>2972</v>
      </c>
      <c r="M361" s="170">
        <f>0+táj.2!M361</f>
        <v>0</v>
      </c>
      <c r="N361" s="170">
        <f>0+táj.2!N361</f>
        <v>0</v>
      </c>
      <c r="O361" s="170">
        <f>0+táj.2!O361</f>
        <v>0</v>
      </c>
      <c r="P361" s="170">
        <f>0+táj.2!P361</f>
        <v>0</v>
      </c>
      <c r="Q361" s="170">
        <f t="shared" si="23"/>
        <v>2972</v>
      </c>
    </row>
    <row r="362" spans="1:17" ht="17.100000000000001" customHeight="1" x14ac:dyDescent="0.2">
      <c r="A362" s="229"/>
      <c r="B362" s="229"/>
      <c r="C362" s="344"/>
      <c r="D362" s="345" t="s">
        <v>502</v>
      </c>
      <c r="E362" s="232"/>
      <c r="F362" s="233"/>
      <c r="G362" s="170"/>
      <c r="H362" s="170"/>
      <c r="I362" s="170"/>
      <c r="J362" s="170"/>
      <c r="K362" s="170"/>
      <c r="L362" s="170"/>
      <c r="M362" s="170"/>
      <c r="N362" s="170"/>
      <c r="O362" s="170"/>
      <c r="P362" s="170"/>
      <c r="Q362" s="170"/>
    </row>
    <row r="363" spans="1:17" ht="17.100000000000001" customHeight="1" x14ac:dyDescent="0.2">
      <c r="A363" s="229"/>
      <c r="B363" s="340"/>
      <c r="C363" s="346" t="s">
        <v>503</v>
      </c>
      <c r="D363" s="245" t="s">
        <v>1388</v>
      </c>
      <c r="E363" s="610"/>
      <c r="F363" s="170">
        <v>154103</v>
      </c>
      <c r="G363" s="170">
        <f>0+táj.2!G363</f>
        <v>0</v>
      </c>
      <c r="H363" s="170">
        <f>0+táj.2!H363</f>
        <v>0</v>
      </c>
      <c r="I363" s="170">
        <f>0+táj.2!I363</f>
        <v>0</v>
      </c>
      <c r="J363" s="170">
        <f>0+táj.2!J363</f>
        <v>0</v>
      </c>
      <c r="K363" s="170">
        <f>0+táj.2!K363</f>
        <v>0</v>
      </c>
      <c r="L363" s="170">
        <f>0+táj.2!L363</f>
        <v>0</v>
      </c>
      <c r="M363" s="170">
        <f>0+táj.2!M363</f>
        <v>0</v>
      </c>
      <c r="N363" s="170">
        <f>0+táj.2!N363</f>
        <v>0</v>
      </c>
      <c r="O363" s="170">
        <f>0+táj.2!O363</f>
        <v>0</v>
      </c>
      <c r="P363" s="170">
        <f>0+táj.2!P363</f>
        <v>0</v>
      </c>
      <c r="Q363" s="170">
        <f>SUM(G363:P363)</f>
        <v>0</v>
      </c>
    </row>
    <row r="364" spans="1:17" ht="17.100000000000001" customHeight="1" x14ac:dyDescent="0.2">
      <c r="A364" s="229"/>
      <c r="B364" s="340"/>
      <c r="C364" s="346" t="s">
        <v>505</v>
      </c>
      <c r="D364" s="347" t="s">
        <v>819</v>
      </c>
      <c r="E364" s="232"/>
      <c r="F364" s="170">
        <v>152128</v>
      </c>
      <c r="G364" s="170">
        <f>0+táj.2!G364</f>
        <v>0</v>
      </c>
      <c r="H364" s="170">
        <f>0+táj.2!H364</f>
        <v>0</v>
      </c>
      <c r="I364" s="170">
        <f>0+táj.2!I364</f>
        <v>0</v>
      </c>
      <c r="J364" s="170">
        <f>0+táj.2!J364</f>
        <v>0</v>
      </c>
      <c r="K364" s="170">
        <f>0+táj.2!K364</f>
        <v>0</v>
      </c>
      <c r="L364" s="170">
        <f>11048+táj.2!L364</f>
        <v>11048</v>
      </c>
      <c r="M364" s="170">
        <f>0+táj.2!M364</f>
        <v>0</v>
      </c>
      <c r="N364" s="170">
        <f>0+táj.2!N364</f>
        <v>0</v>
      </c>
      <c r="O364" s="170">
        <f>0+táj.2!O364</f>
        <v>0</v>
      </c>
      <c r="P364" s="170">
        <f>0+táj.2!P364</f>
        <v>0</v>
      </c>
      <c r="Q364" s="170">
        <f>SUM(G364:P364)</f>
        <v>11048</v>
      </c>
    </row>
    <row r="365" spans="1:17" ht="17.100000000000001" customHeight="1" x14ac:dyDescent="0.2">
      <c r="A365" s="229"/>
      <c r="B365" s="340"/>
      <c r="C365" s="346" t="s">
        <v>820</v>
      </c>
      <c r="D365" s="347" t="s">
        <v>821</v>
      </c>
      <c r="E365" s="232"/>
      <c r="F365" s="170">
        <v>152129</v>
      </c>
      <c r="G365" s="170">
        <f>0+táj.2!G365</f>
        <v>0</v>
      </c>
      <c r="H365" s="170">
        <f>0+táj.2!H365</f>
        <v>0</v>
      </c>
      <c r="I365" s="170">
        <f>0+táj.2!I365</f>
        <v>0</v>
      </c>
      <c r="J365" s="170">
        <f>0+táj.2!J365</f>
        <v>0</v>
      </c>
      <c r="K365" s="170">
        <f>0+táj.2!K365</f>
        <v>0</v>
      </c>
      <c r="L365" s="170">
        <f>5715+táj.2!L365</f>
        <v>5715</v>
      </c>
      <c r="M365" s="170">
        <f>0+táj.2!M365</f>
        <v>0</v>
      </c>
      <c r="N365" s="170">
        <f>0+táj.2!N365</f>
        <v>0</v>
      </c>
      <c r="O365" s="170">
        <f>0+táj.2!O365</f>
        <v>0</v>
      </c>
      <c r="P365" s="170">
        <f>0+táj.2!P365</f>
        <v>0</v>
      </c>
      <c r="Q365" s="170">
        <f>SUM(G365:P365)</f>
        <v>5715</v>
      </c>
    </row>
    <row r="366" spans="1:17" ht="26.25" customHeight="1" x14ac:dyDescent="0.2">
      <c r="A366" s="229"/>
      <c r="B366" s="340"/>
      <c r="C366" s="346" t="s">
        <v>822</v>
      </c>
      <c r="D366" s="619" t="s">
        <v>823</v>
      </c>
      <c r="E366" s="358"/>
      <c r="F366" s="170">
        <v>152122</v>
      </c>
      <c r="G366" s="170">
        <f>0+táj.2!G366</f>
        <v>0</v>
      </c>
      <c r="H366" s="170">
        <f>0+táj.2!H366</f>
        <v>0</v>
      </c>
      <c r="I366" s="170">
        <f>2336+táj.2!I366</f>
        <v>2336</v>
      </c>
      <c r="J366" s="170">
        <f>0+táj.2!J366</f>
        <v>0</v>
      </c>
      <c r="K366" s="170">
        <f>0+táj.2!K366</f>
        <v>0</v>
      </c>
      <c r="L366" s="170">
        <f>1500+táj.2!L366</f>
        <v>1255</v>
      </c>
      <c r="M366" s="170">
        <f>0+táj.2!M366</f>
        <v>0</v>
      </c>
      <c r="N366" s="170">
        <f>0+táj.2!N366</f>
        <v>0</v>
      </c>
      <c r="O366" s="170">
        <f>0+táj.2!O366</f>
        <v>0</v>
      </c>
      <c r="P366" s="170">
        <f>0+táj.2!P366</f>
        <v>0</v>
      </c>
      <c r="Q366" s="170">
        <f>SUM(G366:P366)</f>
        <v>3591</v>
      </c>
    </row>
    <row r="367" spans="1:17" ht="17.100000000000001" customHeight="1" x14ac:dyDescent="0.2">
      <c r="A367" s="229"/>
      <c r="B367" s="229"/>
      <c r="C367" s="346" t="s">
        <v>824</v>
      </c>
      <c r="D367" s="620" t="s">
        <v>825</v>
      </c>
      <c r="E367" s="232"/>
      <c r="F367" s="170">
        <v>154128</v>
      </c>
      <c r="G367" s="170">
        <f>0+táj.2!G367</f>
        <v>0</v>
      </c>
      <c r="H367" s="170">
        <f>0+táj.2!H367</f>
        <v>0</v>
      </c>
      <c r="I367" s="170">
        <f>0+táj.2!I367</f>
        <v>0</v>
      </c>
      <c r="J367" s="170">
        <f>0+táj.2!J367</f>
        <v>0</v>
      </c>
      <c r="K367" s="170">
        <f>0+táj.2!K367</f>
        <v>0</v>
      </c>
      <c r="L367" s="170">
        <f>0+táj.2!L367</f>
        <v>0</v>
      </c>
      <c r="M367" s="170">
        <f>3139+táj.2!M367</f>
        <v>3355</v>
      </c>
      <c r="N367" s="170">
        <f>0+táj.2!N367</f>
        <v>0</v>
      </c>
      <c r="O367" s="170">
        <f>0+táj.2!O367</f>
        <v>0</v>
      </c>
      <c r="P367" s="170">
        <f>0+táj.2!P367</f>
        <v>0</v>
      </c>
      <c r="Q367" s="170">
        <f>SUM(G367:P367)</f>
        <v>3355</v>
      </c>
    </row>
    <row r="368" spans="1:17" ht="17.100000000000001" customHeight="1" x14ac:dyDescent="0.2">
      <c r="A368" s="229"/>
      <c r="B368" s="229"/>
      <c r="C368" s="349" t="s">
        <v>124</v>
      </c>
      <c r="D368" s="350" t="s">
        <v>826</v>
      </c>
      <c r="E368" s="232"/>
      <c r="F368" s="170"/>
      <c r="G368" s="170"/>
      <c r="H368" s="170"/>
      <c r="I368" s="170"/>
      <c r="J368" s="170"/>
      <c r="K368" s="170"/>
      <c r="L368" s="170"/>
      <c r="M368" s="170"/>
      <c r="N368" s="170"/>
      <c r="O368" s="170"/>
      <c r="P368" s="170"/>
      <c r="Q368" s="170"/>
    </row>
    <row r="369" spans="1:17" ht="17.100000000000001" customHeight="1" x14ac:dyDescent="0.2">
      <c r="A369" s="715"/>
      <c r="B369" s="715"/>
      <c r="C369" s="803" t="s">
        <v>1062</v>
      </c>
      <c r="D369" s="804" t="s">
        <v>1451</v>
      </c>
      <c r="E369" s="414"/>
      <c r="F369" s="193">
        <v>154202</v>
      </c>
      <c r="G369" s="170">
        <f>0+táj.2!G369</f>
        <v>0</v>
      </c>
      <c r="H369" s="170">
        <f>0+táj.2!H369</f>
        <v>0</v>
      </c>
      <c r="I369" s="170">
        <f>0+táj.2!I369</f>
        <v>0</v>
      </c>
      <c r="J369" s="170">
        <f>0+táj.2!J369</f>
        <v>0</v>
      </c>
      <c r="K369" s="170">
        <f>0+táj.2!K369</f>
        <v>0</v>
      </c>
      <c r="L369" s="170">
        <f>0+táj.2!L369</f>
        <v>0</v>
      </c>
      <c r="M369" s="170">
        <f>599+táj.2!M369</f>
        <v>599</v>
      </c>
      <c r="N369" s="170">
        <f>0+táj.2!N369</f>
        <v>0</v>
      </c>
      <c r="O369" s="170">
        <f>0+táj.2!O369</f>
        <v>0</v>
      </c>
      <c r="P369" s="170">
        <f>0+táj.2!P369</f>
        <v>0</v>
      </c>
      <c r="Q369" s="170">
        <f>SUM(G369:P369)</f>
        <v>599</v>
      </c>
    </row>
    <row r="370" spans="1:17" ht="17.100000000000001" customHeight="1" x14ac:dyDescent="0.2">
      <c r="A370" s="229"/>
      <c r="B370" s="229"/>
      <c r="C370" s="351" t="s">
        <v>126</v>
      </c>
      <c r="D370" s="621" t="s">
        <v>827</v>
      </c>
      <c r="E370" s="232"/>
      <c r="F370" s="233"/>
      <c r="G370" s="170"/>
      <c r="H370" s="170"/>
      <c r="I370" s="170"/>
      <c r="J370" s="170"/>
      <c r="K370" s="170"/>
      <c r="L370" s="170"/>
      <c r="M370" s="170"/>
      <c r="N370" s="170"/>
      <c r="O370" s="170"/>
      <c r="P370" s="170"/>
      <c r="Q370" s="170"/>
    </row>
    <row r="371" spans="1:17" ht="17.100000000000001" customHeight="1" x14ac:dyDescent="0.2">
      <c r="A371" s="229"/>
      <c r="B371" s="229"/>
      <c r="C371" s="352" t="s">
        <v>668</v>
      </c>
      <c r="D371" s="245" t="s">
        <v>828</v>
      </c>
      <c r="E371" s="610"/>
      <c r="F371" s="170">
        <v>152346</v>
      </c>
      <c r="G371" s="170">
        <f>0+táj.2!G371</f>
        <v>0</v>
      </c>
      <c r="H371" s="170">
        <f>0+táj.2!H371</f>
        <v>0</v>
      </c>
      <c r="I371" s="170">
        <f>0+táj.2!I371</f>
        <v>0</v>
      </c>
      <c r="J371" s="170">
        <f>0+táj.2!J371</f>
        <v>0</v>
      </c>
      <c r="K371" s="170">
        <f>0+táj.2!K371</f>
        <v>0</v>
      </c>
      <c r="L371" s="170">
        <f>0+táj.2!L371</f>
        <v>0</v>
      </c>
      <c r="M371" s="170">
        <f>0+táj.2!M371</f>
        <v>0</v>
      </c>
      <c r="N371" s="170">
        <f>0+táj.2!N371</f>
        <v>0</v>
      </c>
      <c r="O371" s="170">
        <f>0+táj.2!O371</f>
        <v>0</v>
      </c>
      <c r="P371" s="170">
        <f>0+táj.2!P371</f>
        <v>0</v>
      </c>
      <c r="Q371" s="170">
        <f t="shared" ref="Q371:Q376" si="24">SUM(G371:P371)</f>
        <v>0</v>
      </c>
    </row>
    <row r="372" spans="1:17" ht="17.100000000000001" customHeight="1" x14ac:dyDescent="0.2">
      <c r="A372" s="229"/>
      <c r="B372" s="229"/>
      <c r="C372" s="352" t="s">
        <v>669</v>
      </c>
      <c r="D372" s="245" t="s">
        <v>829</v>
      </c>
      <c r="E372" s="232"/>
      <c r="F372" s="170">
        <v>152304</v>
      </c>
      <c r="G372" s="170">
        <f>0+táj.2!G372</f>
        <v>0</v>
      </c>
      <c r="H372" s="170">
        <f>0+táj.2!H372</f>
        <v>0</v>
      </c>
      <c r="I372" s="170">
        <f>0+táj.2!I372</f>
        <v>0</v>
      </c>
      <c r="J372" s="170">
        <f>0+táj.2!J372</f>
        <v>0</v>
      </c>
      <c r="K372" s="170">
        <f>0+táj.2!K372</f>
        <v>0</v>
      </c>
      <c r="L372" s="170">
        <f>0+táj.2!L372</f>
        <v>0</v>
      </c>
      <c r="M372" s="170">
        <f>0+táj.2!M372</f>
        <v>0</v>
      </c>
      <c r="N372" s="170">
        <f>0+táj.2!N372</f>
        <v>0</v>
      </c>
      <c r="O372" s="170">
        <f>0+táj.2!O372</f>
        <v>0</v>
      </c>
      <c r="P372" s="170">
        <f>0+táj.2!P372</f>
        <v>0</v>
      </c>
      <c r="Q372" s="170">
        <f t="shared" si="24"/>
        <v>0</v>
      </c>
    </row>
    <row r="373" spans="1:17" ht="17.100000000000001" customHeight="1" x14ac:dyDescent="0.2">
      <c r="A373" s="229"/>
      <c r="B373" s="229"/>
      <c r="C373" s="352" t="s">
        <v>830</v>
      </c>
      <c r="D373" s="297" t="s">
        <v>831</v>
      </c>
      <c r="E373" s="610"/>
      <c r="F373" s="170">
        <v>152347</v>
      </c>
      <c r="G373" s="170">
        <f>0+táj.2!G373</f>
        <v>0</v>
      </c>
      <c r="H373" s="170">
        <f>0+táj.2!H373</f>
        <v>0</v>
      </c>
      <c r="I373" s="170">
        <f>0+táj.2!I373</f>
        <v>0</v>
      </c>
      <c r="J373" s="170">
        <f>0+táj.2!J373</f>
        <v>0</v>
      </c>
      <c r="K373" s="170">
        <f>0+táj.2!K373</f>
        <v>0</v>
      </c>
      <c r="L373" s="170">
        <f>0+táj.2!L373</f>
        <v>0</v>
      </c>
      <c r="M373" s="170">
        <f>0+táj.2!M373</f>
        <v>0</v>
      </c>
      <c r="N373" s="170">
        <f>0+táj.2!N373</f>
        <v>0</v>
      </c>
      <c r="O373" s="170">
        <f>0+táj.2!O373</f>
        <v>0</v>
      </c>
      <c r="P373" s="170">
        <f>0+táj.2!P373</f>
        <v>0</v>
      </c>
      <c r="Q373" s="170">
        <f t="shared" si="24"/>
        <v>0</v>
      </c>
    </row>
    <row r="374" spans="1:17" ht="18.75" customHeight="1" x14ac:dyDescent="0.2">
      <c r="A374" s="229"/>
      <c r="B374" s="229"/>
      <c r="C374" s="352" t="s">
        <v>832</v>
      </c>
      <c r="D374" s="590" t="s">
        <v>833</v>
      </c>
      <c r="E374" s="610"/>
      <c r="F374" s="170">
        <v>152348</v>
      </c>
      <c r="G374" s="170">
        <f>0+táj.2!G374</f>
        <v>0</v>
      </c>
      <c r="H374" s="170">
        <f>0+táj.2!H374</f>
        <v>0</v>
      </c>
      <c r="I374" s="170">
        <f>0+táj.2!I374</f>
        <v>0</v>
      </c>
      <c r="J374" s="170">
        <f>0+táj.2!J374</f>
        <v>0</v>
      </c>
      <c r="K374" s="170">
        <f>0+táj.2!K374</f>
        <v>0</v>
      </c>
      <c r="L374" s="170">
        <f>0+táj.2!L374</f>
        <v>0</v>
      </c>
      <c r="M374" s="170">
        <f>0+táj.2!M374</f>
        <v>0</v>
      </c>
      <c r="N374" s="170">
        <f>0+táj.2!N374</f>
        <v>0</v>
      </c>
      <c r="O374" s="170">
        <f>0+táj.2!O374</f>
        <v>0</v>
      </c>
      <c r="P374" s="170">
        <f>0+táj.2!P374</f>
        <v>0</v>
      </c>
      <c r="Q374" s="170">
        <f t="shared" si="24"/>
        <v>0</v>
      </c>
    </row>
    <row r="375" spans="1:17" ht="14.25" customHeight="1" x14ac:dyDescent="0.2">
      <c r="A375" s="229"/>
      <c r="B375" s="229"/>
      <c r="C375" s="352" t="s">
        <v>834</v>
      </c>
      <c r="D375" s="353" t="s">
        <v>835</v>
      </c>
      <c r="E375" s="610"/>
      <c r="F375" s="170">
        <v>152349</v>
      </c>
      <c r="G375" s="170">
        <f>0+táj.2!G375</f>
        <v>0</v>
      </c>
      <c r="H375" s="170">
        <f>0+táj.2!H375</f>
        <v>0</v>
      </c>
      <c r="I375" s="170">
        <f>0+táj.2!I375</f>
        <v>0</v>
      </c>
      <c r="J375" s="170">
        <f>0+táj.2!J375</f>
        <v>0</v>
      </c>
      <c r="K375" s="170">
        <f>0+táj.2!K375</f>
        <v>0</v>
      </c>
      <c r="L375" s="170">
        <f>686+táj.2!L375</f>
        <v>686</v>
      </c>
      <c r="M375" s="170">
        <f>0+táj.2!M375</f>
        <v>0</v>
      </c>
      <c r="N375" s="170">
        <f>0+táj.2!N375</f>
        <v>0</v>
      </c>
      <c r="O375" s="170">
        <f>0+táj.2!O375</f>
        <v>0</v>
      </c>
      <c r="P375" s="170">
        <f>0+táj.2!P375</f>
        <v>0</v>
      </c>
      <c r="Q375" s="170">
        <f t="shared" si="24"/>
        <v>686</v>
      </c>
    </row>
    <row r="376" spans="1:17" ht="17.100000000000001" customHeight="1" x14ac:dyDescent="0.2">
      <c r="A376" s="229"/>
      <c r="B376" s="229"/>
      <c r="C376" s="352" t="s">
        <v>836</v>
      </c>
      <c r="D376" s="353" t="s">
        <v>837</v>
      </c>
      <c r="E376" s="610"/>
      <c r="F376" s="170">
        <v>152350</v>
      </c>
      <c r="G376" s="170">
        <f>0+táj.2!G376</f>
        <v>0</v>
      </c>
      <c r="H376" s="170">
        <f>0+táj.2!H376</f>
        <v>0</v>
      </c>
      <c r="I376" s="170">
        <f>0+táj.2!I376</f>
        <v>0</v>
      </c>
      <c r="J376" s="170">
        <f>0+táj.2!J376</f>
        <v>0</v>
      </c>
      <c r="K376" s="170">
        <f>0+táj.2!K376</f>
        <v>0</v>
      </c>
      <c r="L376" s="170">
        <f>0+táj.2!L376</f>
        <v>0</v>
      </c>
      <c r="M376" s="170">
        <f>0+táj.2!M376</f>
        <v>0</v>
      </c>
      <c r="N376" s="170">
        <f>0+táj.2!N376</f>
        <v>0</v>
      </c>
      <c r="O376" s="170">
        <f>0+táj.2!O376</f>
        <v>0</v>
      </c>
      <c r="P376" s="170">
        <f>0+táj.2!P376</f>
        <v>0</v>
      </c>
      <c r="Q376" s="170">
        <f t="shared" si="24"/>
        <v>0</v>
      </c>
    </row>
    <row r="377" spans="1:17" ht="17.100000000000001" customHeight="1" x14ac:dyDescent="0.2">
      <c r="A377" s="229"/>
      <c r="B377" s="229"/>
      <c r="C377" s="354"/>
      <c r="D377" s="314" t="s">
        <v>502</v>
      </c>
      <c r="E377" s="232"/>
      <c r="F377" s="170"/>
      <c r="G377" s="170"/>
      <c r="H377" s="170"/>
      <c r="I377" s="170"/>
      <c r="J377" s="170"/>
      <c r="K377" s="170"/>
      <c r="L377" s="170"/>
      <c r="M377" s="170"/>
      <c r="N377" s="170"/>
      <c r="O377" s="170"/>
      <c r="P377" s="170"/>
      <c r="Q377" s="170"/>
    </row>
    <row r="378" spans="1:17" ht="17.100000000000001" customHeight="1" x14ac:dyDescent="0.2">
      <c r="A378" s="229"/>
      <c r="B378" s="229"/>
      <c r="C378" s="355" t="s">
        <v>838</v>
      </c>
      <c r="D378" s="356" t="s">
        <v>839</v>
      </c>
      <c r="E378" s="232"/>
      <c r="F378" s="170">
        <v>152301</v>
      </c>
      <c r="G378" s="170">
        <f>0+táj.2!G378</f>
        <v>0</v>
      </c>
      <c r="H378" s="170">
        <f>0+táj.2!H378</f>
        <v>0</v>
      </c>
      <c r="I378" s="170">
        <f>0+táj.2!I378</f>
        <v>0</v>
      </c>
      <c r="J378" s="170">
        <f>0+táj.2!J378</f>
        <v>0</v>
      </c>
      <c r="K378" s="170">
        <f>0+táj.2!K378</f>
        <v>0</v>
      </c>
      <c r="L378" s="170">
        <f>19681+táj.2!L378</f>
        <v>19681</v>
      </c>
      <c r="M378" s="170">
        <f>0+táj.2!M378</f>
        <v>0</v>
      </c>
      <c r="N378" s="170">
        <f>0+táj.2!N378</f>
        <v>0</v>
      </c>
      <c r="O378" s="170">
        <f>0+táj.2!O378</f>
        <v>0</v>
      </c>
      <c r="P378" s="170">
        <f>0+táj.2!P378</f>
        <v>0</v>
      </c>
      <c r="Q378" s="170">
        <f>SUM(G378:P378)</f>
        <v>19681</v>
      </c>
    </row>
    <row r="379" spans="1:17" ht="17.100000000000001" customHeight="1" x14ac:dyDescent="0.2">
      <c r="A379" s="229"/>
      <c r="B379" s="229"/>
      <c r="C379" s="355" t="s">
        <v>840</v>
      </c>
      <c r="D379" s="245" t="s">
        <v>841</v>
      </c>
      <c r="E379" s="618"/>
      <c r="F379" s="170">
        <v>152302</v>
      </c>
      <c r="G379" s="170">
        <f>0+táj.2!G379</f>
        <v>0</v>
      </c>
      <c r="H379" s="170">
        <f>0+táj.2!H379</f>
        <v>0</v>
      </c>
      <c r="I379" s="170">
        <f>0+táj.2!I379</f>
        <v>0</v>
      </c>
      <c r="J379" s="170">
        <f>0+táj.2!J379</f>
        <v>0</v>
      </c>
      <c r="K379" s="170">
        <f>0+táj.2!K379</f>
        <v>0</v>
      </c>
      <c r="L379" s="170">
        <f>70+táj.2!L379</f>
        <v>70</v>
      </c>
      <c r="M379" s="170">
        <f>0+táj.2!M379</f>
        <v>0</v>
      </c>
      <c r="N379" s="170">
        <f>0+táj.2!N379</f>
        <v>0</v>
      </c>
      <c r="O379" s="170">
        <f>0+táj.2!O379</f>
        <v>0</v>
      </c>
      <c r="P379" s="170">
        <f>0+táj.2!P379</f>
        <v>0</v>
      </c>
      <c r="Q379" s="170">
        <f>SUM(G379:P379)</f>
        <v>70</v>
      </c>
    </row>
    <row r="380" spans="1:17" ht="29.25" customHeight="1" x14ac:dyDescent="0.2">
      <c r="A380" s="229"/>
      <c r="B380" s="229"/>
      <c r="C380" s="355" t="s">
        <v>842</v>
      </c>
      <c r="D380" s="245" t="s">
        <v>843</v>
      </c>
      <c r="E380" s="618"/>
      <c r="F380" s="170">
        <v>152307</v>
      </c>
      <c r="G380" s="170">
        <f>0+táj.2!G380</f>
        <v>0</v>
      </c>
      <c r="H380" s="170">
        <f>0+táj.2!H380</f>
        <v>0</v>
      </c>
      <c r="I380" s="170">
        <f>0+táj.2!I380</f>
        <v>0</v>
      </c>
      <c r="J380" s="170">
        <f>0+táj.2!J380</f>
        <v>0</v>
      </c>
      <c r="K380" s="170">
        <f>0+táj.2!K380</f>
        <v>0</v>
      </c>
      <c r="L380" s="170">
        <f>0+táj.2!L380</f>
        <v>0</v>
      </c>
      <c r="M380" s="170">
        <f>0+táj.2!M380</f>
        <v>0</v>
      </c>
      <c r="N380" s="170">
        <f>0+táj.2!N380</f>
        <v>0</v>
      </c>
      <c r="O380" s="170">
        <f>0+táj.2!O380</f>
        <v>0</v>
      </c>
      <c r="P380" s="170">
        <f>0+táj.2!P380</f>
        <v>0</v>
      </c>
      <c r="Q380" s="170">
        <f>SUM(G380:P380)</f>
        <v>0</v>
      </c>
    </row>
    <row r="381" spans="1:17" ht="17.100000000000001" customHeight="1" x14ac:dyDescent="0.2">
      <c r="A381" s="229"/>
      <c r="B381" s="229"/>
      <c r="C381" s="355" t="s">
        <v>844</v>
      </c>
      <c r="D381" s="245" t="s">
        <v>845</v>
      </c>
      <c r="E381" s="618"/>
      <c r="F381" s="170">
        <v>152341</v>
      </c>
      <c r="G381" s="170">
        <f>0+táj.2!G381</f>
        <v>0</v>
      </c>
      <c r="H381" s="170">
        <f>0+táj.2!H381</f>
        <v>0</v>
      </c>
      <c r="I381" s="170">
        <f>0+táj.2!I381</f>
        <v>0</v>
      </c>
      <c r="J381" s="170">
        <f>0+táj.2!J381</f>
        <v>0</v>
      </c>
      <c r="K381" s="170">
        <f>0+táj.2!K381</f>
        <v>0</v>
      </c>
      <c r="L381" s="170">
        <f>775+táj.2!L381</f>
        <v>775</v>
      </c>
      <c r="M381" s="170">
        <f>0+táj.2!M381</f>
        <v>0</v>
      </c>
      <c r="N381" s="170">
        <f>0+táj.2!N381</f>
        <v>0</v>
      </c>
      <c r="O381" s="170">
        <f>0+táj.2!O381</f>
        <v>0</v>
      </c>
      <c r="P381" s="170">
        <f>0+táj.2!P381</f>
        <v>0</v>
      </c>
      <c r="Q381" s="170">
        <f>SUM(G381:P381)</f>
        <v>775</v>
      </c>
    </row>
    <row r="382" spans="1:17" ht="17.100000000000001" customHeight="1" x14ac:dyDescent="0.2">
      <c r="A382" s="229"/>
      <c r="B382" s="229"/>
      <c r="C382" s="354" t="s">
        <v>127</v>
      </c>
      <c r="D382" s="357" t="s">
        <v>846</v>
      </c>
      <c r="E382" s="358"/>
      <c r="F382" s="170"/>
      <c r="G382" s="170"/>
      <c r="H382" s="170"/>
      <c r="I382" s="170"/>
      <c r="J382" s="170"/>
      <c r="K382" s="170"/>
      <c r="L382" s="170"/>
      <c r="M382" s="170"/>
      <c r="N382" s="170"/>
      <c r="O382" s="170"/>
      <c r="P382" s="170"/>
      <c r="Q382" s="170"/>
    </row>
    <row r="383" spans="1:17" ht="17.25" customHeight="1" x14ac:dyDescent="0.2">
      <c r="A383" s="229"/>
      <c r="B383" s="229"/>
      <c r="C383" s="352" t="s">
        <v>847</v>
      </c>
      <c r="D383" s="353" t="s">
        <v>852</v>
      </c>
      <c r="E383" s="358"/>
      <c r="F383" s="170">
        <v>151419</v>
      </c>
      <c r="G383" s="170">
        <f>0+táj.2!G383</f>
        <v>0</v>
      </c>
      <c r="H383" s="170">
        <f>0+táj.2!H383</f>
        <v>0</v>
      </c>
      <c r="I383" s="170">
        <f>270+táj.2!I383</f>
        <v>270</v>
      </c>
      <c r="J383" s="170">
        <f>0+táj.2!J383</f>
        <v>0</v>
      </c>
      <c r="K383" s="170">
        <f>0+táj.2!K383</f>
        <v>0</v>
      </c>
      <c r="L383" s="170">
        <f>0+táj.2!L383</f>
        <v>0</v>
      </c>
      <c r="M383" s="170">
        <f>0+táj.2!M383</f>
        <v>0</v>
      </c>
      <c r="N383" s="170">
        <f>0+táj.2!N383</f>
        <v>0</v>
      </c>
      <c r="O383" s="170">
        <f>0+táj.2!O383</f>
        <v>0</v>
      </c>
      <c r="P383" s="170">
        <f>0+táj.2!P383</f>
        <v>0</v>
      </c>
      <c r="Q383" s="170">
        <f t="shared" ref="Q383:Q414" si="25">SUM(G383:P383)</f>
        <v>270</v>
      </c>
    </row>
    <row r="384" spans="1:17" ht="17.25" customHeight="1" x14ac:dyDescent="0.2">
      <c r="A384" s="229"/>
      <c r="B384" s="229"/>
      <c r="C384" s="352" t="s">
        <v>849</v>
      </c>
      <c r="D384" s="353" t="s">
        <v>854</v>
      </c>
      <c r="E384" s="610"/>
      <c r="F384" s="170">
        <v>155481</v>
      </c>
      <c r="G384" s="170">
        <f>0+táj.2!G384</f>
        <v>0</v>
      </c>
      <c r="H384" s="170">
        <f>0+táj.2!H384</f>
        <v>0</v>
      </c>
      <c r="I384" s="170">
        <f>0+táj.2!I384</f>
        <v>0</v>
      </c>
      <c r="J384" s="170">
        <f>0+táj.2!J384</f>
        <v>0</v>
      </c>
      <c r="K384" s="170">
        <f>0+táj.2!K384</f>
        <v>0</v>
      </c>
      <c r="L384" s="170">
        <f>0+táj.2!L384</f>
        <v>0</v>
      </c>
      <c r="M384" s="170">
        <f>0+táj.2!M384</f>
        <v>0</v>
      </c>
      <c r="N384" s="170">
        <f>0+táj.2!N384</f>
        <v>0</v>
      </c>
      <c r="O384" s="170">
        <f>0+táj.2!O384</f>
        <v>0</v>
      </c>
      <c r="P384" s="170">
        <f>0+táj.2!P384</f>
        <v>0</v>
      </c>
      <c r="Q384" s="170">
        <f t="shared" si="25"/>
        <v>0</v>
      </c>
    </row>
    <row r="385" spans="1:17" ht="29.25" customHeight="1" x14ac:dyDescent="0.2">
      <c r="A385" s="229"/>
      <c r="B385" s="229"/>
      <c r="C385" s="352" t="s">
        <v>851</v>
      </c>
      <c r="D385" s="353" t="s">
        <v>858</v>
      </c>
      <c r="E385" s="610"/>
      <c r="F385" s="170">
        <v>155483</v>
      </c>
      <c r="G385" s="170">
        <f>0+táj.2!G385</f>
        <v>0</v>
      </c>
      <c r="H385" s="170">
        <f>0+táj.2!H385</f>
        <v>0</v>
      </c>
      <c r="I385" s="170">
        <f>0+táj.2!I385</f>
        <v>0</v>
      </c>
      <c r="J385" s="170">
        <f>0+táj.2!J385</f>
        <v>0</v>
      </c>
      <c r="K385" s="170">
        <f>0+táj.2!K385</f>
        <v>0</v>
      </c>
      <c r="L385" s="170">
        <f>0+táj.2!L385</f>
        <v>0</v>
      </c>
      <c r="M385" s="170">
        <f>0+táj.2!M385</f>
        <v>0</v>
      </c>
      <c r="N385" s="170">
        <f>0+táj.2!N385</f>
        <v>0</v>
      </c>
      <c r="O385" s="170">
        <f>0+táj.2!O385</f>
        <v>0</v>
      </c>
      <c r="P385" s="170">
        <f>0+táj.2!P385</f>
        <v>0</v>
      </c>
      <c r="Q385" s="170">
        <f t="shared" si="25"/>
        <v>0</v>
      </c>
    </row>
    <row r="386" spans="1:17" ht="17.25" customHeight="1" x14ac:dyDescent="0.2">
      <c r="A386" s="229"/>
      <c r="B386" s="229"/>
      <c r="C386" s="352" t="s">
        <v>853</v>
      </c>
      <c r="D386" s="329" t="s">
        <v>860</v>
      </c>
      <c r="E386" s="610"/>
      <c r="F386" s="170">
        <v>155482</v>
      </c>
      <c r="G386" s="170">
        <f>0+táj.2!G386</f>
        <v>0</v>
      </c>
      <c r="H386" s="170">
        <f>0+táj.2!H386</f>
        <v>0</v>
      </c>
      <c r="I386" s="170">
        <f>0+táj.2!I386</f>
        <v>0</v>
      </c>
      <c r="J386" s="170">
        <f>0+táj.2!J386</f>
        <v>0</v>
      </c>
      <c r="K386" s="170">
        <f>0+táj.2!K386</f>
        <v>0</v>
      </c>
      <c r="L386" s="170">
        <f>0+táj.2!L386</f>
        <v>0</v>
      </c>
      <c r="M386" s="170">
        <f>0+táj.2!M386</f>
        <v>0</v>
      </c>
      <c r="N386" s="170">
        <f>0+táj.2!N386</f>
        <v>0</v>
      </c>
      <c r="O386" s="170">
        <f>0+táj.2!O386</f>
        <v>0</v>
      </c>
      <c r="P386" s="170">
        <f>0+táj.2!P386</f>
        <v>0</v>
      </c>
      <c r="Q386" s="170">
        <f t="shared" si="25"/>
        <v>0</v>
      </c>
    </row>
    <row r="387" spans="1:17" ht="17.25" customHeight="1" x14ac:dyDescent="0.2">
      <c r="A387" s="229"/>
      <c r="B387" s="229"/>
      <c r="C387" s="352" t="s">
        <v>855</v>
      </c>
      <c r="D387" s="382" t="s">
        <v>862</v>
      </c>
      <c r="E387" s="610"/>
      <c r="F387" s="170">
        <v>152420</v>
      </c>
      <c r="G387" s="170">
        <f>0+táj.2!G387</f>
        <v>0</v>
      </c>
      <c r="H387" s="170">
        <f>0+táj.2!H387</f>
        <v>0</v>
      </c>
      <c r="I387" s="170">
        <f>0+táj.2!I387</f>
        <v>0</v>
      </c>
      <c r="J387" s="170">
        <f>0+táj.2!J387</f>
        <v>0</v>
      </c>
      <c r="K387" s="170">
        <f>0+táj.2!K387</f>
        <v>0</v>
      </c>
      <c r="L387" s="170">
        <f>0+táj.2!L387</f>
        <v>0</v>
      </c>
      <c r="M387" s="170">
        <f>0+táj.2!M387</f>
        <v>0</v>
      </c>
      <c r="N387" s="170">
        <f>0+táj.2!N387</f>
        <v>0</v>
      </c>
      <c r="O387" s="170">
        <f>0+táj.2!O387</f>
        <v>0</v>
      </c>
      <c r="P387" s="170">
        <f>0+táj.2!P387</f>
        <v>0</v>
      </c>
      <c r="Q387" s="170">
        <f t="shared" si="25"/>
        <v>0</v>
      </c>
    </row>
    <row r="388" spans="1:17" ht="29.25" customHeight="1" x14ac:dyDescent="0.2">
      <c r="A388" s="229"/>
      <c r="B388" s="229"/>
      <c r="C388" s="352" t="s">
        <v>857</v>
      </c>
      <c r="D388" s="382" t="s">
        <v>864</v>
      </c>
      <c r="E388" s="610"/>
      <c r="F388" s="170">
        <v>155484</v>
      </c>
      <c r="G388" s="170">
        <f>0+táj.2!G388</f>
        <v>0</v>
      </c>
      <c r="H388" s="170">
        <f>0+táj.2!H388</f>
        <v>0</v>
      </c>
      <c r="I388" s="170">
        <f>0+táj.2!I388</f>
        <v>0</v>
      </c>
      <c r="J388" s="170">
        <f>0+táj.2!J388</f>
        <v>0</v>
      </c>
      <c r="K388" s="170">
        <f>0+táj.2!K388</f>
        <v>0</v>
      </c>
      <c r="L388" s="170">
        <f>0+táj.2!L388</f>
        <v>0</v>
      </c>
      <c r="M388" s="170">
        <f>0+táj.2!M388</f>
        <v>0</v>
      </c>
      <c r="N388" s="170">
        <f>0+táj.2!N388</f>
        <v>0</v>
      </c>
      <c r="O388" s="170">
        <f>0+táj.2!O388</f>
        <v>0</v>
      </c>
      <c r="P388" s="170">
        <f>0+táj.2!P388</f>
        <v>0</v>
      </c>
      <c r="Q388" s="170">
        <f t="shared" si="25"/>
        <v>0</v>
      </c>
    </row>
    <row r="389" spans="1:17" ht="17.25" customHeight="1" x14ac:dyDescent="0.2">
      <c r="A389" s="229"/>
      <c r="B389" s="229"/>
      <c r="C389" s="352" t="s">
        <v>859</v>
      </c>
      <c r="D389" s="353" t="s">
        <v>867</v>
      </c>
      <c r="E389" s="610"/>
      <c r="F389" s="170">
        <v>152489</v>
      </c>
      <c r="G389" s="170">
        <f>0+táj.2!G389</f>
        <v>0</v>
      </c>
      <c r="H389" s="170">
        <f>0+táj.2!H389</f>
        <v>0</v>
      </c>
      <c r="I389" s="170">
        <f>0+táj.2!I389</f>
        <v>0</v>
      </c>
      <c r="J389" s="170">
        <f>0+táj.2!J389</f>
        <v>0</v>
      </c>
      <c r="K389" s="170">
        <f>0+táj.2!K389</f>
        <v>0</v>
      </c>
      <c r="L389" s="170">
        <f>0+táj.2!L389</f>
        <v>0</v>
      </c>
      <c r="M389" s="170">
        <f>0+táj.2!M389</f>
        <v>0</v>
      </c>
      <c r="N389" s="170">
        <f>0+táj.2!N389</f>
        <v>0</v>
      </c>
      <c r="O389" s="170">
        <f>0+táj.2!O389</f>
        <v>0</v>
      </c>
      <c r="P389" s="170">
        <f>0+táj.2!P389</f>
        <v>0</v>
      </c>
      <c r="Q389" s="170">
        <f t="shared" si="25"/>
        <v>0</v>
      </c>
    </row>
    <row r="390" spans="1:17" ht="17.25" customHeight="1" x14ac:dyDescent="0.2">
      <c r="A390" s="229"/>
      <c r="B390" s="229"/>
      <c r="C390" s="352" t="s">
        <v>861</v>
      </c>
      <c r="D390" s="353" t="s">
        <v>869</v>
      </c>
      <c r="E390" s="230"/>
      <c r="F390" s="170">
        <v>155485</v>
      </c>
      <c r="G390" s="170">
        <f>0+táj.2!G390</f>
        <v>0</v>
      </c>
      <c r="H390" s="170">
        <f>0+táj.2!H390</f>
        <v>0</v>
      </c>
      <c r="I390" s="170">
        <f>0+táj.2!I390</f>
        <v>0</v>
      </c>
      <c r="J390" s="170">
        <f>0+táj.2!J390</f>
        <v>0</v>
      </c>
      <c r="K390" s="170">
        <f>0+táj.2!K390</f>
        <v>0</v>
      </c>
      <c r="L390" s="170">
        <f>0+táj.2!L390</f>
        <v>0</v>
      </c>
      <c r="M390" s="170">
        <f>0+táj.2!M390</f>
        <v>0</v>
      </c>
      <c r="N390" s="170">
        <f>0+táj.2!N390</f>
        <v>0</v>
      </c>
      <c r="O390" s="170">
        <f>0+táj.2!O390</f>
        <v>0</v>
      </c>
      <c r="P390" s="170">
        <f>0+táj.2!P390</f>
        <v>0</v>
      </c>
      <c r="Q390" s="170">
        <f t="shared" si="25"/>
        <v>0</v>
      </c>
    </row>
    <row r="391" spans="1:17" ht="23.25" customHeight="1" x14ac:dyDescent="0.2">
      <c r="A391" s="229"/>
      <c r="B391" s="229"/>
      <c r="C391" s="352" t="s">
        <v>863</v>
      </c>
      <c r="D391" s="353" t="s">
        <v>871</v>
      </c>
      <c r="E391" s="230"/>
      <c r="F391" s="170">
        <v>152490</v>
      </c>
      <c r="G391" s="170">
        <f>0+táj.2!G391</f>
        <v>0</v>
      </c>
      <c r="H391" s="170">
        <f>0+táj.2!H391</f>
        <v>0</v>
      </c>
      <c r="I391" s="170">
        <f>0+táj.2!I391</f>
        <v>0</v>
      </c>
      <c r="J391" s="170">
        <f>0+táj.2!J391</f>
        <v>0</v>
      </c>
      <c r="K391" s="170">
        <f>0+táj.2!K391</f>
        <v>0</v>
      </c>
      <c r="L391" s="170">
        <f>3332+táj.2!L391</f>
        <v>3332</v>
      </c>
      <c r="M391" s="170">
        <f>0+táj.2!M391</f>
        <v>0</v>
      </c>
      <c r="N391" s="170">
        <f>0+táj.2!N391</f>
        <v>0</v>
      </c>
      <c r="O391" s="170">
        <f>0+táj.2!O391</f>
        <v>0</v>
      </c>
      <c r="P391" s="170">
        <f>0+táj.2!P391</f>
        <v>0</v>
      </c>
      <c r="Q391" s="170">
        <f t="shared" si="25"/>
        <v>3332</v>
      </c>
    </row>
    <row r="392" spans="1:17" ht="16.5" customHeight="1" x14ac:dyDescent="0.2">
      <c r="A392" s="229"/>
      <c r="B392" s="229"/>
      <c r="C392" s="352" t="s">
        <v>865</v>
      </c>
      <c r="D392" s="382" t="s">
        <v>881</v>
      </c>
      <c r="E392" s="230"/>
      <c r="F392" s="170">
        <v>155489</v>
      </c>
      <c r="G392" s="170">
        <f>0+táj.2!G392</f>
        <v>0</v>
      </c>
      <c r="H392" s="170">
        <f>0+táj.2!H392</f>
        <v>0</v>
      </c>
      <c r="I392" s="170">
        <f>0+táj.2!I392</f>
        <v>0</v>
      </c>
      <c r="J392" s="170">
        <f>0+táj.2!J392</f>
        <v>0</v>
      </c>
      <c r="K392" s="170">
        <f>0+táj.2!K392</f>
        <v>0</v>
      </c>
      <c r="L392" s="170">
        <f>0+táj.2!L392</f>
        <v>0</v>
      </c>
      <c r="M392" s="170">
        <f>0+táj.2!M392</f>
        <v>0</v>
      </c>
      <c r="N392" s="170">
        <f>0+táj.2!N392</f>
        <v>0</v>
      </c>
      <c r="O392" s="170">
        <f>0+táj.2!O392</f>
        <v>0</v>
      </c>
      <c r="P392" s="170">
        <f>0+táj.2!P392</f>
        <v>0</v>
      </c>
      <c r="Q392" s="170">
        <f t="shared" si="25"/>
        <v>0</v>
      </c>
    </row>
    <row r="393" spans="1:17" ht="16.5" customHeight="1" x14ac:dyDescent="0.2">
      <c r="A393" s="229"/>
      <c r="B393" s="229"/>
      <c r="C393" s="352" t="s">
        <v>866</v>
      </c>
      <c r="D393" s="591" t="s">
        <v>1378</v>
      </c>
      <c r="E393" s="230"/>
      <c r="F393" s="170">
        <v>151420</v>
      </c>
      <c r="G393" s="170">
        <f>0+táj.2!G393</f>
        <v>0</v>
      </c>
      <c r="H393" s="170">
        <f>0+táj.2!H393</f>
        <v>0</v>
      </c>
      <c r="I393" s="170">
        <f>602+táj.2!I393</f>
        <v>602</v>
      </c>
      <c r="J393" s="170">
        <f>0+táj.2!J393</f>
        <v>0</v>
      </c>
      <c r="K393" s="170">
        <f>0+táj.2!K393</f>
        <v>0</v>
      </c>
      <c r="L393" s="170">
        <f>0+táj.2!L393</f>
        <v>0</v>
      </c>
      <c r="M393" s="170">
        <f>0+táj.2!M393</f>
        <v>0</v>
      </c>
      <c r="N393" s="170">
        <f>0+táj.2!N393</f>
        <v>0</v>
      </c>
      <c r="O393" s="170">
        <f>0+táj.2!O393</f>
        <v>0</v>
      </c>
      <c r="P393" s="170">
        <f>0+táj.2!P393</f>
        <v>0</v>
      </c>
      <c r="Q393" s="170">
        <f t="shared" si="25"/>
        <v>602</v>
      </c>
    </row>
    <row r="394" spans="1:17" ht="28.5" customHeight="1" x14ac:dyDescent="0.2">
      <c r="A394" s="229"/>
      <c r="B394" s="229"/>
      <c r="C394" s="352" t="s">
        <v>868</v>
      </c>
      <c r="D394" s="353" t="s">
        <v>886</v>
      </c>
      <c r="E394" s="358"/>
      <c r="F394" s="170">
        <v>155490</v>
      </c>
      <c r="G394" s="170">
        <f>0+táj.2!G394</f>
        <v>0</v>
      </c>
      <c r="H394" s="170">
        <f>0+táj.2!H394</f>
        <v>0</v>
      </c>
      <c r="I394" s="170">
        <f>0+táj.2!I394</f>
        <v>0</v>
      </c>
      <c r="J394" s="170">
        <f>0+táj.2!J394</f>
        <v>0</v>
      </c>
      <c r="K394" s="170">
        <f>0+táj.2!K394</f>
        <v>0</v>
      </c>
      <c r="L394" s="170">
        <f>0+táj.2!L394</f>
        <v>0</v>
      </c>
      <c r="M394" s="170">
        <f>0+táj.2!M394</f>
        <v>0</v>
      </c>
      <c r="N394" s="170">
        <f>0+táj.2!N394</f>
        <v>0</v>
      </c>
      <c r="O394" s="170">
        <f>0+táj.2!O394</f>
        <v>0</v>
      </c>
      <c r="P394" s="170">
        <f>0+táj.2!P394</f>
        <v>0</v>
      </c>
      <c r="Q394" s="170">
        <f t="shared" si="25"/>
        <v>0</v>
      </c>
    </row>
    <row r="395" spans="1:17" ht="29.25" customHeight="1" x14ac:dyDescent="0.2">
      <c r="A395" s="229"/>
      <c r="B395" s="229"/>
      <c r="C395" s="352" t="s">
        <v>870</v>
      </c>
      <c r="D395" s="329" t="s">
        <v>888</v>
      </c>
      <c r="E395" s="610"/>
      <c r="F395" s="170">
        <v>155491</v>
      </c>
      <c r="G395" s="170">
        <f>0+táj.2!G395</f>
        <v>0</v>
      </c>
      <c r="H395" s="170">
        <f>0+táj.2!H395</f>
        <v>0</v>
      </c>
      <c r="I395" s="170">
        <f>0+táj.2!I395</f>
        <v>0</v>
      </c>
      <c r="J395" s="170">
        <f>0+táj.2!J395</f>
        <v>0</v>
      </c>
      <c r="K395" s="170">
        <f>0+táj.2!K395</f>
        <v>0</v>
      </c>
      <c r="L395" s="170">
        <f>0+táj.2!L395</f>
        <v>0</v>
      </c>
      <c r="M395" s="170">
        <f>0+táj.2!M395</f>
        <v>0</v>
      </c>
      <c r="N395" s="170">
        <f>0+táj.2!N395</f>
        <v>0</v>
      </c>
      <c r="O395" s="170">
        <f>0+táj.2!O395</f>
        <v>0</v>
      </c>
      <c r="P395" s="170">
        <f>0+táj.2!P395</f>
        <v>0</v>
      </c>
      <c r="Q395" s="170">
        <f t="shared" si="25"/>
        <v>0</v>
      </c>
    </row>
    <row r="396" spans="1:17" ht="17.100000000000001" customHeight="1" x14ac:dyDescent="0.2">
      <c r="A396" s="229"/>
      <c r="B396" s="229"/>
      <c r="C396" s="352" t="s">
        <v>872</v>
      </c>
      <c r="D396" s="245" t="s">
        <v>890</v>
      </c>
      <c r="E396" s="610"/>
      <c r="F396" s="170">
        <v>154468</v>
      </c>
      <c r="G396" s="170">
        <f>0+táj.2!G396</f>
        <v>0</v>
      </c>
      <c r="H396" s="170">
        <f>0+táj.2!H396</f>
        <v>0</v>
      </c>
      <c r="I396" s="170">
        <f>0+táj.2!I396</f>
        <v>0</v>
      </c>
      <c r="J396" s="170">
        <f>0+táj.2!J396</f>
        <v>0</v>
      </c>
      <c r="K396" s="170">
        <f>0+táj.2!K396</f>
        <v>0</v>
      </c>
      <c r="L396" s="170">
        <f>0+táj.2!L396</f>
        <v>0</v>
      </c>
      <c r="M396" s="170">
        <f>0+táj.2!M396</f>
        <v>0</v>
      </c>
      <c r="N396" s="170">
        <f>0+táj.2!N396</f>
        <v>0</v>
      </c>
      <c r="O396" s="170">
        <f>0+táj.2!O396</f>
        <v>0</v>
      </c>
      <c r="P396" s="170">
        <f>0+táj.2!P396</f>
        <v>0</v>
      </c>
      <c r="Q396" s="170">
        <f t="shared" si="25"/>
        <v>0</v>
      </c>
    </row>
    <row r="397" spans="1:17" ht="17.100000000000001" customHeight="1" x14ac:dyDescent="0.2">
      <c r="A397" s="229"/>
      <c r="B397" s="229"/>
      <c r="C397" s="352" t="s">
        <v>874</v>
      </c>
      <c r="D397" s="382" t="s">
        <v>894</v>
      </c>
      <c r="E397" s="610"/>
      <c r="F397" s="170">
        <v>155492</v>
      </c>
      <c r="G397" s="170">
        <f>0+táj.2!G397</f>
        <v>0</v>
      </c>
      <c r="H397" s="170">
        <f>0+táj.2!H397</f>
        <v>0</v>
      </c>
      <c r="I397" s="170">
        <f>0+táj.2!I397</f>
        <v>0</v>
      </c>
      <c r="J397" s="170">
        <f>0+táj.2!J397</f>
        <v>0</v>
      </c>
      <c r="K397" s="170">
        <f>0+táj.2!K397</f>
        <v>0</v>
      </c>
      <c r="L397" s="170">
        <f>0+táj.2!L397</f>
        <v>0</v>
      </c>
      <c r="M397" s="170">
        <f>0+táj.2!M397</f>
        <v>0</v>
      </c>
      <c r="N397" s="170">
        <f>0+táj.2!N397</f>
        <v>0</v>
      </c>
      <c r="O397" s="170">
        <f>0+táj.2!O397</f>
        <v>0</v>
      </c>
      <c r="P397" s="170">
        <f>0+táj.2!P397</f>
        <v>0</v>
      </c>
      <c r="Q397" s="170">
        <f t="shared" si="25"/>
        <v>0</v>
      </c>
    </row>
    <row r="398" spans="1:17" ht="17.100000000000001" customHeight="1" x14ac:dyDescent="0.2">
      <c r="A398" s="229"/>
      <c r="B398" s="229"/>
      <c r="C398" s="352" t="s">
        <v>876</v>
      </c>
      <c r="D398" s="353" t="s">
        <v>897</v>
      </c>
      <c r="E398" s="610"/>
      <c r="F398" s="170">
        <v>154471</v>
      </c>
      <c r="G398" s="170">
        <f>0+táj.2!G398</f>
        <v>0</v>
      </c>
      <c r="H398" s="170">
        <f>0+táj.2!H398</f>
        <v>0</v>
      </c>
      <c r="I398" s="170">
        <f>0+táj.2!I398</f>
        <v>0</v>
      </c>
      <c r="J398" s="170">
        <f>0+táj.2!J398</f>
        <v>0</v>
      </c>
      <c r="K398" s="170">
        <f>0+táj.2!K398</f>
        <v>0</v>
      </c>
      <c r="L398" s="170">
        <f>0+táj.2!L398</f>
        <v>0</v>
      </c>
      <c r="M398" s="170">
        <f>0+táj.2!M398</f>
        <v>0</v>
      </c>
      <c r="N398" s="170">
        <f>0+táj.2!N398</f>
        <v>0</v>
      </c>
      <c r="O398" s="170">
        <f>0+táj.2!O398</f>
        <v>0</v>
      </c>
      <c r="P398" s="170">
        <f>0+táj.2!P398</f>
        <v>0</v>
      </c>
      <c r="Q398" s="170">
        <f t="shared" si="25"/>
        <v>0</v>
      </c>
    </row>
    <row r="399" spans="1:17" ht="17.100000000000001" customHeight="1" x14ac:dyDescent="0.2">
      <c r="A399" s="229"/>
      <c r="B399" s="229"/>
      <c r="C399" s="352" t="s">
        <v>878</v>
      </c>
      <c r="D399" s="353" t="s">
        <v>899</v>
      </c>
      <c r="E399" s="610"/>
      <c r="F399" s="170">
        <v>155494</v>
      </c>
      <c r="G399" s="170">
        <f>0+táj.2!G399</f>
        <v>0</v>
      </c>
      <c r="H399" s="170">
        <f>0+táj.2!H399</f>
        <v>0</v>
      </c>
      <c r="I399" s="170">
        <f>0+táj.2!I399</f>
        <v>0</v>
      </c>
      <c r="J399" s="170">
        <f>0+táj.2!J399</f>
        <v>0</v>
      </c>
      <c r="K399" s="170">
        <f>0+táj.2!K399</f>
        <v>0</v>
      </c>
      <c r="L399" s="170">
        <f>0+táj.2!L399</f>
        <v>0</v>
      </c>
      <c r="M399" s="170">
        <f>0+táj.2!M399</f>
        <v>0</v>
      </c>
      <c r="N399" s="170">
        <f>0+táj.2!N399</f>
        <v>0</v>
      </c>
      <c r="O399" s="170">
        <f>0+táj.2!O399</f>
        <v>0</v>
      </c>
      <c r="P399" s="170">
        <f>0+táj.2!P399</f>
        <v>0</v>
      </c>
      <c r="Q399" s="170">
        <f t="shared" si="25"/>
        <v>0</v>
      </c>
    </row>
    <row r="400" spans="1:17" ht="17.100000000000001" customHeight="1" x14ac:dyDescent="0.2">
      <c r="A400" s="229"/>
      <c r="B400" s="229"/>
      <c r="C400" s="352" t="s">
        <v>880</v>
      </c>
      <c r="D400" s="329" t="s">
        <v>903</v>
      </c>
      <c r="E400" s="610"/>
      <c r="F400" s="170">
        <v>152495</v>
      </c>
      <c r="G400" s="170">
        <f>0+táj.2!G400</f>
        <v>0</v>
      </c>
      <c r="H400" s="170">
        <f>0+táj.2!H400</f>
        <v>0</v>
      </c>
      <c r="I400" s="170">
        <f>0+táj.2!I400</f>
        <v>0</v>
      </c>
      <c r="J400" s="170">
        <f>0+táj.2!J400</f>
        <v>0</v>
      </c>
      <c r="K400" s="170">
        <f>0+táj.2!K400</f>
        <v>0</v>
      </c>
      <c r="L400" s="170">
        <f>0+táj.2!L400</f>
        <v>0</v>
      </c>
      <c r="M400" s="170">
        <f>0+táj.2!M400</f>
        <v>0</v>
      </c>
      <c r="N400" s="170">
        <f>0+táj.2!N400</f>
        <v>0</v>
      </c>
      <c r="O400" s="170">
        <f>0+táj.2!O400</f>
        <v>0</v>
      </c>
      <c r="P400" s="170">
        <f>0+táj.2!P400</f>
        <v>0</v>
      </c>
      <c r="Q400" s="170">
        <f t="shared" si="25"/>
        <v>0</v>
      </c>
    </row>
    <row r="401" spans="1:17" ht="17.100000000000001" customHeight="1" x14ac:dyDescent="0.2">
      <c r="A401" s="229"/>
      <c r="B401" s="229"/>
      <c r="C401" s="352" t="s">
        <v>882</v>
      </c>
      <c r="D401" s="353" t="s">
        <v>905</v>
      </c>
      <c r="E401" s="610"/>
      <c r="F401" s="170">
        <v>152496</v>
      </c>
      <c r="G401" s="170">
        <f>0+táj.2!G401</f>
        <v>0</v>
      </c>
      <c r="H401" s="170">
        <f>0+táj.2!H401</f>
        <v>0</v>
      </c>
      <c r="I401" s="170">
        <f>0+táj.2!I401</f>
        <v>0</v>
      </c>
      <c r="J401" s="170">
        <f>0+táj.2!J401</f>
        <v>0</v>
      </c>
      <c r="K401" s="170">
        <f>0+táj.2!K401</f>
        <v>0</v>
      </c>
      <c r="L401" s="170">
        <f>0+táj.2!L401</f>
        <v>0</v>
      </c>
      <c r="M401" s="170">
        <f>0+táj.2!M401</f>
        <v>0</v>
      </c>
      <c r="N401" s="170">
        <f>0+táj.2!N401</f>
        <v>0</v>
      </c>
      <c r="O401" s="170">
        <f>0+táj.2!O401</f>
        <v>0</v>
      </c>
      <c r="P401" s="170">
        <f>0+táj.2!P401</f>
        <v>0</v>
      </c>
      <c r="Q401" s="170">
        <f t="shared" si="25"/>
        <v>0</v>
      </c>
    </row>
    <row r="402" spans="1:17" ht="17.100000000000001" customHeight="1" x14ac:dyDescent="0.2">
      <c r="A402" s="229"/>
      <c r="B402" s="229"/>
      <c r="C402" s="352" t="s">
        <v>884</v>
      </c>
      <c r="D402" s="353" t="s">
        <v>913</v>
      </c>
      <c r="E402" s="610"/>
      <c r="F402" s="170">
        <v>152499</v>
      </c>
      <c r="G402" s="170">
        <f>0+táj.2!G402</f>
        <v>0</v>
      </c>
      <c r="H402" s="170">
        <f>0+táj.2!H402</f>
        <v>0</v>
      </c>
      <c r="I402" s="170">
        <f>0+táj.2!I402</f>
        <v>0</v>
      </c>
      <c r="J402" s="170">
        <f>0+táj.2!J402</f>
        <v>0</v>
      </c>
      <c r="K402" s="170">
        <f>0+táj.2!K402</f>
        <v>0</v>
      </c>
      <c r="L402" s="170">
        <f>0+táj.2!L402</f>
        <v>0</v>
      </c>
      <c r="M402" s="170">
        <f>0+táj.2!M402</f>
        <v>0</v>
      </c>
      <c r="N402" s="170">
        <f>0+táj.2!N402</f>
        <v>0</v>
      </c>
      <c r="O402" s="170">
        <f>0+táj.2!O402</f>
        <v>0</v>
      </c>
      <c r="P402" s="170">
        <f>0+táj.2!P402</f>
        <v>0</v>
      </c>
      <c r="Q402" s="170">
        <f t="shared" si="25"/>
        <v>0</v>
      </c>
    </row>
    <row r="403" spans="1:17" ht="17.100000000000001" customHeight="1" x14ac:dyDescent="0.2">
      <c r="A403" s="229"/>
      <c r="B403" s="229"/>
      <c r="C403" s="352" t="s">
        <v>885</v>
      </c>
      <c r="D403" s="592" t="s">
        <v>915</v>
      </c>
      <c r="E403" s="610"/>
      <c r="F403" s="170">
        <v>155496</v>
      </c>
      <c r="G403" s="170">
        <f>0+táj.2!G403</f>
        <v>0</v>
      </c>
      <c r="H403" s="170">
        <f>0+táj.2!H403</f>
        <v>0</v>
      </c>
      <c r="I403" s="170">
        <f>0+táj.2!I403</f>
        <v>0</v>
      </c>
      <c r="J403" s="170">
        <f>0+táj.2!J403</f>
        <v>0</v>
      </c>
      <c r="K403" s="170">
        <f>0+táj.2!K403</f>
        <v>0</v>
      </c>
      <c r="L403" s="170">
        <f>0+táj.2!L403</f>
        <v>0</v>
      </c>
      <c r="M403" s="170">
        <f>1200+táj.2!M403</f>
        <v>1200</v>
      </c>
      <c r="N403" s="170">
        <f>0+táj.2!N403</f>
        <v>0</v>
      </c>
      <c r="O403" s="170">
        <f>0+táj.2!O403</f>
        <v>0</v>
      </c>
      <c r="P403" s="170">
        <f>0+táj.2!P403</f>
        <v>0</v>
      </c>
      <c r="Q403" s="170">
        <f t="shared" si="25"/>
        <v>1200</v>
      </c>
    </row>
    <row r="404" spans="1:17" ht="25.5" customHeight="1" x14ac:dyDescent="0.2">
      <c r="A404" s="229"/>
      <c r="B404" s="229"/>
      <c r="C404" s="352" t="s">
        <v>887</v>
      </c>
      <c r="D404" s="353" t="s">
        <v>921</v>
      </c>
      <c r="E404" s="610"/>
      <c r="F404" s="170">
        <v>155497</v>
      </c>
      <c r="G404" s="170">
        <f>0+táj.2!G404</f>
        <v>0</v>
      </c>
      <c r="H404" s="170">
        <f>0+táj.2!H404</f>
        <v>0</v>
      </c>
      <c r="I404" s="170">
        <f>0+táj.2!I404</f>
        <v>0</v>
      </c>
      <c r="J404" s="170">
        <f>0+táj.2!J404</f>
        <v>0</v>
      </c>
      <c r="K404" s="170">
        <f>0+táj.2!K404</f>
        <v>0</v>
      </c>
      <c r="L404" s="170">
        <f>0+táj.2!L404</f>
        <v>0</v>
      </c>
      <c r="M404" s="170">
        <f>0+táj.2!M404</f>
        <v>0</v>
      </c>
      <c r="N404" s="170">
        <f>0+táj.2!N404</f>
        <v>0</v>
      </c>
      <c r="O404" s="170">
        <f>0+táj.2!O404</f>
        <v>0</v>
      </c>
      <c r="P404" s="170">
        <f>0+táj.2!P404</f>
        <v>0</v>
      </c>
      <c r="Q404" s="170">
        <f t="shared" si="25"/>
        <v>0</v>
      </c>
    </row>
    <row r="405" spans="1:17" ht="27" customHeight="1" x14ac:dyDescent="0.2">
      <c r="A405" s="229"/>
      <c r="B405" s="229"/>
      <c r="C405" s="352" t="s">
        <v>889</v>
      </c>
      <c r="D405" s="353" t="s">
        <v>927</v>
      </c>
      <c r="E405" s="610"/>
      <c r="F405" s="170">
        <v>152425</v>
      </c>
      <c r="G405" s="170">
        <f>0+táj.2!G405</f>
        <v>0</v>
      </c>
      <c r="H405" s="170">
        <f>0+táj.2!H405</f>
        <v>0</v>
      </c>
      <c r="I405" s="170">
        <f>0+táj.2!I405</f>
        <v>0</v>
      </c>
      <c r="J405" s="170">
        <f>0+táj.2!J405</f>
        <v>0</v>
      </c>
      <c r="K405" s="170">
        <f>0+táj.2!K405</f>
        <v>0</v>
      </c>
      <c r="L405" s="170">
        <f>0+táj.2!L405</f>
        <v>0</v>
      </c>
      <c r="M405" s="170">
        <f>0+táj.2!M405</f>
        <v>0</v>
      </c>
      <c r="N405" s="170">
        <f>0+táj.2!N405</f>
        <v>0</v>
      </c>
      <c r="O405" s="170">
        <f>0+táj.2!O405</f>
        <v>0</v>
      </c>
      <c r="P405" s="170">
        <f>0+táj.2!P405</f>
        <v>0</v>
      </c>
      <c r="Q405" s="170">
        <f t="shared" si="25"/>
        <v>0</v>
      </c>
    </row>
    <row r="406" spans="1:17" ht="30" customHeight="1" x14ac:dyDescent="0.2">
      <c r="A406" s="229"/>
      <c r="B406" s="229"/>
      <c r="C406" s="352" t="s">
        <v>891</v>
      </c>
      <c r="D406" s="353" t="s">
        <v>929</v>
      </c>
      <c r="E406" s="610"/>
      <c r="F406" s="170">
        <v>155498</v>
      </c>
      <c r="G406" s="170">
        <f>0+táj.2!G406</f>
        <v>0</v>
      </c>
      <c r="H406" s="170">
        <f>0+táj.2!H406</f>
        <v>0</v>
      </c>
      <c r="I406" s="170">
        <f>0+táj.2!I406</f>
        <v>0</v>
      </c>
      <c r="J406" s="170">
        <f>0+táj.2!J406</f>
        <v>0</v>
      </c>
      <c r="K406" s="170">
        <f>0+táj.2!K406</f>
        <v>0</v>
      </c>
      <c r="L406" s="170">
        <f>0+táj.2!L406</f>
        <v>0</v>
      </c>
      <c r="M406" s="170">
        <f>0+táj.2!M406</f>
        <v>0</v>
      </c>
      <c r="N406" s="170">
        <f>0+táj.2!N406</f>
        <v>0</v>
      </c>
      <c r="O406" s="170">
        <f>0+táj.2!O406</f>
        <v>0</v>
      </c>
      <c r="P406" s="170">
        <f>0+táj.2!P406</f>
        <v>0</v>
      </c>
      <c r="Q406" s="170">
        <f t="shared" si="25"/>
        <v>0</v>
      </c>
    </row>
    <row r="407" spans="1:17" ht="16.5" customHeight="1" x14ac:dyDescent="0.2">
      <c r="A407" s="229"/>
      <c r="B407" s="229"/>
      <c r="C407" s="352" t="s">
        <v>893</v>
      </c>
      <c r="D407" s="353" t="s">
        <v>931</v>
      </c>
      <c r="E407" s="610"/>
      <c r="F407" s="170">
        <v>155499</v>
      </c>
      <c r="G407" s="170">
        <f>0+táj.2!G407</f>
        <v>0</v>
      </c>
      <c r="H407" s="170">
        <f>0+táj.2!H407</f>
        <v>0</v>
      </c>
      <c r="I407" s="170">
        <f>0+táj.2!I407</f>
        <v>0</v>
      </c>
      <c r="J407" s="170">
        <f>0+táj.2!J407</f>
        <v>0</v>
      </c>
      <c r="K407" s="170">
        <f>0+táj.2!K407</f>
        <v>0</v>
      </c>
      <c r="L407" s="170">
        <f>0+táj.2!L407</f>
        <v>0</v>
      </c>
      <c r="M407" s="170">
        <f>1226+táj.2!M407</f>
        <v>1226</v>
      </c>
      <c r="N407" s="170">
        <f>0+táj.2!N407</f>
        <v>0</v>
      </c>
      <c r="O407" s="170">
        <f>0+táj.2!O407</f>
        <v>0</v>
      </c>
      <c r="P407" s="170">
        <f>0+táj.2!P407</f>
        <v>0</v>
      </c>
      <c r="Q407" s="170">
        <f t="shared" si="25"/>
        <v>1226</v>
      </c>
    </row>
    <row r="408" spans="1:17" ht="16.5" customHeight="1" x14ac:dyDescent="0.2">
      <c r="A408" s="229"/>
      <c r="B408" s="229"/>
      <c r="C408" s="352" t="s">
        <v>895</v>
      </c>
      <c r="D408" s="353" t="s">
        <v>933</v>
      </c>
      <c r="E408" s="610"/>
      <c r="F408" s="170">
        <v>155404</v>
      </c>
      <c r="G408" s="170">
        <f>0+táj.2!G408</f>
        <v>0</v>
      </c>
      <c r="H408" s="170">
        <f>0+táj.2!H408</f>
        <v>0</v>
      </c>
      <c r="I408" s="170">
        <f>0+táj.2!I408</f>
        <v>0</v>
      </c>
      <c r="J408" s="170">
        <f>0+táj.2!J408</f>
        <v>0</v>
      </c>
      <c r="K408" s="170">
        <f>0+táj.2!K408</f>
        <v>0</v>
      </c>
      <c r="L408" s="170">
        <f>0+táj.2!L408</f>
        <v>0</v>
      </c>
      <c r="M408" s="170">
        <f>0+táj.2!M408</f>
        <v>0</v>
      </c>
      <c r="N408" s="170">
        <f>0+táj.2!N408</f>
        <v>0</v>
      </c>
      <c r="O408" s="170">
        <f>0+táj.2!O408</f>
        <v>0</v>
      </c>
      <c r="P408" s="170">
        <f>0+táj.2!P408</f>
        <v>0</v>
      </c>
      <c r="Q408" s="170">
        <f t="shared" si="25"/>
        <v>0</v>
      </c>
    </row>
    <row r="409" spans="1:17" ht="16.5" customHeight="1" x14ac:dyDescent="0.2">
      <c r="A409" s="229"/>
      <c r="B409" s="229"/>
      <c r="C409" s="352" t="s">
        <v>896</v>
      </c>
      <c r="D409" s="382" t="s">
        <v>935</v>
      </c>
      <c r="E409" s="610"/>
      <c r="F409" s="170">
        <v>155403</v>
      </c>
      <c r="G409" s="170">
        <f>0+táj.2!G409</f>
        <v>0</v>
      </c>
      <c r="H409" s="170">
        <f>0+táj.2!H409</f>
        <v>0</v>
      </c>
      <c r="I409" s="170">
        <f>0+táj.2!I409</f>
        <v>0</v>
      </c>
      <c r="J409" s="170">
        <f>0+táj.2!J409</f>
        <v>0</v>
      </c>
      <c r="K409" s="170">
        <f>0+táj.2!K409</f>
        <v>0</v>
      </c>
      <c r="L409" s="170">
        <f>0+táj.2!L409</f>
        <v>0</v>
      </c>
      <c r="M409" s="170">
        <f>0+táj.2!M409</f>
        <v>0</v>
      </c>
      <c r="N409" s="170">
        <f>0+táj.2!N409</f>
        <v>0</v>
      </c>
      <c r="O409" s="170">
        <f>0+táj.2!O409</f>
        <v>0</v>
      </c>
      <c r="P409" s="170">
        <f>0+táj.2!P409</f>
        <v>0</v>
      </c>
      <c r="Q409" s="170">
        <f t="shared" si="25"/>
        <v>0</v>
      </c>
    </row>
    <row r="410" spans="1:17" ht="16.5" customHeight="1" x14ac:dyDescent="0.2">
      <c r="A410" s="229"/>
      <c r="B410" s="229"/>
      <c r="C410" s="352" t="s">
        <v>898</v>
      </c>
      <c r="D410" s="353" t="s">
        <v>937</v>
      </c>
      <c r="E410" s="610"/>
      <c r="F410" s="170">
        <v>155405</v>
      </c>
      <c r="G410" s="170">
        <f>0+táj.2!G410</f>
        <v>0</v>
      </c>
      <c r="H410" s="170">
        <f>0+táj.2!H410</f>
        <v>0</v>
      </c>
      <c r="I410" s="170">
        <f>0+táj.2!I410</f>
        <v>0</v>
      </c>
      <c r="J410" s="170">
        <f>0+táj.2!J410</f>
        <v>0</v>
      </c>
      <c r="K410" s="170">
        <f>0+táj.2!K410</f>
        <v>0</v>
      </c>
      <c r="L410" s="170">
        <f>0+táj.2!L410</f>
        <v>0</v>
      </c>
      <c r="M410" s="170">
        <f>1500+táj.2!M410</f>
        <v>1500</v>
      </c>
      <c r="N410" s="170">
        <f>0+táj.2!N410</f>
        <v>0</v>
      </c>
      <c r="O410" s="170">
        <f>0+táj.2!O410</f>
        <v>0</v>
      </c>
      <c r="P410" s="170">
        <f>0+táj.2!P410</f>
        <v>0</v>
      </c>
      <c r="Q410" s="170">
        <f t="shared" si="25"/>
        <v>1500</v>
      </c>
    </row>
    <row r="411" spans="1:17" ht="27" customHeight="1" x14ac:dyDescent="0.2">
      <c r="A411" s="229"/>
      <c r="B411" s="229"/>
      <c r="C411" s="352" t="s">
        <v>900</v>
      </c>
      <c r="D411" s="623" t="s">
        <v>939</v>
      </c>
      <c r="E411" s="610"/>
      <c r="F411" s="170">
        <v>155406</v>
      </c>
      <c r="G411" s="170">
        <f>0+táj.2!G411</f>
        <v>0</v>
      </c>
      <c r="H411" s="170">
        <f>0+táj.2!H411</f>
        <v>0</v>
      </c>
      <c r="I411" s="170">
        <f>0+táj.2!I411</f>
        <v>0</v>
      </c>
      <c r="J411" s="170">
        <f>0+táj.2!J411</f>
        <v>0</v>
      </c>
      <c r="K411" s="170">
        <f>0+táj.2!K411</f>
        <v>0</v>
      </c>
      <c r="L411" s="170">
        <f>0+táj.2!L411</f>
        <v>0</v>
      </c>
      <c r="M411" s="170">
        <f>0+táj.2!M411</f>
        <v>0</v>
      </c>
      <c r="N411" s="170">
        <f>0+táj.2!N411</f>
        <v>0</v>
      </c>
      <c r="O411" s="170">
        <f>0+táj.2!O411</f>
        <v>0</v>
      </c>
      <c r="P411" s="170">
        <f>0+táj.2!P411</f>
        <v>0</v>
      </c>
      <c r="Q411" s="170">
        <f t="shared" si="25"/>
        <v>0</v>
      </c>
    </row>
    <row r="412" spans="1:17" ht="17.100000000000001" customHeight="1" x14ac:dyDescent="0.2">
      <c r="A412" s="229"/>
      <c r="B412" s="229"/>
      <c r="C412" s="352" t="s">
        <v>902</v>
      </c>
      <c r="D412" s="245" t="s">
        <v>941</v>
      </c>
      <c r="E412" s="610"/>
      <c r="F412" s="170">
        <v>154411</v>
      </c>
      <c r="G412" s="170">
        <f>0+táj.2!G412</f>
        <v>0</v>
      </c>
      <c r="H412" s="170">
        <f>0+táj.2!H412</f>
        <v>0</v>
      </c>
      <c r="I412" s="170">
        <f>0+táj.2!I412</f>
        <v>0</v>
      </c>
      <c r="J412" s="170">
        <f>0+táj.2!J412</f>
        <v>0</v>
      </c>
      <c r="K412" s="170">
        <f>0+táj.2!K412</f>
        <v>0</v>
      </c>
      <c r="L412" s="170">
        <f>0+táj.2!L412</f>
        <v>0</v>
      </c>
      <c r="M412" s="170">
        <f>1807+táj.2!M412</f>
        <v>1807</v>
      </c>
      <c r="N412" s="170">
        <f>0+táj.2!N412</f>
        <v>0</v>
      </c>
      <c r="O412" s="170">
        <f>0+táj.2!O412</f>
        <v>0</v>
      </c>
      <c r="P412" s="170">
        <f>0+táj.2!P412</f>
        <v>0</v>
      </c>
      <c r="Q412" s="170">
        <f t="shared" si="25"/>
        <v>1807</v>
      </c>
    </row>
    <row r="413" spans="1:17" ht="17.100000000000001" customHeight="1" x14ac:dyDescent="0.2">
      <c r="A413" s="229"/>
      <c r="B413" s="229"/>
      <c r="C413" s="352" t="s">
        <v>904</v>
      </c>
      <c r="D413" s="382" t="s">
        <v>943</v>
      </c>
      <c r="E413" s="610"/>
      <c r="F413" s="170">
        <v>155408</v>
      </c>
      <c r="G413" s="170">
        <f>0+táj.2!G413</f>
        <v>0</v>
      </c>
      <c r="H413" s="170">
        <f>0+táj.2!H413</f>
        <v>0</v>
      </c>
      <c r="I413" s="170">
        <f>0+táj.2!I413</f>
        <v>0</v>
      </c>
      <c r="J413" s="170">
        <f>0+táj.2!J413</f>
        <v>0</v>
      </c>
      <c r="K413" s="170">
        <f>0+táj.2!K413</f>
        <v>0</v>
      </c>
      <c r="L413" s="170">
        <f>0+táj.2!L413</f>
        <v>0</v>
      </c>
      <c r="M413" s="170">
        <f>500+táj.2!M413</f>
        <v>500</v>
      </c>
      <c r="N413" s="170">
        <f>0+táj.2!N413</f>
        <v>0</v>
      </c>
      <c r="O413" s="170">
        <f>0+táj.2!O413</f>
        <v>0</v>
      </c>
      <c r="P413" s="170">
        <f>0+táj.2!P413</f>
        <v>0</v>
      </c>
      <c r="Q413" s="170">
        <f t="shared" si="25"/>
        <v>500</v>
      </c>
    </row>
    <row r="414" spans="1:17" ht="17.100000000000001" customHeight="1" x14ac:dyDescent="0.2">
      <c r="A414" s="229"/>
      <c r="B414" s="229"/>
      <c r="C414" s="352" t="s">
        <v>906</v>
      </c>
      <c r="D414" s="329" t="s">
        <v>945</v>
      </c>
      <c r="E414" s="610"/>
      <c r="F414" s="170">
        <v>155409</v>
      </c>
      <c r="G414" s="170">
        <f>0+táj.2!G414</f>
        <v>0</v>
      </c>
      <c r="H414" s="170">
        <f>0+táj.2!H414</f>
        <v>0</v>
      </c>
      <c r="I414" s="170">
        <f>0+táj.2!I414</f>
        <v>0</v>
      </c>
      <c r="J414" s="170">
        <f>0+táj.2!J414</f>
        <v>0</v>
      </c>
      <c r="K414" s="170">
        <f>0+táj.2!K414</f>
        <v>0</v>
      </c>
      <c r="L414" s="170">
        <f>0+táj.2!L414</f>
        <v>0</v>
      </c>
      <c r="M414" s="170">
        <f>0+táj.2!M414</f>
        <v>0</v>
      </c>
      <c r="N414" s="170">
        <f>0+táj.2!N414</f>
        <v>0</v>
      </c>
      <c r="O414" s="170">
        <f>0+táj.2!O414</f>
        <v>0</v>
      </c>
      <c r="P414" s="170">
        <f>0+táj.2!P414</f>
        <v>0</v>
      </c>
      <c r="Q414" s="170">
        <f t="shared" si="25"/>
        <v>0</v>
      </c>
    </row>
    <row r="415" spans="1:17" ht="17.100000000000001" customHeight="1" x14ac:dyDescent="0.2">
      <c r="A415" s="229"/>
      <c r="B415" s="229"/>
      <c r="C415" s="352" t="s">
        <v>908</v>
      </c>
      <c r="D415" s="382" t="s">
        <v>947</v>
      </c>
      <c r="E415" s="610"/>
      <c r="F415" s="170">
        <v>155410</v>
      </c>
      <c r="G415" s="170">
        <f>0+táj.2!G415</f>
        <v>0</v>
      </c>
      <c r="H415" s="170">
        <f>0+táj.2!H415</f>
        <v>0</v>
      </c>
      <c r="I415" s="170">
        <f>0+táj.2!I415</f>
        <v>0</v>
      </c>
      <c r="J415" s="170">
        <f>0+táj.2!J415</f>
        <v>0</v>
      </c>
      <c r="K415" s="170">
        <f>0+táj.2!K415</f>
        <v>0</v>
      </c>
      <c r="L415" s="170">
        <f>0+táj.2!L415</f>
        <v>0</v>
      </c>
      <c r="M415" s="170">
        <f>0+táj.2!M415</f>
        <v>0</v>
      </c>
      <c r="N415" s="170">
        <f>0+táj.2!N415</f>
        <v>0</v>
      </c>
      <c r="O415" s="170">
        <f>0+táj.2!O415</f>
        <v>0</v>
      </c>
      <c r="P415" s="170">
        <f>0+táj.2!P415</f>
        <v>0</v>
      </c>
      <c r="Q415" s="170">
        <f t="shared" ref="Q415:Q443" si="26">SUM(G415:P415)</f>
        <v>0</v>
      </c>
    </row>
    <row r="416" spans="1:17" ht="17.100000000000001" customHeight="1" x14ac:dyDescent="0.2">
      <c r="A416" s="229"/>
      <c r="B416" s="229"/>
      <c r="C416" s="352" t="s">
        <v>910</v>
      </c>
      <c r="D416" s="382" t="s">
        <v>948</v>
      </c>
      <c r="E416" s="610"/>
      <c r="F416" s="170">
        <v>155411</v>
      </c>
      <c r="G416" s="170">
        <f>0+táj.2!G416</f>
        <v>0</v>
      </c>
      <c r="H416" s="170">
        <f>0+táj.2!H416</f>
        <v>0</v>
      </c>
      <c r="I416" s="170">
        <f>0+táj.2!I416</f>
        <v>0</v>
      </c>
      <c r="J416" s="170">
        <f>0+táj.2!J416</f>
        <v>0</v>
      </c>
      <c r="K416" s="170">
        <f>0+táj.2!K416</f>
        <v>0</v>
      </c>
      <c r="L416" s="170">
        <f>0+táj.2!L416</f>
        <v>0</v>
      </c>
      <c r="M416" s="170">
        <f>0+táj.2!M416</f>
        <v>0</v>
      </c>
      <c r="N416" s="170">
        <f>0+táj.2!N416</f>
        <v>0</v>
      </c>
      <c r="O416" s="170">
        <f>0+táj.2!O416</f>
        <v>0</v>
      </c>
      <c r="P416" s="170">
        <f>0+táj.2!P416</f>
        <v>0</v>
      </c>
      <c r="Q416" s="170">
        <f t="shared" si="26"/>
        <v>0</v>
      </c>
    </row>
    <row r="417" spans="1:17" ht="17.100000000000001" customHeight="1" x14ac:dyDescent="0.2">
      <c r="A417" s="229"/>
      <c r="B417" s="229"/>
      <c r="C417" s="352" t="s">
        <v>912</v>
      </c>
      <c r="D417" s="245" t="s">
        <v>949</v>
      </c>
      <c r="E417" s="358"/>
      <c r="F417" s="170">
        <v>152411</v>
      </c>
      <c r="G417" s="170">
        <f>0+táj.2!G417</f>
        <v>0</v>
      </c>
      <c r="H417" s="170">
        <f>0+táj.2!H417</f>
        <v>0</v>
      </c>
      <c r="I417" s="170">
        <f>0+táj.2!I417</f>
        <v>0</v>
      </c>
      <c r="J417" s="170">
        <f>0+táj.2!J417</f>
        <v>0</v>
      </c>
      <c r="K417" s="170">
        <f>0+táj.2!K417</f>
        <v>0</v>
      </c>
      <c r="L417" s="170">
        <f>0+táj.2!L417</f>
        <v>0</v>
      </c>
      <c r="M417" s="170">
        <f>0+táj.2!M417</f>
        <v>0</v>
      </c>
      <c r="N417" s="170">
        <f>0+táj.2!N417</f>
        <v>0</v>
      </c>
      <c r="O417" s="170">
        <f>0+táj.2!O417</f>
        <v>0</v>
      </c>
      <c r="P417" s="170">
        <f>0+táj.2!P417</f>
        <v>0</v>
      </c>
      <c r="Q417" s="170">
        <f t="shared" si="26"/>
        <v>0</v>
      </c>
    </row>
    <row r="418" spans="1:17" ht="17.100000000000001" customHeight="1" x14ac:dyDescent="0.2">
      <c r="A418" s="229"/>
      <c r="B418" s="229"/>
      <c r="C418" s="352" t="s">
        <v>914</v>
      </c>
      <c r="D418" s="245" t="s">
        <v>950</v>
      </c>
      <c r="E418" s="358"/>
      <c r="F418" s="170">
        <v>154493</v>
      </c>
      <c r="G418" s="170">
        <f>0+táj.2!G418</f>
        <v>0</v>
      </c>
      <c r="H418" s="170">
        <f>0+táj.2!H418</f>
        <v>0</v>
      </c>
      <c r="I418" s="170">
        <f>0+táj.2!I418</f>
        <v>0</v>
      </c>
      <c r="J418" s="170">
        <f>0+táj.2!J418</f>
        <v>0</v>
      </c>
      <c r="K418" s="170">
        <f>0+táj.2!K418</f>
        <v>0</v>
      </c>
      <c r="L418" s="170">
        <f>0+táj.2!L418</f>
        <v>0</v>
      </c>
      <c r="M418" s="462">
        <f>0+táj.2!M418</f>
        <v>0</v>
      </c>
      <c r="N418" s="170">
        <f>0+táj.2!N418</f>
        <v>0</v>
      </c>
      <c r="O418" s="170">
        <f>0+táj.2!O418</f>
        <v>0</v>
      </c>
      <c r="P418" s="170">
        <f>0+táj.2!P418</f>
        <v>0</v>
      </c>
      <c r="Q418" s="170">
        <f t="shared" si="26"/>
        <v>0</v>
      </c>
    </row>
    <row r="419" spans="1:17" ht="27" customHeight="1" x14ac:dyDescent="0.2">
      <c r="A419" s="229"/>
      <c r="B419" s="229"/>
      <c r="C419" s="352" t="s">
        <v>916</v>
      </c>
      <c r="D419" s="245" t="s">
        <v>951</v>
      </c>
      <c r="E419" s="358"/>
      <c r="F419" s="170">
        <v>154414</v>
      </c>
      <c r="G419" s="170">
        <f>0+táj.2!G419</f>
        <v>0</v>
      </c>
      <c r="H419" s="170">
        <f>0+táj.2!H419</f>
        <v>0</v>
      </c>
      <c r="I419" s="170">
        <f>0+táj.2!I419</f>
        <v>0</v>
      </c>
      <c r="J419" s="170">
        <f>0+táj.2!J419</f>
        <v>0</v>
      </c>
      <c r="K419" s="170">
        <f>0+táj.2!K419</f>
        <v>0</v>
      </c>
      <c r="L419" s="170">
        <f>0+táj.2!L419</f>
        <v>0</v>
      </c>
      <c r="M419" s="170">
        <f>2282+táj.2!M419</f>
        <v>3881</v>
      </c>
      <c r="N419" s="170">
        <f>0+táj.2!N419</f>
        <v>0</v>
      </c>
      <c r="O419" s="170">
        <f>0+táj.2!O419</f>
        <v>0</v>
      </c>
      <c r="P419" s="170">
        <f>0+táj.2!P419</f>
        <v>0</v>
      </c>
      <c r="Q419" s="170">
        <f t="shared" si="26"/>
        <v>3881</v>
      </c>
    </row>
    <row r="420" spans="1:17" ht="15.95" customHeight="1" x14ac:dyDescent="0.2">
      <c r="A420" s="229"/>
      <c r="B420" s="229"/>
      <c r="C420" s="352" t="s">
        <v>918</v>
      </c>
      <c r="D420" s="353" t="s">
        <v>952</v>
      </c>
      <c r="E420" s="610"/>
      <c r="F420" s="170">
        <v>155412</v>
      </c>
      <c r="G420" s="170">
        <f>0+táj.2!G420</f>
        <v>0</v>
      </c>
      <c r="H420" s="170">
        <f>0+táj.2!H420</f>
        <v>0</v>
      </c>
      <c r="I420" s="170">
        <f>0+táj.2!I420</f>
        <v>0</v>
      </c>
      <c r="J420" s="170">
        <f>0+táj.2!J420</f>
        <v>0</v>
      </c>
      <c r="K420" s="170">
        <f>0+táj.2!K420</f>
        <v>0</v>
      </c>
      <c r="L420" s="170">
        <f>0+táj.2!L420</f>
        <v>0</v>
      </c>
      <c r="M420" s="170">
        <f>0+táj.2!M420</f>
        <v>0</v>
      </c>
      <c r="N420" s="170">
        <f>0+táj.2!N420</f>
        <v>0</v>
      </c>
      <c r="O420" s="170">
        <f>0+táj.2!O420</f>
        <v>0</v>
      </c>
      <c r="P420" s="170">
        <f>0+táj.2!P420</f>
        <v>0</v>
      </c>
      <c r="Q420" s="170">
        <f t="shared" si="26"/>
        <v>0</v>
      </c>
    </row>
    <row r="421" spans="1:17" ht="15.95" customHeight="1" x14ac:dyDescent="0.2">
      <c r="A421" s="229"/>
      <c r="B421" s="229"/>
      <c r="C421" s="352" t="s">
        <v>920</v>
      </c>
      <c r="D421" s="594" t="s">
        <v>953</v>
      </c>
      <c r="E421" s="610"/>
      <c r="F421" s="170">
        <v>155413</v>
      </c>
      <c r="G421" s="170">
        <f>0+táj.2!G421</f>
        <v>0</v>
      </c>
      <c r="H421" s="170">
        <f>0+táj.2!H421</f>
        <v>0</v>
      </c>
      <c r="I421" s="170">
        <f>0+táj.2!I421</f>
        <v>0</v>
      </c>
      <c r="J421" s="170">
        <f>0+táj.2!J421</f>
        <v>0</v>
      </c>
      <c r="K421" s="170">
        <f>0+táj.2!K421</f>
        <v>0</v>
      </c>
      <c r="L421" s="170">
        <f>0+táj.2!L421</f>
        <v>0</v>
      </c>
      <c r="M421" s="170">
        <f>0+táj.2!M421</f>
        <v>0</v>
      </c>
      <c r="N421" s="170">
        <f>0+táj.2!N421</f>
        <v>0</v>
      </c>
      <c r="O421" s="170">
        <f>0+táj.2!O421</f>
        <v>0</v>
      </c>
      <c r="P421" s="170">
        <f>0+táj.2!P421</f>
        <v>0</v>
      </c>
      <c r="Q421" s="170">
        <f t="shared" si="26"/>
        <v>0</v>
      </c>
    </row>
    <row r="422" spans="1:17" ht="15.95" customHeight="1" x14ac:dyDescent="0.2">
      <c r="A422" s="229"/>
      <c r="B422" s="229"/>
      <c r="C422" s="352" t="s">
        <v>922</v>
      </c>
      <c r="D422" s="595" t="s">
        <v>1364</v>
      </c>
      <c r="E422" s="610"/>
      <c r="F422" s="170">
        <v>155414</v>
      </c>
      <c r="G422" s="170">
        <f>0+táj.2!G422</f>
        <v>0</v>
      </c>
      <c r="H422" s="170">
        <f>0+táj.2!H422</f>
        <v>0</v>
      </c>
      <c r="I422" s="170">
        <f>0+táj.2!I422</f>
        <v>0</v>
      </c>
      <c r="J422" s="170">
        <f>0+táj.2!J422</f>
        <v>0</v>
      </c>
      <c r="K422" s="170">
        <f>0+táj.2!K422</f>
        <v>0</v>
      </c>
      <c r="L422" s="170">
        <f>0+táj.2!L422</f>
        <v>0</v>
      </c>
      <c r="M422" s="170">
        <f>0+táj.2!M422</f>
        <v>0</v>
      </c>
      <c r="N422" s="170">
        <f>0+táj.2!N422</f>
        <v>0</v>
      </c>
      <c r="O422" s="170">
        <f>0+táj.2!O422</f>
        <v>0</v>
      </c>
      <c r="P422" s="170">
        <f>0+táj.2!P422</f>
        <v>0</v>
      </c>
      <c r="Q422" s="170">
        <f t="shared" si="26"/>
        <v>0</v>
      </c>
    </row>
    <row r="423" spans="1:17" ht="15.95" customHeight="1" x14ac:dyDescent="0.2">
      <c r="A423" s="229"/>
      <c r="B423" s="229"/>
      <c r="C423" s="352" t="s">
        <v>924</v>
      </c>
      <c r="D423" s="594" t="s">
        <v>954</v>
      </c>
      <c r="E423" s="610"/>
      <c r="F423" s="462">
        <v>155415</v>
      </c>
      <c r="G423" s="170">
        <f>0+táj.2!G423</f>
        <v>0</v>
      </c>
      <c r="H423" s="170">
        <f>0+táj.2!H423</f>
        <v>0</v>
      </c>
      <c r="I423" s="170">
        <f>0+táj.2!I423</f>
        <v>0</v>
      </c>
      <c r="J423" s="170">
        <f>0+táj.2!J423</f>
        <v>0</v>
      </c>
      <c r="K423" s="170">
        <f>0+táj.2!K423</f>
        <v>0</v>
      </c>
      <c r="L423" s="170">
        <f>0+táj.2!L423</f>
        <v>0</v>
      </c>
      <c r="M423" s="170">
        <f>0+táj.2!M423</f>
        <v>0</v>
      </c>
      <c r="N423" s="170">
        <f>0+táj.2!N423</f>
        <v>0</v>
      </c>
      <c r="O423" s="170">
        <f>0+táj.2!O423</f>
        <v>0</v>
      </c>
      <c r="P423" s="170">
        <f>0+táj.2!P423</f>
        <v>0</v>
      </c>
      <c r="Q423" s="170">
        <f t="shared" si="26"/>
        <v>0</v>
      </c>
    </row>
    <row r="424" spans="1:17" ht="15.95" customHeight="1" x14ac:dyDescent="0.2">
      <c r="A424" s="229"/>
      <c r="B424" s="229"/>
      <c r="C424" s="352" t="s">
        <v>926</v>
      </c>
      <c r="D424" s="594" t="s">
        <v>955</v>
      </c>
      <c r="E424" s="610"/>
      <c r="F424" s="462">
        <v>155417</v>
      </c>
      <c r="G424" s="170">
        <f>0+táj.2!G424</f>
        <v>0</v>
      </c>
      <c r="H424" s="170">
        <f>0+táj.2!H424</f>
        <v>0</v>
      </c>
      <c r="I424" s="170">
        <f>0+táj.2!I424</f>
        <v>0</v>
      </c>
      <c r="J424" s="170">
        <f>0+táj.2!J424</f>
        <v>0</v>
      </c>
      <c r="K424" s="170">
        <f>0+táj.2!K424</f>
        <v>0</v>
      </c>
      <c r="L424" s="170">
        <f>0+táj.2!L424</f>
        <v>0</v>
      </c>
      <c r="M424" s="170">
        <f>0+táj.2!M424</f>
        <v>0</v>
      </c>
      <c r="N424" s="170">
        <f>0+táj.2!N424</f>
        <v>0</v>
      </c>
      <c r="O424" s="170">
        <f>0+táj.2!O424</f>
        <v>0</v>
      </c>
      <c r="P424" s="170">
        <f>0+táj.2!P424</f>
        <v>0</v>
      </c>
      <c r="Q424" s="170">
        <f t="shared" si="26"/>
        <v>0</v>
      </c>
    </row>
    <row r="425" spans="1:17" ht="15.95" customHeight="1" x14ac:dyDescent="0.2">
      <c r="A425" s="229"/>
      <c r="B425" s="229"/>
      <c r="C425" s="352" t="s">
        <v>928</v>
      </c>
      <c r="D425" s="353" t="s">
        <v>1389</v>
      </c>
      <c r="E425" s="610"/>
      <c r="F425" s="462">
        <v>155418</v>
      </c>
      <c r="G425" s="170">
        <f>0+táj.2!G425</f>
        <v>0</v>
      </c>
      <c r="H425" s="170">
        <f>0+táj.2!H425</f>
        <v>0</v>
      </c>
      <c r="I425" s="170">
        <f>0+táj.2!I425</f>
        <v>0</v>
      </c>
      <c r="J425" s="170">
        <f>0+táj.2!J425</f>
        <v>0</v>
      </c>
      <c r="K425" s="170">
        <f>0+táj.2!K425</f>
        <v>0</v>
      </c>
      <c r="L425" s="170">
        <f>0+táj.2!L425</f>
        <v>0</v>
      </c>
      <c r="M425" s="170">
        <f>1500+táj.2!M425</f>
        <v>1500</v>
      </c>
      <c r="N425" s="170">
        <f>0+táj.2!N425</f>
        <v>0</v>
      </c>
      <c r="O425" s="170">
        <f>0+táj.2!O425</f>
        <v>0</v>
      </c>
      <c r="P425" s="170">
        <f>0+táj.2!P425</f>
        <v>0</v>
      </c>
      <c r="Q425" s="170">
        <f t="shared" si="26"/>
        <v>1500</v>
      </c>
    </row>
    <row r="426" spans="1:17" ht="15.95" customHeight="1" x14ac:dyDescent="0.2">
      <c r="A426" s="229"/>
      <c r="B426" s="229"/>
      <c r="C426" s="352" t="s">
        <v>930</v>
      </c>
      <c r="D426" s="359" t="s">
        <v>956</v>
      </c>
      <c r="E426" s="610"/>
      <c r="F426" s="462">
        <v>155419</v>
      </c>
      <c r="G426" s="170">
        <f>0+táj.2!G426</f>
        <v>0</v>
      </c>
      <c r="H426" s="170">
        <f>0+táj.2!H426</f>
        <v>0</v>
      </c>
      <c r="I426" s="170">
        <f>0+táj.2!I426</f>
        <v>0</v>
      </c>
      <c r="J426" s="170">
        <f>0+táj.2!J426</f>
        <v>0</v>
      </c>
      <c r="K426" s="170">
        <f>0+táj.2!K426</f>
        <v>0</v>
      </c>
      <c r="L426" s="170">
        <f>0+táj.2!L426</f>
        <v>0</v>
      </c>
      <c r="M426" s="170">
        <f>0+táj.2!M426</f>
        <v>0</v>
      </c>
      <c r="N426" s="170">
        <f>0+táj.2!N426</f>
        <v>0</v>
      </c>
      <c r="O426" s="170">
        <f>0+táj.2!O426</f>
        <v>0</v>
      </c>
      <c r="P426" s="170">
        <f>0+táj.2!P426</f>
        <v>0</v>
      </c>
      <c r="Q426" s="170">
        <f t="shared" si="26"/>
        <v>0</v>
      </c>
    </row>
    <row r="427" spans="1:17" ht="15.95" customHeight="1" x14ac:dyDescent="0.2">
      <c r="A427" s="229"/>
      <c r="B427" s="229"/>
      <c r="C427" s="352" t="s">
        <v>932</v>
      </c>
      <c r="D427" s="359" t="s">
        <v>957</v>
      </c>
      <c r="E427" s="610"/>
      <c r="F427" s="462">
        <v>155421</v>
      </c>
      <c r="G427" s="170">
        <f>0+táj.2!G427</f>
        <v>0</v>
      </c>
      <c r="H427" s="170">
        <f>0+táj.2!H427</f>
        <v>0</v>
      </c>
      <c r="I427" s="170">
        <f>0+táj.2!I427</f>
        <v>0</v>
      </c>
      <c r="J427" s="170">
        <f>0+táj.2!J427</f>
        <v>0</v>
      </c>
      <c r="K427" s="170">
        <f>0+táj.2!K427</f>
        <v>0</v>
      </c>
      <c r="L427" s="170">
        <f>0+táj.2!L427</f>
        <v>0</v>
      </c>
      <c r="M427" s="170">
        <f>0+táj.2!M427</f>
        <v>0</v>
      </c>
      <c r="N427" s="170">
        <f>0+táj.2!N427</f>
        <v>0</v>
      </c>
      <c r="O427" s="170">
        <f>0+táj.2!O427</f>
        <v>0</v>
      </c>
      <c r="P427" s="170">
        <f>0+táj.2!P427</f>
        <v>0</v>
      </c>
      <c r="Q427" s="170">
        <f t="shared" si="26"/>
        <v>0</v>
      </c>
    </row>
    <row r="428" spans="1:17" ht="15.95" customHeight="1" x14ac:dyDescent="0.2">
      <c r="A428" s="229"/>
      <c r="B428" s="229"/>
      <c r="C428" s="352" t="s">
        <v>934</v>
      </c>
      <c r="D428" s="359" t="s">
        <v>958</v>
      </c>
      <c r="E428" s="610"/>
      <c r="F428" s="462">
        <v>155422</v>
      </c>
      <c r="G428" s="170">
        <f>0+táj.2!G428</f>
        <v>0</v>
      </c>
      <c r="H428" s="170">
        <f>0+táj.2!H428</f>
        <v>0</v>
      </c>
      <c r="I428" s="170">
        <f>0+táj.2!I428</f>
        <v>0</v>
      </c>
      <c r="J428" s="170">
        <f>0+táj.2!J428</f>
        <v>0</v>
      </c>
      <c r="K428" s="170">
        <f>0+táj.2!K428</f>
        <v>0</v>
      </c>
      <c r="L428" s="170">
        <f>0+táj.2!L428</f>
        <v>0</v>
      </c>
      <c r="M428" s="170">
        <f>0+táj.2!M428</f>
        <v>0</v>
      </c>
      <c r="N428" s="170">
        <f>0+táj.2!N428</f>
        <v>0</v>
      </c>
      <c r="O428" s="170">
        <f>0+táj.2!O428</f>
        <v>0</v>
      </c>
      <c r="P428" s="170">
        <f>0+táj.2!P428</f>
        <v>0</v>
      </c>
      <c r="Q428" s="170">
        <f t="shared" si="26"/>
        <v>0</v>
      </c>
    </row>
    <row r="429" spans="1:17" ht="26.25" customHeight="1" x14ac:dyDescent="0.2">
      <c r="A429" s="229"/>
      <c r="B429" s="229"/>
      <c r="C429" s="352" t="s">
        <v>936</v>
      </c>
      <c r="D429" s="359" t="s">
        <v>959</v>
      </c>
      <c r="E429" s="610"/>
      <c r="F429" s="462">
        <v>155424</v>
      </c>
      <c r="G429" s="170">
        <f>0+táj.2!G429</f>
        <v>0</v>
      </c>
      <c r="H429" s="170">
        <f>0+táj.2!H429</f>
        <v>0</v>
      </c>
      <c r="I429" s="170">
        <f>0+táj.2!I429</f>
        <v>0</v>
      </c>
      <c r="J429" s="170">
        <f>0+táj.2!J429</f>
        <v>0</v>
      </c>
      <c r="K429" s="170">
        <f>0+táj.2!K429</f>
        <v>0</v>
      </c>
      <c r="L429" s="170">
        <f>0+táj.2!L429</f>
        <v>0</v>
      </c>
      <c r="M429" s="170">
        <f>3000+táj.2!M429</f>
        <v>3000</v>
      </c>
      <c r="N429" s="170">
        <f>0+táj.2!N429</f>
        <v>0</v>
      </c>
      <c r="O429" s="170">
        <f>0+táj.2!O429</f>
        <v>0</v>
      </c>
      <c r="P429" s="170">
        <f>0+táj.2!P429</f>
        <v>0</v>
      </c>
      <c r="Q429" s="170">
        <f t="shared" si="26"/>
        <v>3000</v>
      </c>
    </row>
    <row r="430" spans="1:17" ht="19.5" customHeight="1" x14ac:dyDescent="0.2">
      <c r="A430" s="229"/>
      <c r="B430" s="229"/>
      <c r="C430" s="352" t="s">
        <v>938</v>
      </c>
      <c r="D430" s="359" t="s">
        <v>960</v>
      </c>
      <c r="E430" s="610"/>
      <c r="F430" s="462">
        <v>155426</v>
      </c>
      <c r="G430" s="170">
        <f>0+táj.2!G430</f>
        <v>0</v>
      </c>
      <c r="H430" s="170">
        <f>0+táj.2!H430</f>
        <v>0</v>
      </c>
      <c r="I430" s="170">
        <f>0+táj.2!I430</f>
        <v>0</v>
      </c>
      <c r="J430" s="170">
        <f>0+táj.2!J430</f>
        <v>0</v>
      </c>
      <c r="K430" s="170">
        <f>0+táj.2!K430</f>
        <v>0</v>
      </c>
      <c r="L430" s="170">
        <f>0+táj.2!L430</f>
        <v>0</v>
      </c>
      <c r="M430" s="170">
        <f>4000+táj.2!M430</f>
        <v>4000</v>
      </c>
      <c r="N430" s="170">
        <f>0+táj.2!N430</f>
        <v>0</v>
      </c>
      <c r="O430" s="170">
        <f>0+táj.2!O430</f>
        <v>0</v>
      </c>
      <c r="P430" s="170">
        <f>0+táj.2!P430</f>
        <v>0</v>
      </c>
      <c r="Q430" s="170">
        <f t="shared" si="26"/>
        <v>4000</v>
      </c>
    </row>
    <row r="431" spans="1:17" ht="16.5" customHeight="1" x14ac:dyDescent="0.2">
      <c r="A431" s="229"/>
      <c r="B431" s="229"/>
      <c r="C431" s="352" t="s">
        <v>940</v>
      </c>
      <c r="D431" s="359" t="s">
        <v>961</v>
      </c>
      <c r="E431" s="610"/>
      <c r="F431" s="462">
        <v>152426</v>
      </c>
      <c r="G431" s="170">
        <f>0+táj.2!G431</f>
        <v>0</v>
      </c>
      <c r="H431" s="170">
        <f>0+táj.2!H431</f>
        <v>0</v>
      </c>
      <c r="I431" s="170">
        <f>0+táj.2!I431</f>
        <v>0</v>
      </c>
      <c r="J431" s="170">
        <f>0+táj.2!J431</f>
        <v>0</v>
      </c>
      <c r="K431" s="170">
        <f>0+táj.2!K431</f>
        <v>0</v>
      </c>
      <c r="L431" s="170">
        <f>8000+táj.2!L431</f>
        <v>6522</v>
      </c>
      <c r="M431" s="170">
        <f>0+táj.2!M431</f>
        <v>2702</v>
      </c>
      <c r="N431" s="170">
        <f>0+táj.2!N431</f>
        <v>0</v>
      </c>
      <c r="O431" s="170">
        <f>0+táj.2!O431</f>
        <v>0</v>
      </c>
      <c r="P431" s="170">
        <f>0+táj.2!P431</f>
        <v>0</v>
      </c>
      <c r="Q431" s="170">
        <f t="shared" si="26"/>
        <v>9224</v>
      </c>
    </row>
    <row r="432" spans="1:17" ht="31.5" customHeight="1" x14ac:dyDescent="0.2">
      <c r="A432" s="229"/>
      <c r="B432" s="229"/>
      <c r="C432" s="352" t="s">
        <v>942</v>
      </c>
      <c r="D432" s="359" t="s">
        <v>962</v>
      </c>
      <c r="E432" s="610"/>
      <c r="F432" s="170">
        <v>155429</v>
      </c>
      <c r="G432" s="170">
        <f>0+táj.2!G432</f>
        <v>0</v>
      </c>
      <c r="H432" s="170">
        <f>0+táj.2!H432</f>
        <v>0</v>
      </c>
      <c r="I432" s="170">
        <f>0+táj.2!I432</f>
        <v>0</v>
      </c>
      <c r="J432" s="170">
        <f>0+táj.2!J432</f>
        <v>0</v>
      </c>
      <c r="K432" s="170">
        <f>0+táj.2!K432</f>
        <v>0</v>
      </c>
      <c r="L432" s="170">
        <f>0+táj.2!L432</f>
        <v>0</v>
      </c>
      <c r="M432" s="170">
        <f>3000+táj.2!M432</f>
        <v>3000</v>
      </c>
      <c r="N432" s="170">
        <f>0+táj.2!N432</f>
        <v>0</v>
      </c>
      <c r="O432" s="170">
        <f>0+táj.2!O432</f>
        <v>0</v>
      </c>
      <c r="P432" s="170">
        <f>0+táj.2!P432</f>
        <v>0</v>
      </c>
      <c r="Q432" s="170">
        <f t="shared" si="26"/>
        <v>3000</v>
      </c>
    </row>
    <row r="433" spans="1:17" ht="18" customHeight="1" x14ac:dyDescent="0.2">
      <c r="A433" s="229"/>
      <c r="B433" s="229"/>
      <c r="C433" s="352" t="s">
        <v>944</v>
      </c>
      <c r="D433" s="359" t="s">
        <v>963</v>
      </c>
      <c r="E433" s="610"/>
      <c r="F433" s="170">
        <v>155430</v>
      </c>
      <c r="G433" s="170">
        <f>0+táj.2!G433</f>
        <v>0</v>
      </c>
      <c r="H433" s="170">
        <f>0+táj.2!H433</f>
        <v>0</v>
      </c>
      <c r="I433" s="170">
        <f>0+táj.2!I433</f>
        <v>0</v>
      </c>
      <c r="J433" s="170">
        <f>0+táj.2!J433</f>
        <v>0</v>
      </c>
      <c r="K433" s="170">
        <f>0+táj.2!K433</f>
        <v>0</v>
      </c>
      <c r="L433" s="170">
        <f>0+táj.2!L433</f>
        <v>0</v>
      </c>
      <c r="M433" s="170">
        <f>0+táj.2!M433</f>
        <v>0</v>
      </c>
      <c r="N433" s="170">
        <f>0+táj.2!N433</f>
        <v>0</v>
      </c>
      <c r="O433" s="170">
        <f>0+táj.2!O433</f>
        <v>0</v>
      </c>
      <c r="P433" s="170">
        <f>0+táj.2!P433</f>
        <v>0</v>
      </c>
      <c r="Q433" s="170">
        <f t="shared" si="26"/>
        <v>0</v>
      </c>
    </row>
    <row r="434" spans="1:17" ht="18" customHeight="1" x14ac:dyDescent="0.2">
      <c r="A434" s="229"/>
      <c r="B434" s="229"/>
      <c r="C434" s="352" t="s">
        <v>946</v>
      </c>
      <c r="D434" s="359" t="s">
        <v>964</v>
      </c>
      <c r="E434" s="610"/>
      <c r="F434" s="170">
        <v>155427</v>
      </c>
      <c r="G434" s="170">
        <f>0+táj.2!G434</f>
        <v>0</v>
      </c>
      <c r="H434" s="170">
        <f>0+táj.2!H434</f>
        <v>0</v>
      </c>
      <c r="I434" s="170">
        <f>0+táj.2!I434</f>
        <v>0</v>
      </c>
      <c r="J434" s="170">
        <f>0+táj.2!J434</f>
        <v>0</v>
      </c>
      <c r="K434" s="170">
        <f>0+táj.2!K434</f>
        <v>0</v>
      </c>
      <c r="L434" s="170">
        <f>0+táj.2!L434</f>
        <v>0</v>
      </c>
      <c r="M434" s="170">
        <f>0+táj.2!M434</f>
        <v>2464</v>
      </c>
      <c r="N434" s="170">
        <f>0+táj.2!N434</f>
        <v>0</v>
      </c>
      <c r="O434" s="170">
        <f>0+táj.2!O434</f>
        <v>0</v>
      </c>
      <c r="P434" s="170">
        <f>0+táj.2!P434</f>
        <v>0</v>
      </c>
      <c r="Q434" s="170">
        <f t="shared" si="26"/>
        <v>2464</v>
      </c>
    </row>
    <row r="435" spans="1:17" ht="18" customHeight="1" x14ac:dyDescent="0.2">
      <c r="A435" s="229"/>
      <c r="B435" s="229"/>
      <c r="C435" s="360"/>
      <c r="D435" s="314" t="s">
        <v>502</v>
      </c>
      <c r="E435" s="358"/>
      <c r="F435" s="170"/>
      <c r="G435" s="170"/>
      <c r="H435" s="170"/>
      <c r="I435" s="170"/>
      <c r="J435" s="170"/>
      <c r="K435" s="170"/>
      <c r="L435" s="170"/>
      <c r="M435" s="170"/>
      <c r="N435" s="170"/>
      <c r="O435" s="170"/>
      <c r="P435" s="170"/>
      <c r="Q435" s="170">
        <f t="shared" si="26"/>
        <v>0</v>
      </c>
    </row>
    <row r="436" spans="1:17" ht="18" customHeight="1" x14ac:dyDescent="0.2">
      <c r="A436" s="229"/>
      <c r="B436" s="229"/>
      <c r="C436" s="352" t="s">
        <v>965</v>
      </c>
      <c r="D436" s="245" t="s">
        <v>966</v>
      </c>
      <c r="E436" s="230"/>
      <c r="F436" s="170">
        <v>155420</v>
      </c>
      <c r="G436" s="170">
        <f>0+táj.2!G436</f>
        <v>0</v>
      </c>
      <c r="H436" s="170">
        <f>0+táj.2!H436</f>
        <v>0</v>
      </c>
      <c r="I436" s="170">
        <f>111+táj.2!I436</f>
        <v>111</v>
      </c>
      <c r="J436" s="170">
        <f>0+táj.2!J436</f>
        <v>0</v>
      </c>
      <c r="K436" s="170">
        <f>0+táj.2!K436</f>
        <v>0</v>
      </c>
      <c r="L436" s="170">
        <f>0+táj.2!L436</f>
        <v>0</v>
      </c>
      <c r="M436" s="170">
        <f>0+táj.2!M436</f>
        <v>1881</v>
      </c>
      <c r="N436" s="170">
        <f>0+táj.2!N436</f>
        <v>0</v>
      </c>
      <c r="O436" s="170">
        <f>0+táj.2!O436</f>
        <v>0</v>
      </c>
      <c r="P436" s="170">
        <f>0+táj.2!P436</f>
        <v>0</v>
      </c>
      <c r="Q436" s="170">
        <f t="shared" si="26"/>
        <v>1992</v>
      </c>
    </row>
    <row r="437" spans="1:17" ht="27" customHeight="1" x14ac:dyDescent="0.2">
      <c r="A437" s="229"/>
      <c r="B437" s="229"/>
      <c r="C437" s="352" t="s">
        <v>967</v>
      </c>
      <c r="D437" s="245" t="s">
        <v>968</v>
      </c>
      <c r="E437" s="230"/>
      <c r="F437" s="170">
        <v>154433</v>
      </c>
      <c r="G437" s="170">
        <f>0+táj.2!G437</f>
        <v>0</v>
      </c>
      <c r="H437" s="170">
        <f>0+táj.2!H437</f>
        <v>0</v>
      </c>
      <c r="I437" s="170">
        <f>0+táj.2!I437</f>
        <v>0</v>
      </c>
      <c r="J437" s="170">
        <f>0+táj.2!J437</f>
        <v>0</v>
      </c>
      <c r="K437" s="170">
        <f>0+táj.2!K437</f>
        <v>0</v>
      </c>
      <c r="L437" s="170">
        <f>0+táj.2!L437</f>
        <v>0</v>
      </c>
      <c r="M437" s="170">
        <f>0+táj.2!M437</f>
        <v>0</v>
      </c>
      <c r="N437" s="170">
        <f>0+táj.2!N437</f>
        <v>0</v>
      </c>
      <c r="O437" s="170">
        <f>0+táj.2!O437</f>
        <v>0</v>
      </c>
      <c r="P437" s="170">
        <f>0+táj.2!P437</f>
        <v>0</v>
      </c>
      <c r="Q437" s="170">
        <f t="shared" si="26"/>
        <v>0</v>
      </c>
    </row>
    <row r="438" spans="1:17" ht="18" customHeight="1" x14ac:dyDescent="0.2">
      <c r="A438" s="229"/>
      <c r="B438" s="229"/>
      <c r="C438" s="352" t="s">
        <v>969</v>
      </c>
      <c r="D438" s="245" t="s">
        <v>970</v>
      </c>
      <c r="E438" s="230"/>
      <c r="F438" s="170">
        <v>154479</v>
      </c>
      <c r="G438" s="170">
        <f>0+táj.2!G438</f>
        <v>0</v>
      </c>
      <c r="H438" s="170">
        <f>0+táj.2!H438</f>
        <v>0</v>
      </c>
      <c r="I438" s="170">
        <f>0+táj.2!I438</f>
        <v>0</v>
      </c>
      <c r="J438" s="170">
        <f>0+táj.2!J438</f>
        <v>0</v>
      </c>
      <c r="K438" s="170">
        <f>0+táj.2!K438</f>
        <v>0</v>
      </c>
      <c r="L438" s="170">
        <f>0+táj.2!L438</f>
        <v>0</v>
      </c>
      <c r="M438" s="170">
        <f>4749+táj.2!M438</f>
        <v>4749</v>
      </c>
      <c r="N438" s="170">
        <f>0+táj.2!N438</f>
        <v>0</v>
      </c>
      <c r="O438" s="170">
        <f>0+táj.2!O438</f>
        <v>0</v>
      </c>
      <c r="P438" s="170">
        <f>0+táj.2!P438</f>
        <v>0</v>
      </c>
      <c r="Q438" s="170">
        <f t="shared" si="26"/>
        <v>4749</v>
      </c>
    </row>
    <row r="439" spans="1:17" ht="18" customHeight="1" x14ac:dyDescent="0.2">
      <c r="A439" s="229"/>
      <c r="B439" s="229"/>
      <c r="C439" s="352" t="s">
        <v>971</v>
      </c>
      <c r="D439" s="245" t="s">
        <v>972</v>
      </c>
      <c r="E439" s="230"/>
      <c r="F439" s="170">
        <v>154489</v>
      </c>
      <c r="G439" s="170">
        <f>0+táj.2!G439</f>
        <v>0</v>
      </c>
      <c r="H439" s="170">
        <f>0+táj.2!H439</f>
        <v>0</v>
      </c>
      <c r="I439" s="170">
        <f>0+táj.2!I439</f>
        <v>0</v>
      </c>
      <c r="J439" s="170">
        <f>0+táj.2!J439</f>
        <v>0</v>
      </c>
      <c r="K439" s="170">
        <f>0+táj.2!K439</f>
        <v>0</v>
      </c>
      <c r="L439" s="170">
        <f>0+táj.2!L439</f>
        <v>0</v>
      </c>
      <c r="M439" s="170">
        <f>6948+táj.2!M439</f>
        <v>6948</v>
      </c>
      <c r="N439" s="170">
        <f>0+táj.2!N439</f>
        <v>0</v>
      </c>
      <c r="O439" s="170">
        <f>0+táj.2!O439</f>
        <v>0</v>
      </c>
      <c r="P439" s="170">
        <f>0+táj.2!P439</f>
        <v>0</v>
      </c>
      <c r="Q439" s="170">
        <f t="shared" si="26"/>
        <v>6948</v>
      </c>
    </row>
    <row r="440" spans="1:17" ht="18" customHeight="1" x14ac:dyDescent="0.2">
      <c r="A440" s="229"/>
      <c r="B440" s="229"/>
      <c r="C440" s="352" t="s">
        <v>973</v>
      </c>
      <c r="D440" s="325" t="s">
        <v>974</v>
      </c>
      <c r="E440" s="230"/>
      <c r="F440" s="170">
        <v>152414</v>
      </c>
      <c r="G440" s="170">
        <f>0+táj.2!G440</f>
        <v>0</v>
      </c>
      <c r="H440" s="170">
        <f>0+táj.2!H440</f>
        <v>0</v>
      </c>
      <c r="I440" s="170">
        <f>0+táj.2!I440</f>
        <v>0</v>
      </c>
      <c r="J440" s="170">
        <f>0+táj.2!J440</f>
        <v>0</v>
      </c>
      <c r="K440" s="170">
        <f>0+táj.2!K440</f>
        <v>0</v>
      </c>
      <c r="L440" s="170">
        <f>4000+táj.2!L440</f>
        <v>4000</v>
      </c>
      <c r="M440" s="170">
        <f>0+táj.2!M440</f>
        <v>0</v>
      </c>
      <c r="N440" s="170">
        <f>0+táj.2!N440</f>
        <v>0</v>
      </c>
      <c r="O440" s="170">
        <f>0+táj.2!O440</f>
        <v>0</v>
      </c>
      <c r="P440" s="170">
        <f>0+táj.2!P440</f>
        <v>0</v>
      </c>
      <c r="Q440" s="170">
        <f t="shared" si="26"/>
        <v>4000</v>
      </c>
    </row>
    <row r="441" spans="1:17" ht="18" customHeight="1" x14ac:dyDescent="0.2">
      <c r="A441" s="229"/>
      <c r="B441" s="229"/>
      <c r="C441" s="352" t="s">
        <v>975</v>
      </c>
      <c r="D441" s="171" t="s">
        <v>978</v>
      </c>
      <c r="E441" s="230"/>
      <c r="F441" s="170">
        <v>164415</v>
      </c>
      <c r="G441" s="170">
        <f>0+táj.2!G441</f>
        <v>0</v>
      </c>
      <c r="H441" s="170">
        <f>0+táj.2!H441</f>
        <v>0</v>
      </c>
      <c r="I441" s="170">
        <f>0+táj.2!I441</f>
        <v>0</v>
      </c>
      <c r="J441" s="170">
        <f>0+táj.2!J441</f>
        <v>0</v>
      </c>
      <c r="K441" s="170">
        <f>0+táj.2!K441</f>
        <v>0</v>
      </c>
      <c r="L441" s="170">
        <f>0+táj.2!L441</f>
        <v>0</v>
      </c>
      <c r="M441" s="170">
        <f>4051+táj.2!M441</f>
        <v>4051</v>
      </c>
      <c r="N441" s="170">
        <f>0+táj.2!N441</f>
        <v>0</v>
      </c>
      <c r="O441" s="170">
        <f>0+táj.2!O441</f>
        <v>0</v>
      </c>
      <c r="P441" s="170">
        <f>0+táj.2!P441</f>
        <v>0</v>
      </c>
      <c r="Q441" s="170">
        <f t="shared" si="26"/>
        <v>4051</v>
      </c>
    </row>
    <row r="442" spans="1:17" ht="28.5" customHeight="1" x14ac:dyDescent="0.2">
      <c r="A442" s="229"/>
      <c r="B442" s="229"/>
      <c r="C442" s="352" t="s">
        <v>977</v>
      </c>
      <c r="D442" s="624" t="s">
        <v>981</v>
      </c>
      <c r="E442" s="230"/>
      <c r="F442" s="170">
        <v>155425</v>
      </c>
      <c r="G442" s="170">
        <f>0+táj.2!G442</f>
        <v>0</v>
      </c>
      <c r="H442" s="170">
        <f>0+táj.2!H442</f>
        <v>0</v>
      </c>
      <c r="I442" s="170">
        <f>0+táj.2!I442</f>
        <v>0</v>
      </c>
      <c r="J442" s="170">
        <f>0+táj.2!J442</f>
        <v>0</v>
      </c>
      <c r="K442" s="170">
        <f>0+táj.2!K442</f>
        <v>0</v>
      </c>
      <c r="L442" s="170">
        <f>0+táj.2!L442</f>
        <v>0</v>
      </c>
      <c r="M442" s="170">
        <f>0+táj.2!M442</f>
        <v>0</v>
      </c>
      <c r="N442" s="170">
        <f>0+táj.2!N442</f>
        <v>0</v>
      </c>
      <c r="O442" s="170">
        <f>0+táj.2!O442</f>
        <v>0</v>
      </c>
      <c r="P442" s="170">
        <f>0+táj.2!P442</f>
        <v>0</v>
      </c>
      <c r="Q442" s="170">
        <f t="shared" si="26"/>
        <v>0</v>
      </c>
    </row>
    <row r="443" spans="1:17" ht="29.25" customHeight="1" x14ac:dyDescent="0.2">
      <c r="A443" s="229"/>
      <c r="B443" s="229"/>
      <c r="C443" s="352" t="s">
        <v>979</v>
      </c>
      <c r="D443" s="682" t="s">
        <v>982</v>
      </c>
      <c r="E443" s="230"/>
      <c r="F443" s="170">
        <v>152405</v>
      </c>
      <c r="G443" s="170">
        <f>0+táj.2!G443</f>
        <v>0</v>
      </c>
      <c r="H443" s="170">
        <f>0+táj.2!H443</f>
        <v>0</v>
      </c>
      <c r="I443" s="170">
        <f>6308+táj.2!I443</f>
        <v>5642</v>
      </c>
      <c r="J443" s="170">
        <f>0+táj.2!J443</f>
        <v>0</v>
      </c>
      <c r="K443" s="170">
        <f>0+táj.2!K443</f>
        <v>0</v>
      </c>
      <c r="L443" s="170">
        <f>4000+táj.2!L443</f>
        <v>4000</v>
      </c>
      <c r="M443" s="170">
        <f>2250+táj.2!M443</f>
        <v>2250</v>
      </c>
      <c r="N443" s="170">
        <f>0+táj.2!N443</f>
        <v>0</v>
      </c>
      <c r="O443" s="170">
        <f>0+táj.2!O443</f>
        <v>0</v>
      </c>
      <c r="P443" s="170">
        <f>0+táj.2!P443</f>
        <v>0</v>
      </c>
      <c r="Q443" s="170">
        <f t="shared" si="26"/>
        <v>11892</v>
      </c>
    </row>
    <row r="444" spans="1:17" ht="15.75" customHeight="1" x14ac:dyDescent="0.2">
      <c r="A444" s="229"/>
      <c r="B444" s="229"/>
      <c r="C444" s="361" t="s">
        <v>115</v>
      </c>
      <c r="D444" s="362" t="s">
        <v>984</v>
      </c>
      <c r="E444" s="232"/>
      <c r="F444" s="233"/>
      <c r="G444" s="170"/>
      <c r="H444" s="170"/>
      <c r="I444" s="170"/>
      <c r="J444" s="170"/>
      <c r="K444" s="170"/>
      <c r="L444" s="170"/>
      <c r="M444" s="170"/>
      <c r="N444" s="170"/>
      <c r="O444" s="170"/>
      <c r="P444" s="170"/>
      <c r="Q444" s="170"/>
    </row>
    <row r="445" spans="1:17" ht="18.75" customHeight="1" x14ac:dyDescent="0.2">
      <c r="A445" s="229"/>
      <c r="B445" s="229"/>
      <c r="C445" s="217" t="s">
        <v>985</v>
      </c>
      <c r="D445" s="353" t="s">
        <v>986</v>
      </c>
      <c r="E445" s="610"/>
      <c r="F445" s="170">
        <v>152564</v>
      </c>
      <c r="G445" s="170">
        <f>0+táj.2!G445</f>
        <v>0</v>
      </c>
      <c r="H445" s="170">
        <f>0+táj.2!H445</f>
        <v>0</v>
      </c>
      <c r="I445" s="170">
        <f>0+táj.2!I445</f>
        <v>0</v>
      </c>
      <c r="J445" s="170">
        <f>0+táj.2!J445</f>
        <v>0</v>
      </c>
      <c r="K445" s="170">
        <f>0+táj.2!K445</f>
        <v>0</v>
      </c>
      <c r="L445" s="170">
        <f>2000+táj.2!L445</f>
        <v>0</v>
      </c>
      <c r="M445" s="170">
        <f>0+táj.2!M445</f>
        <v>0</v>
      </c>
      <c r="N445" s="170">
        <f>0+táj.2!N445</f>
        <v>2000</v>
      </c>
      <c r="O445" s="170">
        <f>0+táj.2!O445</f>
        <v>0</v>
      </c>
      <c r="P445" s="170">
        <f>0+táj.2!P445</f>
        <v>0</v>
      </c>
      <c r="Q445" s="170">
        <f t="shared" ref="Q445:Q458" si="27">SUM(G445:P445)</f>
        <v>2000</v>
      </c>
    </row>
    <row r="446" spans="1:17" ht="18.75" customHeight="1" x14ac:dyDescent="0.2">
      <c r="A446" s="229"/>
      <c r="B446" s="229"/>
      <c r="C446" s="217" t="s">
        <v>987</v>
      </c>
      <c r="D446" s="329" t="s">
        <v>988</v>
      </c>
      <c r="E446" s="610"/>
      <c r="F446" s="170">
        <v>152565</v>
      </c>
      <c r="G446" s="170">
        <f>0+táj.2!G446</f>
        <v>0</v>
      </c>
      <c r="H446" s="170">
        <f>0+táj.2!H446</f>
        <v>0</v>
      </c>
      <c r="I446" s="170">
        <f>0+táj.2!I446</f>
        <v>0</v>
      </c>
      <c r="J446" s="170">
        <f>0+táj.2!J446</f>
        <v>0</v>
      </c>
      <c r="K446" s="170">
        <f>0+táj.2!K446</f>
        <v>0</v>
      </c>
      <c r="L446" s="170">
        <f>0+táj.2!L446</f>
        <v>0</v>
      </c>
      <c r="M446" s="170">
        <f>0+táj.2!M446</f>
        <v>0</v>
      </c>
      <c r="N446" s="170">
        <f>0+táj.2!N446</f>
        <v>0</v>
      </c>
      <c r="O446" s="170">
        <f>0+táj.2!O446</f>
        <v>0</v>
      </c>
      <c r="P446" s="170">
        <f>0+táj.2!P446</f>
        <v>0</v>
      </c>
      <c r="Q446" s="170">
        <f t="shared" si="27"/>
        <v>0</v>
      </c>
    </row>
    <row r="447" spans="1:17" ht="18.75" customHeight="1" x14ac:dyDescent="0.2">
      <c r="A447" s="229"/>
      <c r="B447" s="229"/>
      <c r="C447" s="217" t="s">
        <v>989</v>
      </c>
      <c r="D447" s="245" t="s">
        <v>990</v>
      </c>
      <c r="E447" s="232"/>
      <c r="F447" s="170">
        <v>152504</v>
      </c>
      <c r="G447" s="170">
        <f>0+táj.2!G447</f>
        <v>0</v>
      </c>
      <c r="H447" s="170">
        <f>0+táj.2!H447</f>
        <v>0</v>
      </c>
      <c r="I447" s="170">
        <f>0+táj.2!I447</f>
        <v>0</v>
      </c>
      <c r="J447" s="170">
        <f>0+táj.2!J447</f>
        <v>0</v>
      </c>
      <c r="K447" s="170">
        <f>0+táj.2!K447</f>
        <v>0</v>
      </c>
      <c r="L447" s="170">
        <f>0+táj.2!L447</f>
        <v>0</v>
      </c>
      <c r="M447" s="170">
        <f>0+táj.2!M447</f>
        <v>0</v>
      </c>
      <c r="N447" s="170">
        <f>0+táj.2!N447</f>
        <v>0</v>
      </c>
      <c r="O447" s="170">
        <f>0+táj.2!O447</f>
        <v>0</v>
      </c>
      <c r="P447" s="170">
        <f>0+táj.2!P447</f>
        <v>0</v>
      </c>
      <c r="Q447" s="170">
        <f t="shared" si="27"/>
        <v>0</v>
      </c>
    </row>
    <row r="448" spans="1:17" ht="18.75" customHeight="1" x14ac:dyDescent="0.2">
      <c r="A448" s="229"/>
      <c r="B448" s="229"/>
      <c r="C448" s="217" t="s">
        <v>991</v>
      </c>
      <c r="D448" s="353" t="s">
        <v>992</v>
      </c>
      <c r="E448" s="232"/>
      <c r="F448" s="170">
        <v>152566</v>
      </c>
      <c r="G448" s="170">
        <f>0+táj.2!G448</f>
        <v>0</v>
      </c>
      <c r="H448" s="170">
        <f>0+táj.2!H448</f>
        <v>0</v>
      </c>
      <c r="I448" s="170">
        <f>0+táj.2!I448</f>
        <v>0</v>
      </c>
      <c r="J448" s="170">
        <f>0+táj.2!J448</f>
        <v>0</v>
      </c>
      <c r="K448" s="170">
        <f>0+táj.2!K448</f>
        <v>0</v>
      </c>
      <c r="L448" s="170">
        <f>0+táj.2!L448</f>
        <v>0</v>
      </c>
      <c r="M448" s="170">
        <f>0+táj.2!M448</f>
        <v>0</v>
      </c>
      <c r="N448" s="170">
        <f>0+táj.2!N448</f>
        <v>0</v>
      </c>
      <c r="O448" s="170">
        <f>0+táj.2!O448</f>
        <v>0</v>
      </c>
      <c r="P448" s="170">
        <f>0+táj.2!P448</f>
        <v>0</v>
      </c>
      <c r="Q448" s="170">
        <f t="shared" si="27"/>
        <v>0</v>
      </c>
    </row>
    <row r="449" spans="1:17" ht="18.75" customHeight="1" x14ac:dyDescent="0.2">
      <c r="A449" s="229"/>
      <c r="B449" s="229"/>
      <c r="C449" s="217" t="s">
        <v>993</v>
      </c>
      <c r="D449" s="245" t="s">
        <v>994</v>
      </c>
      <c r="E449" s="232"/>
      <c r="F449" s="170">
        <v>152567</v>
      </c>
      <c r="G449" s="170">
        <f>0+táj.2!G449</f>
        <v>0</v>
      </c>
      <c r="H449" s="170">
        <f>0+táj.2!H449</f>
        <v>0</v>
      </c>
      <c r="I449" s="170">
        <f>0+táj.2!I449</f>
        <v>0</v>
      </c>
      <c r="J449" s="170">
        <f>0+táj.2!J449</f>
        <v>0</v>
      </c>
      <c r="K449" s="170">
        <f>0+táj.2!K449</f>
        <v>0</v>
      </c>
      <c r="L449" s="170">
        <f>1000+táj.2!L449</f>
        <v>1000</v>
      </c>
      <c r="M449" s="170">
        <f>0+táj.2!M449</f>
        <v>0</v>
      </c>
      <c r="N449" s="170">
        <f>0+táj.2!N449</f>
        <v>0</v>
      </c>
      <c r="O449" s="170">
        <f>0+táj.2!O449</f>
        <v>0</v>
      </c>
      <c r="P449" s="170">
        <f>0+táj.2!P449</f>
        <v>0</v>
      </c>
      <c r="Q449" s="170">
        <f t="shared" si="27"/>
        <v>1000</v>
      </c>
    </row>
    <row r="450" spans="1:17" ht="18.75" customHeight="1" x14ac:dyDescent="0.2">
      <c r="A450" s="229"/>
      <c r="B450" s="229"/>
      <c r="C450" s="217" t="s">
        <v>995</v>
      </c>
      <c r="D450" s="245" t="s">
        <v>996</v>
      </c>
      <c r="E450" s="232"/>
      <c r="F450" s="170">
        <v>152568</v>
      </c>
      <c r="G450" s="170">
        <f>0+táj.2!G450</f>
        <v>0</v>
      </c>
      <c r="H450" s="170">
        <f>0+táj.2!H450</f>
        <v>0</v>
      </c>
      <c r="I450" s="170">
        <f>0+táj.2!I450</f>
        <v>0</v>
      </c>
      <c r="J450" s="170">
        <f>0+táj.2!J450</f>
        <v>0</v>
      </c>
      <c r="K450" s="170">
        <f>0+táj.2!K450</f>
        <v>0</v>
      </c>
      <c r="L450" s="170">
        <f>0+táj.2!L450</f>
        <v>0</v>
      </c>
      <c r="M450" s="170">
        <f>0+táj.2!M450</f>
        <v>0</v>
      </c>
      <c r="N450" s="170">
        <f>0+táj.2!N450</f>
        <v>0</v>
      </c>
      <c r="O450" s="170">
        <f>0+táj.2!O450</f>
        <v>0</v>
      </c>
      <c r="P450" s="170">
        <f>0+táj.2!P450</f>
        <v>0</v>
      </c>
      <c r="Q450" s="170">
        <f t="shared" si="27"/>
        <v>0</v>
      </c>
    </row>
    <row r="451" spans="1:17" ht="18.75" customHeight="1" x14ac:dyDescent="0.2">
      <c r="A451" s="229"/>
      <c r="B451" s="229"/>
      <c r="C451" s="217" t="s">
        <v>997</v>
      </c>
      <c r="D451" s="592" t="s">
        <v>998</v>
      </c>
      <c r="E451" s="232"/>
      <c r="F451" s="170">
        <v>152569</v>
      </c>
      <c r="G451" s="170">
        <f>0+táj.2!G451</f>
        <v>0</v>
      </c>
      <c r="H451" s="170">
        <f>0+táj.2!H451</f>
        <v>0</v>
      </c>
      <c r="I451" s="170">
        <f>0+táj.2!I451</f>
        <v>0</v>
      </c>
      <c r="J451" s="170">
        <f>0+táj.2!J451</f>
        <v>0</v>
      </c>
      <c r="K451" s="170">
        <f>0+táj.2!K451</f>
        <v>0</v>
      </c>
      <c r="L451" s="170">
        <f>0+táj.2!L451</f>
        <v>0</v>
      </c>
      <c r="M451" s="170">
        <f>0+táj.2!M451</f>
        <v>0</v>
      </c>
      <c r="N451" s="170">
        <f>0+táj.2!N451</f>
        <v>0</v>
      </c>
      <c r="O451" s="170">
        <f>0+táj.2!O451</f>
        <v>0</v>
      </c>
      <c r="P451" s="170">
        <f>0+táj.2!P451</f>
        <v>0</v>
      </c>
      <c r="Q451" s="170">
        <f t="shared" si="27"/>
        <v>0</v>
      </c>
    </row>
    <row r="452" spans="1:17" ht="18" customHeight="1" x14ac:dyDescent="0.2">
      <c r="A452" s="229"/>
      <c r="B452" s="229"/>
      <c r="C452" s="217" t="s">
        <v>999</v>
      </c>
      <c r="D452" s="592" t="s">
        <v>1000</v>
      </c>
      <c r="E452" s="610"/>
      <c r="F452" s="170">
        <v>152570</v>
      </c>
      <c r="G452" s="170">
        <f>0+táj.2!G452</f>
        <v>0</v>
      </c>
      <c r="H452" s="170">
        <f>0+táj.2!H452</f>
        <v>0</v>
      </c>
      <c r="I452" s="170">
        <f>0+táj.2!I452</f>
        <v>0</v>
      </c>
      <c r="J452" s="170">
        <f>0+táj.2!J452</f>
        <v>0</v>
      </c>
      <c r="K452" s="170">
        <f>0+táj.2!K452</f>
        <v>0</v>
      </c>
      <c r="L452" s="170">
        <f>0+táj.2!L452</f>
        <v>0</v>
      </c>
      <c r="M452" s="170">
        <f>0+táj.2!M452</f>
        <v>0</v>
      </c>
      <c r="N452" s="170">
        <f>0+táj.2!N452</f>
        <v>0</v>
      </c>
      <c r="O452" s="170">
        <f>0+táj.2!O452</f>
        <v>0</v>
      </c>
      <c r="P452" s="170">
        <f>0+táj.2!P452</f>
        <v>0</v>
      </c>
      <c r="Q452" s="170">
        <f t="shared" si="27"/>
        <v>0</v>
      </c>
    </row>
    <row r="453" spans="1:17" ht="18" customHeight="1" x14ac:dyDescent="0.2">
      <c r="A453" s="229"/>
      <c r="B453" s="229"/>
      <c r="C453" s="217" t="s">
        <v>1001</v>
      </c>
      <c r="D453" s="353" t="s">
        <v>1002</v>
      </c>
      <c r="E453" s="610"/>
      <c r="F453" s="170">
        <v>154541</v>
      </c>
      <c r="G453" s="170">
        <f>0+táj.2!G453</f>
        <v>0</v>
      </c>
      <c r="H453" s="170">
        <f>0+táj.2!H453</f>
        <v>0</v>
      </c>
      <c r="I453" s="170">
        <f>0+táj.2!I453</f>
        <v>0</v>
      </c>
      <c r="J453" s="170">
        <f>0+táj.2!J453</f>
        <v>0</v>
      </c>
      <c r="K453" s="170">
        <f>0+táj.2!K453</f>
        <v>0</v>
      </c>
      <c r="L453" s="170">
        <f>0+táj.2!L453</f>
        <v>0</v>
      </c>
      <c r="M453" s="170">
        <f>0+táj.2!M453</f>
        <v>0</v>
      </c>
      <c r="N453" s="170">
        <f>0+táj.2!N453</f>
        <v>0</v>
      </c>
      <c r="O453" s="170">
        <f>0+táj.2!O453</f>
        <v>0</v>
      </c>
      <c r="P453" s="170">
        <f>0+táj.2!P453</f>
        <v>0</v>
      </c>
      <c r="Q453" s="170">
        <f t="shared" si="27"/>
        <v>0</v>
      </c>
    </row>
    <row r="454" spans="1:17" ht="18.75" customHeight="1" x14ac:dyDescent="0.2">
      <c r="A454" s="229"/>
      <c r="B454" s="229"/>
      <c r="C454" s="217" t="s">
        <v>1003</v>
      </c>
      <c r="D454" s="353" t="s">
        <v>1004</v>
      </c>
      <c r="E454" s="610"/>
      <c r="F454" s="170">
        <v>154544</v>
      </c>
      <c r="G454" s="170">
        <f>0+táj.2!G454</f>
        <v>0</v>
      </c>
      <c r="H454" s="170">
        <f>0+táj.2!H454</f>
        <v>0</v>
      </c>
      <c r="I454" s="170">
        <f>0+táj.2!I454</f>
        <v>0</v>
      </c>
      <c r="J454" s="170">
        <f>0+táj.2!J454</f>
        <v>0</v>
      </c>
      <c r="K454" s="170">
        <f>0+táj.2!K454</f>
        <v>0</v>
      </c>
      <c r="L454" s="170">
        <f>0+táj.2!L454</f>
        <v>0</v>
      </c>
      <c r="M454" s="170">
        <f>0+táj.2!M454</f>
        <v>0</v>
      </c>
      <c r="N454" s="170">
        <f>0+táj.2!N454</f>
        <v>0</v>
      </c>
      <c r="O454" s="170">
        <f>0+táj.2!O454</f>
        <v>0</v>
      </c>
      <c r="P454" s="170">
        <f>0+táj.2!P454</f>
        <v>0</v>
      </c>
      <c r="Q454" s="170">
        <f t="shared" si="27"/>
        <v>0</v>
      </c>
    </row>
    <row r="455" spans="1:17" ht="18.75" customHeight="1" x14ac:dyDescent="0.2">
      <c r="A455" s="229"/>
      <c r="B455" s="229"/>
      <c r="C455" s="217" t="s">
        <v>1005</v>
      </c>
      <c r="D455" s="359" t="s">
        <v>1006</v>
      </c>
      <c r="E455" s="610"/>
      <c r="F455" s="170">
        <v>152571</v>
      </c>
      <c r="G455" s="170">
        <f>0+táj.2!G455</f>
        <v>0</v>
      </c>
      <c r="H455" s="170">
        <f>0+táj.2!H455</f>
        <v>0</v>
      </c>
      <c r="I455" s="170">
        <f>0+táj.2!I455</f>
        <v>0</v>
      </c>
      <c r="J455" s="170">
        <f>0+táj.2!J455</f>
        <v>0</v>
      </c>
      <c r="K455" s="170">
        <f>0+táj.2!K455</f>
        <v>0</v>
      </c>
      <c r="L455" s="170">
        <f>0+táj.2!L455</f>
        <v>0</v>
      </c>
      <c r="M455" s="170">
        <f>0+táj.2!M455</f>
        <v>0</v>
      </c>
      <c r="N455" s="170">
        <f>0+táj.2!N455</f>
        <v>0</v>
      </c>
      <c r="O455" s="170">
        <f>0+táj.2!O455</f>
        <v>0</v>
      </c>
      <c r="P455" s="170">
        <f>0+táj.2!P455</f>
        <v>0</v>
      </c>
      <c r="Q455" s="170">
        <f t="shared" si="27"/>
        <v>0</v>
      </c>
    </row>
    <row r="456" spans="1:17" ht="23.25" customHeight="1" x14ac:dyDescent="0.2">
      <c r="A456" s="229"/>
      <c r="B456" s="229"/>
      <c r="C456" s="217" t="s">
        <v>1007</v>
      </c>
      <c r="D456" s="359" t="s">
        <v>1008</v>
      </c>
      <c r="E456" s="610"/>
      <c r="F456" s="170">
        <v>152572</v>
      </c>
      <c r="G456" s="170">
        <f>0+táj.2!G456</f>
        <v>0</v>
      </c>
      <c r="H456" s="170">
        <f>0+táj.2!H456</f>
        <v>0</v>
      </c>
      <c r="I456" s="170">
        <f>0+táj.2!I456</f>
        <v>0</v>
      </c>
      <c r="J456" s="170">
        <f>0+táj.2!J456</f>
        <v>0</v>
      </c>
      <c r="K456" s="170">
        <f>0+táj.2!K456</f>
        <v>0</v>
      </c>
      <c r="L456" s="170">
        <f>18491+táj.2!L456</f>
        <v>18491</v>
      </c>
      <c r="M456" s="170">
        <f>0+táj.2!M456</f>
        <v>0</v>
      </c>
      <c r="N456" s="170">
        <f>0+táj.2!N456</f>
        <v>0</v>
      </c>
      <c r="O456" s="170">
        <f>0+táj.2!O456</f>
        <v>0</v>
      </c>
      <c r="P456" s="170">
        <f>0+táj.2!P456</f>
        <v>0</v>
      </c>
      <c r="Q456" s="170">
        <f t="shared" si="27"/>
        <v>18491</v>
      </c>
    </row>
    <row r="457" spans="1:17" ht="24.75" customHeight="1" x14ac:dyDescent="0.2">
      <c r="A457" s="229"/>
      <c r="B457" s="229"/>
      <c r="C457" s="217" t="s">
        <v>1009</v>
      </c>
      <c r="D457" s="359" t="s">
        <v>1390</v>
      </c>
      <c r="E457" s="610"/>
      <c r="F457" s="170">
        <v>152573</v>
      </c>
      <c r="G457" s="170">
        <f>0+táj.2!G457</f>
        <v>0</v>
      </c>
      <c r="H457" s="170">
        <f>0+táj.2!H457</f>
        <v>0</v>
      </c>
      <c r="I457" s="170">
        <f>0+táj.2!I457</f>
        <v>0</v>
      </c>
      <c r="J457" s="170">
        <f>0+táj.2!J457</f>
        <v>0</v>
      </c>
      <c r="K457" s="170">
        <f>0+táj.2!K457</f>
        <v>0</v>
      </c>
      <c r="L457" s="170">
        <f>2000+táj.2!L457</f>
        <v>2000</v>
      </c>
      <c r="M457" s="170">
        <f>0+táj.2!M457</f>
        <v>0</v>
      </c>
      <c r="N457" s="170">
        <f>0+táj.2!N457</f>
        <v>0</v>
      </c>
      <c r="O457" s="170">
        <f>0+táj.2!O457</f>
        <v>0</v>
      </c>
      <c r="P457" s="170">
        <f>0+táj.2!P457</f>
        <v>0</v>
      </c>
      <c r="Q457" s="170">
        <f t="shared" si="27"/>
        <v>2000</v>
      </c>
    </row>
    <row r="458" spans="1:17" ht="17.100000000000001" customHeight="1" x14ac:dyDescent="0.2">
      <c r="A458" s="229"/>
      <c r="B458" s="229"/>
      <c r="C458" s="217" t="s">
        <v>1010</v>
      </c>
      <c r="D458" s="359" t="s">
        <v>1011</v>
      </c>
      <c r="E458" s="610"/>
      <c r="F458" s="170">
        <v>152948</v>
      </c>
      <c r="G458" s="170">
        <f>0+táj.2!G458</f>
        <v>0</v>
      </c>
      <c r="H458" s="170">
        <f>0+táj.2!H458</f>
        <v>0</v>
      </c>
      <c r="I458" s="170">
        <f>0+táj.2!I458</f>
        <v>0</v>
      </c>
      <c r="J458" s="170">
        <f>0+táj.2!J458</f>
        <v>0</v>
      </c>
      <c r="K458" s="170">
        <f>0+táj.2!K458</f>
        <v>0</v>
      </c>
      <c r="L458" s="170">
        <f>500+táj.2!L458</f>
        <v>500</v>
      </c>
      <c r="M458" s="170">
        <f>0+táj.2!M458</f>
        <v>0</v>
      </c>
      <c r="N458" s="170">
        <f>0+táj.2!N458</f>
        <v>0</v>
      </c>
      <c r="O458" s="170">
        <f>0+táj.2!O458</f>
        <v>0</v>
      </c>
      <c r="P458" s="170">
        <f>0+táj.2!P458</f>
        <v>0</v>
      </c>
      <c r="Q458" s="170">
        <f t="shared" si="27"/>
        <v>500</v>
      </c>
    </row>
    <row r="459" spans="1:17" ht="17.100000000000001" customHeight="1" x14ac:dyDescent="0.2">
      <c r="A459" s="229"/>
      <c r="B459" s="229"/>
      <c r="C459" s="229"/>
      <c r="D459" s="314" t="s">
        <v>502</v>
      </c>
      <c r="E459" s="232"/>
      <c r="F459" s="233"/>
      <c r="G459" s="170"/>
      <c r="H459" s="170"/>
      <c r="I459" s="170"/>
      <c r="J459" s="170"/>
      <c r="K459" s="170"/>
      <c r="L459" s="170"/>
      <c r="M459" s="170"/>
      <c r="N459" s="170"/>
      <c r="O459" s="170"/>
      <c r="P459" s="170"/>
      <c r="Q459" s="170"/>
    </row>
    <row r="460" spans="1:17" ht="17.100000000000001" customHeight="1" x14ac:dyDescent="0.2">
      <c r="A460" s="229"/>
      <c r="B460" s="229"/>
      <c r="C460" s="363" t="s">
        <v>1012</v>
      </c>
      <c r="D460" s="625" t="s">
        <v>1013</v>
      </c>
      <c r="E460" s="358"/>
      <c r="F460" s="170">
        <v>154511</v>
      </c>
      <c r="G460" s="170">
        <f>0+táj.2!G460</f>
        <v>0</v>
      </c>
      <c r="H460" s="170">
        <f>0+táj.2!H460</f>
        <v>0</v>
      </c>
      <c r="I460" s="170">
        <f>514+táj.2!I460</f>
        <v>514</v>
      </c>
      <c r="J460" s="170">
        <f>0+táj.2!J460</f>
        <v>0</v>
      </c>
      <c r="K460" s="170">
        <f>0+táj.2!K460</f>
        <v>0</v>
      </c>
      <c r="L460" s="170">
        <f>0+táj.2!L460</f>
        <v>0</v>
      </c>
      <c r="M460" s="170">
        <f>853+táj.2!M460</f>
        <v>853</v>
      </c>
      <c r="N460" s="170">
        <f>0+táj.2!N460</f>
        <v>0</v>
      </c>
      <c r="O460" s="170">
        <f>0+táj.2!O460</f>
        <v>0</v>
      </c>
      <c r="P460" s="170">
        <f>0+táj.2!P460</f>
        <v>0</v>
      </c>
      <c r="Q460" s="170">
        <f>SUM(G460:P460)</f>
        <v>1367</v>
      </c>
    </row>
    <row r="461" spans="1:17" ht="24" customHeight="1" x14ac:dyDescent="0.2">
      <c r="A461" s="229"/>
      <c r="B461" s="229"/>
      <c r="C461" s="363" t="s">
        <v>1014</v>
      </c>
      <c r="D461" s="171" t="s">
        <v>1015</v>
      </c>
      <c r="E461" s="232"/>
      <c r="F461" s="170">
        <v>152555</v>
      </c>
      <c r="G461" s="170">
        <f>0+táj.2!G461</f>
        <v>0</v>
      </c>
      <c r="H461" s="170">
        <f>0+táj.2!H461</f>
        <v>0</v>
      </c>
      <c r="I461" s="170">
        <f>0+táj.2!I461</f>
        <v>0</v>
      </c>
      <c r="J461" s="170">
        <f>0+táj.2!J461</f>
        <v>0</v>
      </c>
      <c r="K461" s="170">
        <f>0+táj.2!K461</f>
        <v>0</v>
      </c>
      <c r="L461" s="170">
        <f>3304+táj.2!L461</f>
        <v>3304</v>
      </c>
      <c r="M461" s="170">
        <f>0+táj.2!M461</f>
        <v>0</v>
      </c>
      <c r="N461" s="170">
        <f>0+táj.2!N461</f>
        <v>0</v>
      </c>
      <c r="O461" s="170">
        <f>0+táj.2!O461</f>
        <v>0</v>
      </c>
      <c r="P461" s="170">
        <f>0+táj.2!P461</f>
        <v>0</v>
      </c>
      <c r="Q461" s="170">
        <f>SUM(G461:P461)</f>
        <v>3304</v>
      </c>
    </row>
    <row r="462" spans="1:17" ht="17.100000000000001" customHeight="1" x14ac:dyDescent="0.2">
      <c r="A462" s="229"/>
      <c r="B462" s="229"/>
      <c r="C462" s="363" t="s">
        <v>1016</v>
      </c>
      <c r="D462" s="245" t="s">
        <v>1017</v>
      </c>
      <c r="E462" s="622"/>
      <c r="F462" s="170">
        <v>152507</v>
      </c>
      <c r="G462" s="170">
        <f>0+táj.2!G462</f>
        <v>0</v>
      </c>
      <c r="H462" s="170">
        <f>0+táj.2!H462</f>
        <v>0</v>
      </c>
      <c r="I462" s="170">
        <f>0+táj.2!I462</f>
        <v>0</v>
      </c>
      <c r="J462" s="170">
        <f>0+táj.2!J462</f>
        <v>0</v>
      </c>
      <c r="K462" s="170">
        <f>0+táj.2!K462</f>
        <v>0</v>
      </c>
      <c r="L462" s="170">
        <f>1000+táj.2!L462</f>
        <v>1000</v>
      </c>
      <c r="M462" s="170">
        <f>0+táj.2!M462</f>
        <v>0</v>
      </c>
      <c r="N462" s="170">
        <f>0+táj.2!N462</f>
        <v>0</v>
      </c>
      <c r="O462" s="170">
        <f>0+táj.2!O462</f>
        <v>0</v>
      </c>
      <c r="P462" s="170">
        <f>0+táj.2!P462</f>
        <v>0</v>
      </c>
      <c r="Q462" s="170">
        <f>SUM(G462:P462)</f>
        <v>1000</v>
      </c>
    </row>
    <row r="463" spans="1:17" ht="26.25" customHeight="1" x14ac:dyDescent="0.2">
      <c r="A463" s="229"/>
      <c r="B463" s="229"/>
      <c r="C463" s="363" t="s">
        <v>1018</v>
      </c>
      <c r="D463" s="245" t="s">
        <v>1019</v>
      </c>
      <c r="E463" s="622"/>
      <c r="F463" s="170">
        <v>152561</v>
      </c>
      <c r="G463" s="170">
        <f>0+táj.2!G463</f>
        <v>0</v>
      </c>
      <c r="H463" s="170">
        <f>0+táj.2!H463</f>
        <v>0</v>
      </c>
      <c r="I463" s="170">
        <f>0+táj.2!I463</f>
        <v>0</v>
      </c>
      <c r="J463" s="170">
        <f>0+táj.2!J463</f>
        <v>0</v>
      </c>
      <c r="K463" s="170">
        <f>0+táj.2!K463</f>
        <v>0</v>
      </c>
      <c r="L463" s="170">
        <f>0+táj.2!L463</f>
        <v>0</v>
      </c>
      <c r="M463" s="170">
        <f>0+táj.2!M463</f>
        <v>0</v>
      </c>
      <c r="N463" s="170">
        <f>300+táj.2!N463</f>
        <v>300</v>
      </c>
      <c r="O463" s="170">
        <f>0+táj.2!O463</f>
        <v>0</v>
      </c>
      <c r="P463" s="170">
        <f>0+táj.2!P463</f>
        <v>0</v>
      </c>
      <c r="Q463" s="170">
        <f>SUM(G463:P463)</f>
        <v>300</v>
      </c>
    </row>
    <row r="464" spans="1:17" ht="18" customHeight="1" x14ac:dyDescent="0.2">
      <c r="A464" s="229"/>
      <c r="B464" s="229"/>
      <c r="C464" s="363" t="s">
        <v>1020</v>
      </c>
      <c r="D464" s="245" t="s">
        <v>1021</v>
      </c>
      <c r="E464" s="622"/>
      <c r="F464" s="170">
        <v>152562</v>
      </c>
      <c r="G464" s="170">
        <f>0+táj.2!G464</f>
        <v>0</v>
      </c>
      <c r="H464" s="170">
        <f>0+táj.2!H464</f>
        <v>0</v>
      </c>
      <c r="I464" s="170">
        <f>0+táj.2!I464</f>
        <v>0</v>
      </c>
      <c r="J464" s="170">
        <f>0+táj.2!J464</f>
        <v>0</v>
      </c>
      <c r="K464" s="170">
        <f>0+táj.2!K464</f>
        <v>0</v>
      </c>
      <c r="L464" s="170">
        <f>12300+táj.2!L464</f>
        <v>12300</v>
      </c>
      <c r="M464" s="170">
        <f>0+táj.2!M464</f>
        <v>0</v>
      </c>
      <c r="N464" s="170">
        <f>0+táj.2!N464</f>
        <v>0</v>
      </c>
      <c r="O464" s="170">
        <f>0+táj.2!O464</f>
        <v>0</v>
      </c>
      <c r="P464" s="170">
        <f>0+táj.2!P464</f>
        <v>0</v>
      </c>
      <c r="Q464" s="170">
        <f>SUM(G464:P464)</f>
        <v>12300</v>
      </c>
    </row>
    <row r="465" spans="1:17" ht="17.100000000000001" customHeight="1" x14ac:dyDescent="0.2">
      <c r="A465" s="229"/>
      <c r="B465" s="229"/>
      <c r="C465" s="364" t="s">
        <v>116</v>
      </c>
      <c r="D465" s="350" t="s">
        <v>1022</v>
      </c>
      <c r="E465" s="232"/>
      <c r="F465" s="233"/>
      <c r="G465" s="170"/>
      <c r="H465" s="170"/>
      <c r="I465" s="170"/>
      <c r="J465" s="170"/>
      <c r="K465" s="170"/>
      <c r="L465" s="170"/>
      <c r="M465" s="170"/>
      <c r="N465" s="170"/>
      <c r="O465" s="170"/>
      <c r="P465" s="170"/>
      <c r="Q465" s="170"/>
    </row>
    <row r="466" spans="1:17" ht="17.100000000000001" customHeight="1" x14ac:dyDescent="0.2">
      <c r="A466" s="229"/>
      <c r="B466" s="229"/>
      <c r="C466" s="360" t="s">
        <v>117</v>
      </c>
      <c r="D466" s="626" t="s">
        <v>1023</v>
      </c>
      <c r="E466" s="232"/>
      <c r="F466" s="233"/>
      <c r="G466" s="170"/>
      <c r="H466" s="170"/>
      <c r="I466" s="170"/>
      <c r="J466" s="170"/>
      <c r="K466" s="170"/>
      <c r="L466" s="170"/>
      <c r="M466" s="170"/>
      <c r="N466" s="170"/>
      <c r="O466" s="170"/>
      <c r="P466" s="170"/>
      <c r="Q466" s="170"/>
    </row>
    <row r="467" spans="1:17" ht="17.100000000000001" customHeight="1" x14ac:dyDescent="0.2">
      <c r="A467" s="229"/>
      <c r="B467" s="229"/>
      <c r="C467" s="352" t="s">
        <v>1024</v>
      </c>
      <c r="D467" s="365" t="s">
        <v>1025</v>
      </c>
      <c r="E467" s="232"/>
      <c r="F467" s="170">
        <v>152801</v>
      </c>
      <c r="G467" s="170">
        <f>0+táj.2!G467</f>
        <v>0</v>
      </c>
      <c r="H467" s="170">
        <f>0+táj.2!H467</f>
        <v>0</v>
      </c>
      <c r="I467" s="170">
        <f>0+táj.2!I467</f>
        <v>0</v>
      </c>
      <c r="J467" s="170">
        <f>0+táj.2!J467</f>
        <v>0</v>
      </c>
      <c r="K467" s="170">
        <f>0+táj.2!K467</f>
        <v>0</v>
      </c>
      <c r="L467" s="170">
        <f>800+táj.2!L467</f>
        <v>800</v>
      </c>
      <c r="M467" s="170">
        <f>0+táj.2!M467</f>
        <v>0</v>
      </c>
      <c r="N467" s="170">
        <f>0+táj.2!N467</f>
        <v>0</v>
      </c>
      <c r="O467" s="170">
        <f>0+táj.2!O467</f>
        <v>0</v>
      </c>
      <c r="P467" s="170">
        <f>0+táj.2!P467</f>
        <v>0</v>
      </c>
      <c r="Q467" s="170">
        <f>SUM(G467:P467)</f>
        <v>800</v>
      </c>
    </row>
    <row r="468" spans="1:17" ht="17.100000000000001" customHeight="1" x14ac:dyDescent="0.2">
      <c r="A468" s="229"/>
      <c r="B468" s="229"/>
      <c r="C468" s="366" t="s">
        <v>118</v>
      </c>
      <c r="D468" s="627" t="s">
        <v>1026</v>
      </c>
      <c r="E468" s="358"/>
      <c r="F468" s="170"/>
      <c r="G468" s="170"/>
      <c r="H468" s="170"/>
      <c r="I468" s="170"/>
      <c r="J468" s="170"/>
      <c r="K468" s="170"/>
      <c r="L468" s="170"/>
      <c r="M468" s="170"/>
      <c r="N468" s="170"/>
      <c r="O468" s="170"/>
      <c r="P468" s="170"/>
      <c r="Q468" s="170"/>
    </row>
    <row r="469" spans="1:17" ht="17.100000000000001" customHeight="1" x14ac:dyDescent="0.2">
      <c r="A469" s="229"/>
      <c r="B469" s="229"/>
      <c r="C469" s="367" t="s">
        <v>1027</v>
      </c>
      <c r="D469" s="329" t="s">
        <v>1028</v>
      </c>
      <c r="E469" s="358"/>
      <c r="F469" s="170">
        <v>154921</v>
      </c>
      <c r="G469" s="170">
        <f>0+táj.2!G469</f>
        <v>0</v>
      </c>
      <c r="H469" s="170">
        <f>0+táj.2!H469</f>
        <v>0</v>
      </c>
      <c r="I469" s="170">
        <f>0+táj.2!I469</f>
        <v>0</v>
      </c>
      <c r="J469" s="170">
        <f>0+táj.2!J469</f>
        <v>0</v>
      </c>
      <c r="K469" s="170">
        <f>0+táj.2!K469</f>
        <v>0</v>
      </c>
      <c r="L469" s="170">
        <f>0+táj.2!L469</f>
        <v>0</v>
      </c>
      <c r="M469" s="170">
        <f>0+táj.2!M469</f>
        <v>0</v>
      </c>
      <c r="N469" s="170">
        <f>700+táj.2!N469</f>
        <v>700</v>
      </c>
      <c r="O469" s="170">
        <f>0+táj.2!O469</f>
        <v>0</v>
      </c>
      <c r="P469" s="170">
        <f>0+táj.2!P469</f>
        <v>0</v>
      </c>
      <c r="Q469" s="170">
        <f>SUM(G469:P469)</f>
        <v>700</v>
      </c>
    </row>
    <row r="470" spans="1:17" ht="17.100000000000001" customHeight="1" x14ac:dyDescent="0.2">
      <c r="A470" s="229"/>
      <c r="B470" s="229"/>
      <c r="C470" s="367" t="s">
        <v>1029</v>
      </c>
      <c r="D470" s="329" t="s">
        <v>1030</v>
      </c>
      <c r="E470" s="358"/>
      <c r="F470" s="462">
        <v>152947</v>
      </c>
      <c r="G470" s="170">
        <f>0+táj.2!G470</f>
        <v>0</v>
      </c>
      <c r="H470" s="170">
        <f>0+táj.2!H470</f>
        <v>0</v>
      </c>
      <c r="I470" s="170">
        <f>0+táj.2!I470</f>
        <v>0</v>
      </c>
      <c r="J470" s="170">
        <f>0+táj.2!J470</f>
        <v>0</v>
      </c>
      <c r="K470" s="170">
        <f>0+táj.2!K470</f>
        <v>0</v>
      </c>
      <c r="L470" s="170">
        <f>3000+táj.2!L470</f>
        <v>3000</v>
      </c>
      <c r="M470" s="170">
        <f>0+táj.2!M470</f>
        <v>0</v>
      </c>
      <c r="N470" s="170">
        <f>0+táj.2!N470</f>
        <v>0</v>
      </c>
      <c r="O470" s="170">
        <f>0+táj.2!O470</f>
        <v>0</v>
      </c>
      <c r="P470" s="170">
        <f>0+táj.2!P470</f>
        <v>0</v>
      </c>
      <c r="Q470" s="170">
        <f>SUM(G470:P470)</f>
        <v>3000</v>
      </c>
    </row>
    <row r="471" spans="1:17" ht="17.100000000000001" customHeight="1" x14ac:dyDescent="0.2">
      <c r="A471" s="229"/>
      <c r="B471" s="229"/>
      <c r="C471" s="284"/>
      <c r="D471" s="314" t="s">
        <v>502</v>
      </c>
      <c r="E471" s="358"/>
      <c r="F471" s="170"/>
      <c r="G471" s="170"/>
      <c r="H471" s="170"/>
      <c r="I471" s="170"/>
      <c r="J471" s="170"/>
      <c r="K471" s="170"/>
      <c r="L471" s="170"/>
      <c r="M471" s="170"/>
      <c r="N471" s="170"/>
      <c r="O471" s="170"/>
      <c r="P471" s="170"/>
      <c r="Q471" s="170"/>
    </row>
    <row r="472" spans="1:17" ht="17.100000000000001" customHeight="1" x14ac:dyDescent="0.2">
      <c r="A472" s="229"/>
      <c r="B472" s="229"/>
      <c r="C472" s="217" t="s">
        <v>1031</v>
      </c>
      <c r="D472" s="368" t="s">
        <v>1034</v>
      </c>
      <c r="E472" s="230"/>
      <c r="F472" s="170">
        <v>152937</v>
      </c>
      <c r="G472" s="170">
        <f>0+táj.2!G472</f>
        <v>0</v>
      </c>
      <c r="H472" s="170">
        <f>0+táj.2!H472</f>
        <v>0</v>
      </c>
      <c r="I472" s="170">
        <f>195+táj.2!I472</f>
        <v>195</v>
      </c>
      <c r="J472" s="170">
        <f>0+táj.2!J472</f>
        <v>0</v>
      </c>
      <c r="K472" s="170">
        <f>0+táj.2!K472</f>
        <v>0</v>
      </c>
      <c r="L472" s="170">
        <f>26206+táj.2!L472</f>
        <v>26206</v>
      </c>
      <c r="M472" s="170">
        <f>0+táj.2!M472</f>
        <v>0</v>
      </c>
      <c r="N472" s="170">
        <f>0+táj.2!N472</f>
        <v>0</v>
      </c>
      <c r="O472" s="170">
        <f>0+táj.2!O472</f>
        <v>0</v>
      </c>
      <c r="P472" s="170">
        <f>0+táj.2!P472</f>
        <v>0</v>
      </c>
      <c r="Q472" s="170">
        <f t="shared" ref="Q472:Q477" si="28">SUM(G472:P472)</f>
        <v>26401</v>
      </c>
    </row>
    <row r="473" spans="1:17" ht="17.100000000000001" customHeight="1" x14ac:dyDescent="0.2">
      <c r="A473" s="229"/>
      <c r="B473" s="229"/>
      <c r="C473" s="217" t="s">
        <v>1033</v>
      </c>
      <c r="D473" s="245" t="s">
        <v>1036</v>
      </c>
      <c r="E473" s="610"/>
      <c r="F473" s="170">
        <v>152942</v>
      </c>
      <c r="G473" s="170">
        <f>0+táj.2!G473</f>
        <v>0</v>
      </c>
      <c r="H473" s="170">
        <f>0+táj.2!H473</f>
        <v>0</v>
      </c>
      <c r="I473" s="170">
        <f>7460+táj.2!I473</f>
        <v>15806</v>
      </c>
      <c r="J473" s="170">
        <f>0+táj.2!J473</f>
        <v>0</v>
      </c>
      <c r="K473" s="170">
        <f>0+táj.2!K473</f>
        <v>0</v>
      </c>
      <c r="L473" s="170">
        <f>5000+táj.2!L473</f>
        <v>0</v>
      </c>
      <c r="M473" s="170">
        <f>0+táj.2!M473</f>
        <v>0</v>
      </c>
      <c r="N473" s="170">
        <f>0+táj.2!N473</f>
        <v>0</v>
      </c>
      <c r="O473" s="170">
        <f>0+táj.2!O473</f>
        <v>0</v>
      </c>
      <c r="P473" s="170">
        <f>0+táj.2!P473</f>
        <v>0</v>
      </c>
      <c r="Q473" s="170">
        <f t="shared" si="28"/>
        <v>15806</v>
      </c>
    </row>
    <row r="474" spans="1:17" ht="26.25" customHeight="1" x14ac:dyDescent="0.2">
      <c r="A474" s="229"/>
      <c r="B474" s="229"/>
      <c r="C474" s="217" t="s">
        <v>1035</v>
      </c>
      <c r="D474" s="245" t="s">
        <v>1038</v>
      </c>
      <c r="E474" s="610"/>
      <c r="F474" s="170">
        <v>152940</v>
      </c>
      <c r="G474" s="170">
        <f>0+táj.2!G474</f>
        <v>0</v>
      </c>
      <c r="H474" s="170">
        <f>0+táj.2!H474</f>
        <v>0</v>
      </c>
      <c r="I474" s="170">
        <f>0+táj.2!I474</f>
        <v>0</v>
      </c>
      <c r="J474" s="170">
        <f>0+táj.2!J474</f>
        <v>0</v>
      </c>
      <c r="K474" s="170">
        <f>0+táj.2!K474</f>
        <v>0</v>
      </c>
      <c r="L474" s="170">
        <f>0+táj.2!L474</f>
        <v>0</v>
      </c>
      <c r="M474" s="170">
        <f>0+táj.2!M474</f>
        <v>0</v>
      </c>
      <c r="N474" s="170">
        <f>0+táj.2!N474</f>
        <v>0</v>
      </c>
      <c r="O474" s="170">
        <f>0+táj.2!O474</f>
        <v>0</v>
      </c>
      <c r="P474" s="170">
        <f>0+táj.2!P474</f>
        <v>0</v>
      </c>
      <c r="Q474" s="170">
        <f t="shared" si="28"/>
        <v>0</v>
      </c>
    </row>
    <row r="475" spans="1:17" ht="17.25" customHeight="1" x14ac:dyDescent="0.2">
      <c r="A475" s="229"/>
      <c r="B475" s="229"/>
      <c r="C475" s="217" t="s">
        <v>1037</v>
      </c>
      <c r="D475" s="245" t="s">
        <v>1040</v>
      </c>
      <c r="E475" s="610"/>
      <c r="F475" s="170">
        <v>152944</v>
      </c>
      <c r="G475" s="170">
        <f>0+táj.2!G475</f>
        <v>0</v>
      </c>
      <c r="H475" s="170">
        <f>0+táj.2!H475</f>
        <v>0</v>
      </c>
      <c r="I475" s="170">
        <f>0+táj.2!I475</f>
        <v>0</v>
      </c>
      <c r="J475" s="170">
        <f>0+táj.2!J475</f>
        <v>0</v>
      </c>
      <c r="K475" s="170">
        <f>0+táj.2!K475</f>
        <v>0</v>
      </c>
      <c r="L475" s="170">
        <f>1333+táj.2!L475</f>
        <v>1333</v>
      </c>
      <c r="M475" s="170">
        <f>0+táj.2!M475</f>
        <v>0</v>
      </c>
      <c r="N475" s="170">
        <f>0+táj.2!N475</f>
        <v>0</v>
      </c>
      <c r="O475" s="170">
        <f>0+táj.2!O475</f>
        <v>0</v>
      </c>
      <c r="P475" s="170">
        <f>0+táj.2!P475</f>
        <v>0</v>
      </c>
      <c r="Q475" s="170">
        <f t="shared" si="28"/>
        <v>1333</v>
      </c>
    </row>
    <row r="476" spans="1:17" ht="19.5" customHeight="1" x14ac:dyDescent="0.2">
      <c r="A476" s="229"/>
      <c r="B476" s="229"/>
      <c r="C476" s="217" t="s">
        <v>1039</v>
      </c>
      <c r="D476" s="245" t="s">
        <v>1042</v>
      </c>
      <c r="E476" s="610"/>
      <c r="F476" s="170">
        <v>154918</v>
      </c>
      <c r="G476" s="170">
        <f>0+táj.2!G476</f>
        <v>0</v>
      </c>
      <c r="H476" s="170">
        <f>0+táj.2!H476</f>
        <v>0</v>
      </c>
      <c r="I476" s="170">
        <f>0+táj.2!I476</f>
        <v>0</v>
      </c>
      <c r="J476" s="170">
        <f>0+táj.2!J476</f>
        <v>0</v>
      </c>
      <c r="K476" s="170">
        <f>0+táj.2!K476</f>
        <v>0</v>
      </c>
      <c r="L476" s="170">
        <f>0+táj.2!L476</f>
        <v>0</v>
      </c>
      <c r="M476" s="170">
        <f>0+táj.2!M476</f>
        <v>0</v>
      </c>
      <c r="N476" s="170">
        <f>0+táj.2!N476</f>
        <v>0</v>
      </c>
      <c r="O476" s="170">
        <f>0+táj.2!O476</f>
        <v>0</v>
      </c>
      <c r="P476" s="170">
        <f>0+táj.2!P476</f>
        <v>0</v>
      </c>
      <c r="Q476" s="170">
        <f t="shared" si="28"/>
        <v>0</v>
      </c>
    </row>
    <row r="477" spans="1:17" ht="18" customHeight="1" x14ac:dyDescent="0.2">
      <c r="A477" s="229"/>
      <c r="B477" s="229"/>
      <c r="C477" s="217" t="s">
        <v>1041</v>
      </c>
      <c r="D477" s="245" t="s">
        <v>1044</v>
      </c>
      <c r="E477" s="610"/>
      <c r="F477" s="170">
        <v>152946</v>
      </c>
      <c r="G477" s="170">
        <f>0+táj.2!G477</f>
        <v>0</v>
      </c>
      <c r="H477" s="170">
        <f>0+táj.2!H477</f>
        <v>0</v>
      </c>
      <c r="I477" s="170">
        <f>0+táj.2!I477</f>
        <v>0</v>
      </c>
      <c r="J477" s="170">
        <f>0+táj.2!J477</f>
        <v>0</v>
      </c>
      <c r="K477" s="170">
        <f>0+táj.2!K477</f>
        <v>0</v>
      </c>
      <c r="L477" s="170">
        <f>9998+táj.2!L477</f>
        <v>9998</v>
      </c>
      <c r="M477" s="170">
        <f>0+táj.2!M477</f>
        <v>0</v>
      </c>
      <c r="N477" s="170">
        <f>0+táj.2!N477</f>
        <v>0</v>
      </c>
      <c r="O477" s="170">
        <f>0+táj.2!O477</f>
        <v>0</v>
      </c>
      <c r="P477" s="170">
        <f>0+táj.2!P477</f>
        <v>0</v>
      </c>
      <c r="Q477" s="170">
        <f t="shared" si="28"/>
        <v>9998</v>
      </c>
    </row>
    <row r="478" spans="1:17" ht="20.25" customHeight="1" x14ac:dyDescent="0.2">
      <c r="A478" s="223"/>
      <c r="B478" s="223"/>
      <c r="C478" s="224"/>
      <c r="D478" s="182" t="s">
        <v>1045</v>
      </c>
      <c r="E478" s="227"/>
      <c r="F478" s="227"/>
      <c r="G478" s="227">
        <f t="shared" ref="G478:Q478" si="29">SUM(G351:G477)</f>
        <v>7842</v>
      </c>
      <c r="H478" s="227">
        <f t="shared" si="29"/>
        <v>1350</v>
      </c>
      <c r="I478" s="227">
        <f t="shared" si="29"/>
        <v>1796202</v>
      </c>
      <c r="J478" s="227">
        <f t="shared" si="29"/>
        <v>0</v>
      </c>
      <c r="K478" s="227">
        <f t="shared" si="29"/>
        <v>438298</v>
      </c>
      <c r="L478" s="227">
        <f t="shared" si="29"/>
        <v>153682</v>
      </c>
      <c r="M478" s="227">
        <f t="shared" si="29"/>
        <v>56674</v>
      </c>
      <c r="N478" s="227">
        <f t="shared" si="29"/>
        <v>3000</v>
      </c>
      <c r="O478" s="227">
        <f t="shared" si="29"/>
        <v>0</v>
      </c>
      <c r="P478" s="227">
        <f t="shared" si="29"/>
        <v>0</v>
      </c>
      <c r="Q478" s="227">
        <f t="shared" si="29"/>
        <v>2457048</v>
      </c>
    </row>
    <row r="479" spans="1:17" ht="15" customHeight="1" x14ac:dyDescent="0.2">
      <c r="A479" s="197">
        <v>1</v>
      </c>
      <c r="B479" s="197">
        <v>16</v>
      </c>
      <c r="C479" s="217"/>
      <c r="D479" s="307" t="s">
        <v>1046</v>
      </c>
      <c r="E479" s="230"/>
      <c r="F479" s="170"/>
      <c r="G479" s="170"/>
      <c r="H479" s="202"/>
      <c r="I479" s="202"/>
      <c r="J479" s="202"/>
      <c r="K479" s="202"/>
      <c r="L479" s="202"/>
      <c r="M479" s="170"/>
      <c r="N479" s="170"/>
      <c r="O479" s="170"/>
      <c r="P479" s="170"/>
      <c r="Q479" s="170"/>
    </row>
    <row r="480" spans="1:17" ht="15" customHeight="1" x14ac:dyDescent="0.2">
      <c r="A480" s="683"/>
      <c r="B480" s="683"/>
      <c r="C480" s="684"/>
      <c r="D480" s="177" t="s">
        <v>342</v>
      </c>
      <c r="E480" s="230"/>
      <c r="F480" s="170"/>
      <c r="G480" s="170"/>
      <c r="H480" s="202"/>
      <c r="I480" s="202"/>
      <c r="J480" s="202"/>
      <c r="K480" s="202"/>
      <c r="L480" s="202"/>
      <c r="M480" s="170"/>
      <c r="N480" s="170"/>
      <c r="O480" s="170"/>
      <c r="P480" s="170"/>
      <c r="Q480" s="170"/>
    </row>
    <row r="481" spans="1:17" ht="15" customHeight="1" x14ac:dyDescent="0.2">
      <c r="A481" s="197"/>
      <c r="B481" s="197"/>
      <c r="C481" s="217"/>
      <c r="D481" s="314" t="s">
        <v>1047</v>
      </c>
      <c r="E481" s="170">
        <v>2</v>
      </c>
      <c r="F481" s="170">
        <v>161910</v>
      </c>
      <c r="G481" s="170">
        <f>0+táj.2!G481</f>
        <v>0</v>
      </c>
      <c r="H481" s="170">
        <f>0+táj.2!H481</f>
        <v>0</v>
      </c>
      <c r="I481" s="170">
        <f>2250+táj.2!I481</f>
        <v>2250</v>
      </c>
      <c r="J481" s="170">
        <f>0+táj.2!J481</f>
        <v>0</v>
      </c>
      <c r="K481" s="170">
        <f>0+táj.2!K481</f>
        <v>0</v>
      </c>
      <c r="L481" s="170">
        <f>0+táj.2!L481</f>
        <v>0</v>
      </c>
      <c r="M481" s="170">
        <f>0+táj.2!M481</f>
        <v>0</v>
      </c>
      <c r="N481" s="170">
        <f>0+táj.2!N481</f>
        <v>0</v>
      </c>
      <c r="O481" s="170">
        <f>0+táj.2!O481</f>
        <v>0</v>
      </c>
      <c r="P481" s="170">
        <f>0+táj.2!P481</f>
        <v>0</v>
      </c>
      <c r="Q481" s="170">
        <f t="shared" ref="Q481:Q487" si="30">SUM(G481:P481)</f>
        <v>2250</v>
      </c>
    </row>
    <row r="482" spans="1:17" ht="15" customHeight="1" x14ac:dyDescent="0.2">
      <c r="A482" s="197"/>
      <c r="B482" s="197"/>
      <c r="C482" s="217"/>
      <c r="D482" s="314" t="s">
        <v>1048</v>
      </c>
      <c r="E482" s="170">
        <v>1</v>
      </c>
      <c r="F482" s="170">
        <v>161908</v>
      </c>
      <c r="G482" s="170">
        <f>0+táj.2!G482</f>
        <v>0</v>
      </c>
      <c r="H482" s="170">
        <f>0+táj.2!H482</f>
        <v>0</v>
      </c>
      <c r="I482" s="170">
        <f>5983+táj.2!I482</f>
        <v>5233</v>
      </c>
      <c r="J482" s="170">
        <f>0+táj.2!J482</f>
        <v>0</v>
      </c>
      <c r="K482" s="170">
        <f>0+táj.2!K482</f>
        <v>0</v>
      </c>
      <c r="L482" s="170">
        <f>0+táj.2!L482</f>
        <v>0</v>
      </c>
      <c r="M482" s="170">
        <f>0+táj.2!M482</f>
        <v>0</v>
      </c>
      <c r="N482" s="170">
        <f>0+táj.2!N482</f>
        <v>0</v>
      </c>
      <c r="O482" s="170">
        <f>0+táj.2!O482</f>
        <v>0</v>
      </c>
      <c r="P482" s="170">
        <f>0+táj.2!P482</f>
        <v>0</v>
      </c>
      <c r="Q482" s="170">
        <f t="shared" si="30"/>
        <v>5233</v>
      </c>
    </row>
    <row r="483" spans="1:17" ht="29.25" customHeight="1" x14ac:dyDescent="0.2">
      <c r="A483" s="197"/>
      <c r="B483" s="197"/>
      <c r="C483" s="217"/>
      <c r="D483" s="172" t="s">
        <v>1049</v>
      </c>
      <c r="E483" s="170">
        <v>2</v>
      </c>
      <c r="F483" s="170">
        <v>161911</v>
      </c>
      <c r="G483" s="170">
        <f>0+táj.2!G483</f>
        <v>0</v>
      </c>
      <c r="H483" s="170">
        <f>0+táj.2!H483</f>
        <v>0</v>
      </c>
      <c r="I483" s="170">
        <f>6217+táj.2!I483</f>
        <v>6490</v>
      </c>
      <c r="J483" s="170">
        <f>0+táj.2!J483</f>
        <v>0</v>
      </c>
      <c r="K483" s="170">
        <f>0+táj.2!K483</f>
        <v>0</v>
      </c>
      <c r="L483" s="170">
        <f>0+táj.2!L483</f>
        <v>0</v>
      </c>
      <c r="M483" s="170">
        <f>300+táj.2!M483</f>
        <v>300</v>
      </c>
      <c r="N483" s="170">
        <f>0+táj.2!N483</f>
        <v>0</v>
      </c>
      <c r="O483" s="170">
        <f>0+táj.2!O483</f>
        <v>0</v>
      </c>
      <c r="P483" s="170">
        <f>0+táj.2!P483</f>
        <v>0</v>
      </c>
      <c r="Q483" s="170">
        <f t="shared" si="30"/>
        <v>6790</v>
      </c>
    </row>
    <row r="484" spans="1:17" ht="24" customHeight="1" x14ac:dyDescent="0.2">
      <c r="A484" s="197"/>
      <c r="B484" s="197"/>
      <c r="C484" s="217"/>
      <c r="D484" s="171" t="s">
        <v>1050</v>
      </c>
      <c r="E484" s="170">
        <v>2</v>
      </c>
      <c r="F484" s="170">
        <v>161904</v>
      </c>
      <c r="G484" s="170">
        <f>0+táj.2!G484</f>
        <v>0</v>
      </c>
      <c r="H484" s="170">
        <f>0+táj.2!H484</f>
        <v>0</v>
      </c>
      <c r="I484" s="170">
        <f>4572+táj.2!I484</f>
        <v>4572</v>
      </c>
      <c r="J484" s="170">
        <f>0+táj.2!J484</f>
        <v>0</v>
      </c>
      <c r="K484" s="170">
        <f>0+táj.2!K484</f>
        <v>0</v>
      </c>
      <c r="L484" s="170">
        <f>0+táj.2!L484</f>
        <v>0</v>
      </c>
      <c r="M484" s="170">
        <f>0+táj.2!M484</f>
        <v>0</v>
      </c>
      <c r="N484" s="170">
        <f>0+táj.2!N484</f>
        <v>0</v>
      </c>
      <c r="O484" s="170">
        <f>0+táj.2!O484</f>
        <v>0</v>
      </c>
      <c r="P484" s="170">
        <f>0+táj.2!P484</f>
        <v>0</v>
      </c>
      <c r="Q484" s="170">
        <f t="shared" si="30"/>
        <v>4572</v>
      </c>
    </row>
    <row r="485" spans="1:17" ht="24" customHeight="1" x14ac:dyDescent="0.2">
      <c r="A485" s="197"/>
      <c r="B485" s="197"/>
      <c r="C485" s="217"/>
      <c r="D485" s="172" t="s">
        <v>1051</v>
      </c>
      <c r="E485" s="213">
        <v>2</v>
      </c>
      <c r="F485" s="170">
        <v>161903</v>
      </c>
      <c r="G485" s="170">
        <f>0+táj.2!G485</f>
        <v>0</v>
      </c>
      <c r="H485" s="170">
        <f>0+táj.2!H485</f>
        <v>0</v>
      </c>
      <c r="I485" s="170">
        <f>765+táj.2!I485</f>
        <v>765</v>
      </c>
      <c r="J485" s="170">
        <f>0+táj.2!J485</f>
        <v>0</v>
      </c>
      <c r="K485" s="170">
        <f>0+táj.2!K485</f>
        <v>0</v>
      </c>
      <c r="L485" s="170">
        <f>0+táj.2!L485</f>
        <v>0</v>
      </c>
      <c r="M485" s="170">
        <f>0+táj.2!M485</f>
        <v>0</v>
      </c>
      <c r="N485" s="170">
        <f>0+táj.2!N485</f>
        <v>0</v>
      </c>
      <c r="O485" s="170">
        <f>0+táj.2!O485</f>
        <v>0</v>
      </c>
      <c r="P485" s="170">
        <f>0+táj.2!P485</f>
        <v>0</v>
      </c>
      <c r="Q485" s="170">
        <f t="shared" si="30"/>
        <v>765</v>
      </c>
    </row>
    <row r="486" spans="1:17" ht="24" customHeight="1" x14ac:dyDescent="0.2">
      <c r="A486" s="197"/>
      <c r="B486" s="197"/>
      <c r="C486" s="217"/>
      <c r="D486" s="172" t="s">
        <v>1052</v>
      </c>
      <c r="E486" s="170">
        <v>1</v>
      </c>
      <c r="F486" s="170">
        <v>161912</v>
      </c>
      <c r="G486" s="170">
        <f>0+táj.2!G486</f>
        <v>0</v>
      </c>
      <c r="H486" s="170">
        <f>0+táj.2!H486</f>
        <v>0</v>
      </c>
      <c r="I486" s="170">
        <f>0+táj.2!I486</f>
        <v>0</v>
      </c>
      <c r="J486" s="170">
        <f>0+táj.2!J486</f>
        <v>0</v>
      </c>
      <c r="K486" s="170">
        <f>0+táj.2!K486</f>
        <v>0</v>
      </c>
      <c r="L486" s="170">
        <f>0+táj.2!L486</f>
        <v>0</v>
      </c>
      <c r="M486" s="170">
        <f>0+táj.2!M486</f>
        <v>0</v>
      </c>
      <c r="N486" s="170">
        <f>0+táj.2!N486</f>
        <v>0</v>
      </c>
      <c r="O486" s="170">
        <f>0+táj.2!O486</f>
        <v>0</v>
      </c>
      <c r="P486" s="170">
        <f>0+táj.2!P486</f>
        <v>0</v>
      </c>
      <c r="Q486" s="170">
        <f t="shared" si="30"/>
        <v>0</v>
      </c>
    </row>
    <row r="487" spans="1:17" ht="19.5" customHeight="1" x14ac:dyDescent="0.2">
      <c r="A487" s="197"/>
      <c r="B487" s="197"/>
      <c r="C487" s="217"/>
      <c r="D487" s="333" t="s">
        <v>762</v>
      </c>
      <c r="E487" s="334">
        <v>1</v>
      </c>
      <c r="F487" s="250">
        <v>151919</v>
      </c>
      <c r="G487" s="170">
        <f>0+táj.2!G487</f>
        <v>0</v>
      </c>
      <c r="H487" s="170">
        <f>0+táj.2!H487</f>
        <v>0</v>
      </c>
      <c r="I487" s="170">
        <f>1410+táj.2!I487</f>
        <v>1410</v>
      </c>
      <c r="J487" s="170">
        <f>0+táj.2!J487</f>
        <v>0</v>
      </c>
      <c r="K487" s="170">
        <f>0+táj.2!K487</f>
        <v>0</v>
      </c>
      <c r="L487" s="170">
        <f>0+táj.2!L487</f>
        <v>0</v>
      </c>
      <c r="M487" s="170">
        <f>0+táj.2!M487</f>
        <v>0</v>
      </c>
      <c r="N487" s="170">
        <f>0+táj.2!N487</f>
        <v>0</v>
      </c>
      <c r="O487" s="170">
        <f>0+táj.2!O487</f>
        <v>0</v>
      </c>
      <c r="P487" s="170">
        <f>0+táj.2!P487</f>
        <v>0</v>
      </c>
      <c r="Q487" s="170">
        <f t="shared" si="30"/>
        <v>1410</v>
      </c>
    </row>
    <row r="488" spans="1:17" ht="14.1" customHeight="1" x14ac:dyDescent="0.2">
      <c r="A488" s="197"/>
      <c r="B488" s="197"/>
      <c r="C488" s="217"/>
      <c r="D488" s="325" t="s">
        <v>356</v>
      </c>
      <c r="E488" s="370"/>
      <c r="F488" s="170"/>
      <c r="G488" s="170"/>
      <c r="H488" s="202"/>
      <c r="I488" s="202"/>
      <c r="J488" s="202"/>
      <c r="K488" s="202"/>
      <c r="L488" s="202"/>
      <c r="M488" s="170"/>
      <c r="N488" s="170"/>
      <c r="O488" s="170"/>
      <c r="P488" s="170"/>
      <c r="Q488" s="170"/>
    </row>
    <row r="489" spans="1:17" ht="14.1" customHeight="1" x14ac:dyDescent="0.2">
      <c r="A489" s="197"/>
      <c r="B489" s="197"/>
      <c r="C489" s="217"/>
      <c r="D489" s="371" t="s">
        <v>1053</v>
      </c>
      <c r="E489" s="170">
        <v>2</v>
      </c>
      <c r="F489" s="170">
        <v>151606</v>
      </c>
      <c r="G489" s="170">
        <f>0+táj.2!G489</f>
        <v>0</v>
      </c>
      <c r="H489" s="170">
        <f>0+táj.2!H489</f>
        <v>0</v>
      </c>
      <c r="I489" s="170">
        <f>0+táj.2!I489</f>
        <v>0</v>
      </c>
      <c r="J489" s="170">
        <f>0+táj.2!J489</f>
        <v>0</v>
      </c>
      <c r="K489" s="170">
        <f>980+táj.2!K489</f>
        <v>980</v>
      </c>
      <c r="L489" s="170">
        <f>0+táj.2!L489</f>
        <v>0</v>
      </c>
      <c r="M489" s="170">
        <f>0+táj.2!M489</f>
        <v>0</v>
      </c>
      <c r="N489" s="170">
        <f>0+táj.2!N489</f>
        <v>0</v>
      </c>
      <c r="O489" s="170">
        <f>0+táj.2!O489</f>
        <v>0</v>
      </c>
      <c r="P489" s="170">
        <f>0+táj.2!P489</f>
        <v>0</v>
      </c>
      <c r="Q489" s="170">
        <f>SUM(G489:P489)</f>
        <v>980</v>
      </c>
    </row>
    <row r="490" spans="1:17" ht="16.5" customHeight="1" x14ac:dyDescent="0.2">
      <c r="A490" s="197"/>
      <c r="B490" s="197"/>
      <c r="C490" s="217"/>
      <c r="D490" s="325" t="s">
        <v>790</v>
      </c>
      <c r="E490" s="372"/>
      <c r="F490" s="170"/>
      <c r="G490" s="170"/>
      <c r="H490" s="202"/>
      <c r="I490" s="202"/>
      <c r="J490" s="202"/>
      <c r="K490" s="202"/>
      <c r="L490" s="202"/>
      <c r="M490" s="170"/>
      <c r="N490" s="170"/>
      <c r="O490" s="170"/>
      <c r="P490" s="170"/>
      <c r="Q490" s="170"/>
    </row>
    <row r="491" spans="1:17" ht="25.5" customHeight="1" x14ac:dyDescent="0.2">
      <c r="A491" s="197"/>
      <c r="B491" s="197"/>
      <c r="C491" s="217"/>
      <c r="D491" s="171" t="s">
        <v>1459</v>
      </c>
      <c r="E491" s="170">
        <v>2</v>
      </c>
      <c r="F491" s="170">
        <v>151203</v>
      </c>
      <c r="G491" s="170">
        <f>0+táj.2!G491</f>
        <v>0</v>
      </c>
      <c r="H491" s="170">
        <f>0+táj.2!H491</f>
        <v>0</v>
      </c>
      <c r="I491" s="170">
        <f>10785+táj.2!I491</f>
        <v>10785</v>
      </c>
      <c r="J491" s="170">
        <f>0+táj.2!J491</f>
        <v>0</v>
      </c>
      <c r="K491" s="170">
        <f>0+táj.2!K491</f>
        <v>0</v>
      </c>
      <c r="L491" s="170">
        <f>0+táj.2!L491</f>
        <v>0</v>
      </c>
      <c r="M491" s="170">
        <f>0+táj.2!M491</f>
        <v>0</v>
      </c>
      <c r="N491" s="170">
        <f>0+táj.2!N491</f>
        <v>0</v>
      </c>
      <c r="O491" s="170">
        <f>0+táj.2!O491</f>
        <v>0</v>
      </c>
      <c r="P491" s="170">
        <f>0+táj.2!P491</f>
        <v>0</v>
      </c>
      <c r="Q491" s="170">
        <f>SUM(G491:P491)</f>
        <v>10785</v>
      </c>
    </row>
    <row r="492" spans="1:17" ht="14.1" customHeight="1" x14ac:dyDescent="0.2">
      <c r="A492" s="373"/>
      <c r="B492" s="373"/>
      <c r="C492" s="374"/>
      <c r="D492" s="339" t="s">
        <v>1054</v>
      </c>
      <c r="E492" s="315"/>
      <c r="F492" s="317"/>
      <c r="G492" s="317">
        <f t="shared" ref="G492:Q492" si="31">SUM(G481:G491)</f>
        <v>0</v>
      </c>
      <c r="H492" s="317">
        <f t="shared" si="31"/>
        <v>0</v>
      </c>
      <c r="I492" s="317">
        <f t="shared" si="31"/>
        <v>31505</v>
      </c>
      <c r="J492" s="317">
        <f t="shared" si="31"/>
        <v>0</v>
      </c>
      <c r="K492" s="317">
        <f t="shared" si="31"/>
        <v>980</v>
      </c>
      <c r="L492" s="317">
        <f t="shared" si="31"/>
        <v>0</v>
      </c>
      <c r="M492" s="317">
        <f t="shared" si="31"/>
        <v>300</v>
      </c>
      <c r="N492" s="317">
        <f t="shared" si="31"/>
        <v>0</v>
      </c>
      <c r="O492" s="317">
        <f t="shared" si="31"/>
        <v>0</v>
      </c>
      <c r="P492" s="317">
        <f t="shared" si="31"/>
        <v>0</v>
      </c>
      <c r="Q492" s="317">
        <f t="shared" si="31"/>
        <v>32785</v>
      </c>
    </row>
    <row r="493" spans="1:17" ht="14.1" customHeight="1" x14ac:dyDescent="0.2">
      <c r="A493" s="197"/>
      <c r="B493" s="197"/>
      <c r="C493" s="217"/>
      <c r="D493" s="318" t="s">
        <v>1055</v>
      </c>
      <c r="E493" s="230"/>
      <c r="F493" s="170"/>
      <c r="G493" s="202"/>
      <c r="H493" s="202"/>
      <c r="I493" s="202"/>
      <c r="J493" s="170"/>
      <c r="K493" s="170"/>
      <c r="L493" s="170"/>
      <c r="M493" s="170"/>
      <c r="N493" s="170"/>
      <c r="O493" s="170"/>
      <c r="P493" s="170"/>
      <c r="Q493" s="170"/>
    </row>
    <row r="494" spans="1:17" ht="17.25" customHeight="1" x14ac:dyDescent="0.2">
      <c r="A494" s="197"/>
      <c r="B494" s="197"/>
      <c r="C494" s="375" t="s">
        <v>125</v>
      </c>
      <c r="D494" s="376" t="s">
        <v>803</v>
      </c>
      <c r="E494" s="230"/>
      <c r="F494" s="170"/>
      <c r="G494" s="202"/>
      <c r="H494" s="202"/>
      <c r="I494" s="202"/>
      <c r="J494" s="170"/>
      <c r="K494" s="170"/>
      <c r="L494" s="170"/>
      <c r="M494" s="170"/>
      <c r="N494" s="170"/>
      <c r="O494" s="170"/>
      <c r="P494" s="170"/>
      <c r="Q494" s="170"/>
    </row>
    <row r="495" spans="1:17" ht="17.25" customHeight="1" x14ac:dyDescent="0.2">
      <c r="A495" s="197"/>
      <c r="B495" s="197"/>
      <c r="C495" s="350" t="s">
        <v>500</v>
      </c>
      <c r="D495" s="377" t="s">
        <v>1056</v>
      </c>
      <c r="E495" s="230"/>
      <c r="F495" s="230">
        <v>164106</v>
      </c>
      <c r="G495" s="202">
        <f>0+táj.2!G495</f>
        <v>0</v>
      </c>
      <c r="H495" s="202">
        <f>0+táj.2!H495</f>
        <v>0</v>
      </c>
      <c r="I495" s="202">
        <f>105275+táj.2!I495</f>
        <v>105275</v>
      </c>
      <c r="J495" s="202">
        <f>0+táj.2!J495</f>
        <v>0</v>
      </c>
      <c r="K495" s="202">
        <f>0+táj.2!K495</f>
        <v>0</v>
      </c>
      <c r="L495" s="202">
        <f>0+táj.2!L495</f>
        <v>1444</v>
      </c>
      <c r="M495" s="202">
        <f>505572+táj.2!M495</f>
        <v>507157</v>
      </c>
      <c r="N495" s="202">
        <f>0+táj.2!N495</f>
        <v>0</v>
      </c>
      <c r="O495" s="202">
        <f>0+táj.2!O495</f>
        <v>0</v>
      </c>
      <c r="P495" s="202">
        <f>0+táj.2!P495</f>
        <v>0</v>
      </c>
      <c r="Q495" s="170">
        <f>SUM(G495:P495)</f>
        <v>613876</v>
      </c>
    </row>
    <row r="496" spans="1:17" ht="17.25" customHeight="1" x14ac:dyDescent="0.2">
      <c r="A496" s="197"/>
      <c r="B496" s="197"/>
      <c r="C496" s="350" t="s">
        <v>805</v>
      </c>
      <c r="D496" s="579" t="s">
        <v>1391</v>
      </c>
      <c r="E496" s="230"/>
      <c r="F496" s="230">
        <v>161909</v>
      </c>
      <c r="G496" s="202">
        <f>0+táj.2!G496</f>
        <v>0</v>
      </c>
      <c r="H496" s="202">
        <f>0+táj.2!H496</f>
        <v>0</v>
      </c>
      <c r="I496" s="202">
        <f>0+táj.2!I496</f>
        <v>0</v>
      </c>
      <c r="J496" s="202">
        <f>0+táj.2!J496</f>
        <v>0</v>
      </c>
      <c r="K496" s="202">
        <f>0+táj.2!K496</f>
        <v>0</v>
      </c>
      <c r="L496" s="202">
        <f>14766+táj.2!L496</f>
        <v>0</v>
      </c>
      <c r="M496" s="202">
        <f>12700+táj.2!M496</f>
        <v>40898</v>
      </c>
      <c r="N496" s="202">
        <f>0+táj.2!N496</f>
        <v>0</v>
      </c>
      <c r="O496" s="202">
        <f>0+táj.2!O496</f>
        <v>0</v>
      </c>
      <c r="P496" s="202">
        <f>0+táj.2!P496</f>
        <v>0</v>
      </c>
      <c r="Q496" s="170">
        <f>SUM(G496:P496)</f>
        <v>40898</v>
      </c>
    </row>
    <row r="497" spans="1:17" ht="14.1" customHeight="1" x14ac:dyDescent="0.2">
      <c r="A497" s="197"/>
      <c r="B497" s="197"/>
      <c r="C497" s="217"/>
      <c r="D497" s="314" t="s">
        <v>502</v>
      </c>
      <c r="E497" s="230"/>
      <c r="F497" s="230"/>
      <c r="G497" s="202"/>
      <c r="H497" s="202"/>
      <c r="I497" s="202"/>
      <c r="J497" s="202"/>
      <c r="K497" s="202"/>
      <c r="L497" s="202"/>
      <c r="M497" s="202"/>
      <c r="N497" s="202"/>
      <c r="O497" s="202"/>
      <c r="P497" s="202"/>
      <c r="Q497" s="170"/>
    </row>
    <row r="498" spans="1:17" ht="14.1" customHeight="1" x14ac:dyDescent="0.2">
      <c r="A498" s="197"/>
      <c r="B498" s="197"/>
      <c r="C498" s="217" t="s">
        <v>503</v>
      </c>
      <c r="D498" s="378" t="s">
        <v>1057</v>
      </c>
      <c r="E498" s="358"/>
      <c r="F498" s="230">
        <v>162126</v>
      </c>
      <c r="G498" s="202">
        <f>0+táj.2!G498</f>
        <v>0</v>
      </c>
      <c r="H498" s="202">
        <f>0+táj.2!H498</f>
        <v>0</v>
      </c>
      <c r="I498" s="202">
        <f>0+táj.2!I498</f>
        <v>0</v>
      </c>
      <c r="J498" s="202">
        <f>0+táj.2!J498</f>
        <v>0</v>
      </c>
      <c r="K498" s="202">
        <f>0+táj.2!K498</f>
        <v>0</v>
      </c>
      <c r="L498" s="202">
        <f>0+táj.2!L498</f>
        <v>0</v>
      </c>
      <c r="M498" s="202">
        <f>0+táj.2!M498</f>
        <v>0</v>
      </c>
      <c r="N498" s="202">
        <f>0+táj.2!N498</f>
        <v>0</v>
      </c>
      <c r="O498" s="202">
        <f>0+táj.2!O498</f>
        <v>0</v>
      </c>
      <c r="P498" s="202">
        <f>0+táj.2!P498</f>
        <v>0</v>
      </c>
      <c r="Q498" s="170">
        <f>SUM(G498:P498)</f>
        <v>0</v>
      </c>
    </row>
    <row r="499" spans="1:17" ht="23.25" customHeight="1" x14ac:dyDescent="0.2">
      <c r="A499" s="197"/>
      <c r="B499" s="197"/>
      <c r="C499" s="217" t="s">
        <v>505</v>
      </c>
      <c r="D499" s="379" t="s">
        <v>1058</v>
      </c>
      <c r="E499" s="358"/>
      <c r="F499" s="230">
        <v>162112</v>
      </c>
      <c r="G499" s="202">
        <f>0+táj.2!G499</f>
        <v>0</v>
      </c>
      <c r="H499" s="202">
        <f>0+táj.2!H499</f>
        <v>0</v>
      </c>
      <c r="I499" s="202">
        <f>0+táj.2!I499</f>
        <v>0</v>
      </c>
      <c r="J499" s="202">
        <f>0+táj.2!J499</f>
        <v>0</v>
      </c>
      <c r="K499" s="202">
        <f>0+táj.2!K499</f>
        <v>0</v>
      </c>
      <c r="L499" s="202">
        <f>0+táj.2!L499</f>
        <v>0</v>
      </c>
      <c r="M499" s="202">
        <f>0+táj.2!M499</f>
        <v>0</v>
      </c>
      <c r="N499" s="202">
        <f>0+táj.2!N499</f>
        <v>0</v>
      </c>
      <c r="O499" s="202">
        <f>0+táj.2!O499</f>
        <v>0</v>
      </c>
      <c r="P499" s="202">
        <f>0+táj.2!P499</f>
        <v>0</v>
      </c>
      <c r="Q499" s="170">
        <f>SUM(G499:P499)</f>
        <v>0</v>
      </c>
    </row>
    <row r="500" spans="1:17" ht="18" customHeight="1" x14ac:dyDescent="0.2">
      <c r="A500" s="197"/>
      <c r="B500" s="197"/>
      <c r="C500" s="217" t="s">
        <v>820</v>
      </c>
      <c r="D500" s="379" t="s">
        <v>1059</v>
      </c>
      <c r="E500" s="358"/>
      <c r="F500" s="230">
        <v>162107</v>
      </c>
      <c r="G500" s="202">
        <f>0+táj.2!G500</f>
        <v>0</v>
      </c>
      <c r="H500" s="202">
        <f>0+táj.2!H500</f>
        <v>0</v>
      </c>
      <c r="I500" s="202">
        <f>0+táj.2!I500</f>
        <v>0</v>
      </c>
      <c r="J500" s="202">
        <f>0+táj.2!J500</f>
        <v>0</v>
      </c>
      <c r="K500" s="202">
        <f>0+táj.2!K500</f>
        <v>0</v>
      </c>
      <c r="L500" s="202">
        <f>3179+táj.2!L500</f>
        <v>3179</v>
      </c>
      <c r="M500" s="202">
        <f>0+táj.2!M500</f>
        <v>0</v>
      </c>
      <c r="N500" s="202">
        <f>0+táj.2!N500</f>
        <v>0</v>
      </c>
      <c r="O500" s="202">
        <f>0+táj.2!O500</f>
        <v>0</v>
      </c>
      <c r="P500" s="202">
        <f>0+táj.2!P500</f>
        <v>0</v>
      </c>
      <c r="Q500" s="170">
        <f>SUM(G500:P500)</f>
        <v>3179</v>
      </c>
    </row>
    <row r="501" spans="1:17" ht="25.5" customHeight="1" x14ac:dyDescent="0.2">
      <c r="A501" s="197"/>
      <c r="B501" s="197"/>
      <c r="C501" s="217" t="s">
        <v>822</v>
      </c>
      <c r="D501" s="171" t="s">
        <v>1060</v>
      </c>
      <c r="E501" s="230"/>
      <c r="F501" s="230">
        <v>162166</v>
      </c>
      <c r="G501" s="202">
        <f>0+táj.2!G501</f>
        <v>0</v>
      </c>
      <c r="H501" s="202">
        <f>0+táj.2!H501</f>
        <v>0</v>
      </c>
      <c r="I501" s="202">
        <f>0+táj.2!I501</f>
        <v>0</v>
      </c>
      <c r="J501" s="202">
        <f>0+táj.2!J501</f>
        <v>0</v>
      </c>
      <c r="K501" s="202">
        <f>0+táj.2!K501</f>
        <v>0</v>
      </c>
      <c r="L501" s="202">
        <f>0+táj.2!L501</f>
        <v>0</v>
      </c>
      <c r="M501" s="202">
        <f>75+táj.2!M501</f>
        <v>75</v>
      </c>
      <c r="N501" s="202">
        <f>0+táj.2!N501</f>
        <v>0</v>
      </c>
      <c r="O501" s="202">
        <f>0+táj.2!O501</f>
        <v>0</v>
      </c>
      <c r="P501" s="202">
        <f>0+táj.2!P501</f>
        <v>0</v>
      </c>
      <c r="Q501" s="170">
        <f>SUM(G501:P501)</f>
        <v>75</v>
      </c>
    </row>
    <row r="502" spans="1:17" ht="15.75" customHeight="1" x14ac:dyDescent="0.2">
      <c r="A502" s="197"/>
      <c r="B502" s="197"/>
      <c r="C502" s="217" t="s">
        <v>824</v>
      </c>
      <c r="D502" s="377" t="s">
        <v>1061</v>
      </c>
      <c r="E502" s="230"/>
      <c r="F502" s="230">
        <v>162168</v>
      </c>
      <c r="G502" s="202">
        <f>0+táj.2!G502</f>
        <v>0</v>
      </c>
      <c r="H502" s="202">
        <f>0+táj.2!H502</f>
        <v>0</v>
      </c>
      <c r="I502" s="202">
        <f>0+táj.2!I502</f>
        <v>0</v>
      </c>
      <c r="J502" s="202">
        <f>0+táj.2!J502</f>
        <v>0</v>
      </c>
      <c r="K502" s="202">
        <f>0+táj.2!K502</f>
        <v>0</v>
      </c>
      <c r="L502" s="202">
        <f>1489+táj.2!L502</f>
        <v>1489</v>
      </c>
      <c r="M502" s="202">
        <f>0+táj.2!M502</f>
        <v>0</v>
      </c>
      <c r="N502" s="202">
        <f>0+táj.2!N502</f>
        <v>0</v>
      </c>
      <c r="O502" s="202">
        <f>0+táj.2!O502</f>
        <v>0</v>
      </c>
      <c r="P502" s="202">
        <f>0+táj.2!P502</f>
        <v>0</v>
      </c>
      <c r="Q502" s="170">
        <f>SUM(G502:P502)</f>
        <v>1489</v>
      </c>
    </row>
    <row r="503" spans="1:17" ht="17.25" customHeight="1" x14ac:dyDescent="0.2">
      <c r="A503" s="197"/>
      <c r="B503" s="197"/>
      <c r="C503" s="628" t="s">
        <v>124</v>
      </c>
      <c r="D503" s="350" t="s">
        <v>826</v>
      </c>
      <c r="E503" s="230"/>
      <c r="F503" s="230"/>
      <c r="G503" s="202"/>
      <c r="H503" s="202"/>
      <c r="I503" s="202"/>
      <c r="J503" s="202"/>
      <c r="K503" s="202"/>
      <c r="L503" s="202"/>
      <c r="M503" s="202"/>
      <c r="N503" s="202"/>
      <c r="O503" s="202"/>
      <c r="P503" s="202"/>
      <c r="Q503" s="170"/>
    </row>
    <row r="504" spans="1:17" ht="16.5" customHeight="1" x14ac:dyDescent="0.2">
      <c r="A504" s="197"/>
      <c r="B504" s="197"/>
      <c r="C504" s="628" t="s">
        <v>1062</v>
      </c>
      <c r="D504" s="380" t="s">
        <v>1063</v>
      </c>
      <c r="E504" s="230"/>
      <c r="F504" s="230">
        <v>164204</v>
      </c>
      <c r="G504" s="202">
        <f>0+táj.2!G504</f>
        <v>0</v>
      </c>
      <c r="H504" s="202">
        <f>0+táj.2!H504</f>
        <v>0</v>
      </c>
      <c r="I504" s="202">
        <f>46213+táj.2!I504</f>
        <v>46213</v>
      </c>
      <c r="J504" s="202">
        <f>0+táj.2!J504</f>
        <v>0</v>
      </c>
      <c r="K504" s="202">
        <f>0+táj.2!K504</f>
        <v>0</v>
      </c>
      <c r="L504" s="202">
        <f>2400+táj.2!L504</f>
        <v>2400</v>
      </c>
      <c r="M504" s="202">
        <f>254692+táj.2!M504</f>
        <v>254692</v>
      </c>
      <c r="N504" s="202">
        <f>0+táj.2!N504</f>
        <v>0</v>
      </c>
      <c r="O504" s="202">
        <f>0+táj.2!O504</f>
        <v>0</v>
      </c>
      <c r="P504" s="202">
        <f>0+táj.2!P504</f>
        <v>0</v>
      </c>
      <c r="Q504" s="170">
        <f>SUM(G504:P504)</f>
        <v>303305</v>
      </c>
    </row>
    <row r="505" spans="1:17" ht="16.5" customHeight="1" x14ac:dyDescent="0.2">
      <c r="A505" s="197"/>
      <c r="B505" s="197"/>
      <c r="C505" s="217"/>
      <c r="D505" s="314" t="s">
        <v>502</v>
      </c>
      <c r="E505" s="230"/>
      <c r="F505" s="230"/>
      <c r="G505" s="202"/>
      <c r="H505" s="202"/>
      <c r="I505" s="202"/>
      <c r="J505" s="202"/>
      <c r="K505" s="202"/>
      <c r="L505" s="202"/>
      <c r="M505" s="202"/>
      <c r="N505" s="202"/>
      <c r="O505" s="202"/>
      <c r="P505" s="202"/>
      <c r="Q505" s="170"/>
    </row>
    <row r="506" spans="1:17" ht="34.5" customHeight="1" x14ac:dyDescent="0.2">
      <c r="A506" s="197"/>
      <c r="B506" s="197"/>
      <c r="C506" s="217" t="s">
        <v>1064</v>
      </c>
      <c r="D506" s="245" t="s">
        <v>1065</v>
      </c>
      <c r="E506" s="230"/>
      <c r="F506" s="230">
        <v>164205</v>
      </c>
      <c r="G506" s="202">
        <f>0+táj.2!G506</f>
        <v>0</v>
      </c>
      <c r="H506" s="202">
        <f>0+táj.2!H506</f>
        <v>0</v>
      </c>
      <c r="I506" s="202">
        <f>537799+táj.2!I506</f>
        <v>537799</v>
      </c>
      <c r="J506" s="202">
        <f>0+táj.2!J506</f>
        <v>0</v>
      </c>
      <c r="K506" s="202">
        <f>0+táj.2!K506</f>
        <v>0</v>
      </c>
      <c r="L506" s="202">
        <f>1933428+táj.2!L506</f>
        <v>1933428</v>
      </c>
      <c r="M506" s="202">
        <f>0+táj.2!M506</f>
        <v>0</v>
      </c>
      <c r="N506" s="202">
        <f>0+táj.2!N506</f>
        <v>0</v>
      </c>
      <c r="O506" s="202">
        <f>0+táj.2!O506</f>
        <v>0</v>
      </c>
      <c r="P506" s="202">
        <f>0+táj.2!P506</f>
        <v>0</v>
      </c>
      <c r="Q506" s="170">
        <f>SUM(G506:P506)</f>
        <v>2471227</v>
      </c>
    </row>
    <row r="507" spans="1:17" ht="36.75" customHeight="1" x14ac:dyDescent="0.2">
      <c r="A507" s="197"/>
      <c r="B507" s="197"/>
      <c r="C507" s="217" t="s">
        <v>1066</v>
      </c>
      <c r="D507" s="245" t="s">
        <v>1067</v>
      </c>
      <c r="E507" s="230"/>
      <c r="F507" s="230">
        <v>164206</v>
      </c>
      <c r="G507" s="202">
        <f>0+táj.2!G507</f>
        <v>0</v>
      </c>
      <c r="H507" s="202">
        <f>0+táj.2!H507</f>
        <v>0</v>
      </c>
      <c r="I507" s="202">
        <f>42040+táj.2!I507</f>
        <v>42040</v>
      </c>
      <c r="J507" s="202">
        <f>0+táj.2!J507</f>
        <v>0</v>
      </c>
      <c r="K507" s="202">
        <f>0+táj.2!K507</f>
        <v>0</v>
      </c>
      <c r="L507" s="202">
        <f>153940+táj.2!L507</f>
        <v>153940</v>
      </c>
      <c r="M507" s="202">
        <f>0+táj.2!M507</f>
        <v>0</v>
      </c>
      <c r="N507" s="202">
        <f>0+táj.2!N507</f>
        <v>0</v>
      </c>
      <c r="O507" s="202">
        <f>0+táj.2!O507</f>
        <v>0</v>
      </c>
      <c r="P507" s="202">
        <f>0+táj.2!P507</f>
        <v>0</v>
      </c>
      <c r="Q507" s="170">
        <f>SUM(G507:P507)</f>
        <v>195980</v>
      </c>
    </row>
    <row r="508" spans="1:17" ht="17.100000000000001" customHeight="1" x14ac:dyDescent="0.2">
      <c r="A508" s="197"/>
      <c r="B508" s="197"/>
      <c r="C508" s="629" t="s">
        <v>126</v>
      </c>
      <c r="D508" s="350" t="s">
        <v>1068</v>
      </c>
      <c r="E508" s="230"/>
      <c r="F508" s="230"/>
      <c r="G508" s="202"/>
      <c r="H508" s="202"/>
      <c r="I508" s="202"/>
      <c r="J508" s="202"/>
      <c r="K508" s="202"/>
      <c r="L508" s="202"/>
      <c r="M508" s="202"/>
      <c r="N508" s="202"/>
      <c r="O508" s="202"/>
      <c r="P508" s="202"/>
      <c r="Q508" s="170"/>
    </row>
    <row r="509" spans="1:17" ht="17.100000000000001" customHeight="1" x14ac:dyDescent="0.2">
      <c r="A509" s="197"/>
      <c r="B509" s="381"/>
      <c r="C509" s="630" t="s">
        <v>668</v>
      </c>
      <c r="D509" s="609" t="s">
        <v>1069</v>
      </c>
      <c r="E509" s="230"/>
      <c r="F509" s="230">
        <v>162302</v>
      </c>
      <c r="G509" s="202">
        <f>0+táj.2!G509</f>
        <v>0</v>
      </c>
      <c r="H509" s="202">
        <f>0+táj.2!H509</f>
        <v>0</v>
      </c>
      <c r="I509" s="202">
        <f>0+táj.2!I509</f>
        <v>0</v>
      </c>
      <c r="J509" s="202">
        <f>0+táj.2!J509</f>
        <v>0</v>
      </c>
      <c r="K509" s="202">
        <f>0+táj.2!K509</f>
        <v>0</v>
      </c>
      <c r="L509" s="202">
        <f>0+táj.2!L509</f>
        <v>0</v>
      </c>
      <c r="M509" s="202">
        <f>0+táj.2!M509</f>
        <v>0</v>
      </c>
      <c r="N509" s="202">
        <f>0+táj.2!N509</f>
        <v>0</v>
      </c>
      <c r="O509" s="202">
        <f>0+táj.2!O509</f>
        <v>0</v>
      </c>
      <c r="P509" s="202">
        <f>0+táj.2!P509</f>
        <v>0</v>
      </c>
      <c r="Q509" s="170">
        <f>SUM(G509:P509)</f>
        <v>0</v>
      </c>
    </row>
    <row r="510" spans="1:17" ht="17.100000000000001" customHeight="1" x14ac:dyDescent="0.2">
      <c r="A510" s="197"/>
      <c r="B510" s="381"/>
      <c r="C510" s="630" t="s">
        <v>669</v>
      </c>
      <c r="D510" s="464" t="s">
        <v>1070</v>
      </c>
      <c r="E510" s="230"/>
      <c r="F510" s="607">
        <v>162307</v>
      </c>
      <c r="G510" s="202">
        <f>0+táj.2!G510</f>
        <v>0</v>
      </c>
      <c r="H510" s="202">
        <f>0+táj.2!H510</f>
        <v>0</v>
      </c>
      <c r="I510" s="202">
        <f>0+táj.2!I510</f>
        <v>0</v>
      </c>
      <c r="J510" s="202">
        <f>0+táj.2!J510</f>
        <v>0</v>
      </c>
      <c r="K510" s="202">
        <f>0+táj.2!K510</f>
        <v>0</v>
      </c>
      <c r="L510" s="202">
        <f>0+táj.2!L510</f>
        <v>0</v>
      </c>
      <c r="M510" s="202">
        <f>0+táj.2!M510</f>
        <v>0</v>
      </c>
      <c r="N510" s="202">
        <f>0+táj.2!N510</f>
        <v>0</v>
      </c>
      <c r="O510" s="202">
        <f>0+táj.2!O510</f>
        <v>0</v>
      </c>
      <c r="P510" s="202">
        <f>0+táj.2!P510</f>
        <v>0</v>
      </c>
      <c r="Q510" s="170">
        <f>SUM(G510:P510)</f>
        <v>0</v>
      </c>
    </row>
    <row r="511" spans="1:17" ht="27.75" customHeight="1" x14ac:dyDescent="0.2">
      <c r="A511" s="197"/>
      <c r="B511" s="381"/>
      <c r="C511" s="630" t="s">
        <v>830</v>
      </c>
      <c r="D511" s="464" t="s">
        <v>1355</v>
      </c>
      <c r="E511" s="230"/>
      <c r="F511" s="607">
        <v>164301</v>
      </c>
      <c r="G511" s="202">
        <f>0+táj.2!G511</f>
        <v>0</v>
      </c>
      <c r="H511" s="202">
        <f>0+táj.2!H511</f>
        <v>0</v>
      </c>
      <c r="I511" s="202">
        <f>0+táj.2!I511</f>
        <v>0</v>
      </c>
      <c r="J511" s="202">
        <f>0+táj.2!J511</f>
        <v>0</v>
      </c>
      <c r="K511" s="202">
        <f>0+táj.2!K511</f>
        <v>0</v>
      </c>
      <c r="L511" s="202">
        <f>0+táj.2!L511</f>
        <v>0</v>
      </c>
      <c r="M511" s="202">
        <f>0+táj.2!M511</f>
        <v>0</v>
      </c>
      <c r="N511" s="202">
        <f>0+táj.2!N511</f>
        <v>0</v>
      </c>
      <c r="O511" s="202">
        <f>0+táj.2!O511</f>
        <v>0</v>
      </c>
      <c r="P511" s="202">
        <f>0+táj.2!P511</f>
        <v>0</v>
      </c>
      <c r="Q511" s="170">
        <f>SUM(G511:P511)</f>
        <v>0</v>
      </c>
    </row>
    <row r="512" spans="1:17" ht="17.25" customHeight="1" x14ac:dyDescent="0.2">
      <c r="A512" s="862"/>
      <c r="B512" s="919"/>
      <c r="C512" s="920" t="s">
        <v>1498</v>
      </c>
      <c r="D512" s="921" t="s">
        <v>1499</v>
      </c>
      <c r="E512" s="857"/>
      <c r="F512" s="861">
        <v>162308</v>
      </c>
      <c r="G512" s="202">
        <f>0+táj.2!G512</f>
        <v>0</v>
      </c>
      <c r="H512" s="202">
        <f>0+táj.2!H512</f>
        <v>0</v>
      </c>
      <c r="I512" s="202">
        <f>0+táj.2!I512</f>
        <v>0</v>
      </c>
      <c r="J512" s="202">
        <f>0+táj.2!J512</f>
        <v>0</v>
      </c>
      <c r="K512" s="202">
        <f>0+táj.2!K512</f>
        <v>0</v>
      </c>
      <c r="L512" s="202">
        <f>0+táj.2!L512</f>
        <v>1600</v>
      </c>
      <c r="M512" s="202">
        <f>0+táj.2!M512</f>
        <v>0</v>
      </c>
      <c r="N512" s="202">
        <f>0+táj.2!N512</f>
        <v>0</v>
      </c>
      <c r="O512" s="202">
        <f>0+táj.2!O512</f>
        <v>0</v>
      </c>
      <c r="P512" s="202">
        <f>0+táj.2!P512</f>
        <v>0</v>
      </c>
      <c r="Q512" s="170">
        <f>SUM(G512:P512)</f>
        <v>1600</v>
      </c>
    </row>
    <row r="513" spans="1:17" ht="17.100000000000001" customHeight="1" x14ac:dyDescent="0.2">
      <c r="A513" s="197"/>
      <c r="B513" s="381"/>
      <c r="C513" s="631" t="s">
        <v>127</v>
      </c>
      <c r="D513" s="350" t="s">
        <v>1071</v>
      </c>
      <c r="E513" s="230"/>
      <c r="F513" s="230"/>
      <c r="G513" s="202"/>
      <c r="H513" s="202"/>
      <c r="I513" s="202"/>
      <c r="J513" s="202"/>
      <c r="K513" s="202"/>
      <c r="L513" s="202"/>
      <c r="M513" s="202"/>
      <c r="N513" s="202"/>
      <c r="O513" s="202"/>
      <c r="P513" s="202"/>
      <c r="Q513" s="170"/>
    </row>
    <row r="514" spans="1:17" ht="17.100000000000001" customHeight="1" x14ac:dyDescent="0.2">
      <c r="A514" s="197"/>
      <c r="B514" s="381"/>
      <c r="C514" s="631" t="s">
        <v>847</v>
      </c>
      <c r="D514" s="353" t="s">
        <v>1072</v>
      </c>
      <c r="E514" s="610"/>
      <c r="F514" s="230">
        <v>164417</v>
      </c>
      <c r="G514" s="202">
        <f>0+táj.2!G514</f>
        <v>0</v>
      </c>
      <c r="H514" s="202">
        <f>0+táj.2!H514</f>
        <v>0</v>
      </c>
      <c r="I514" s="202">
        <f>0+táj.2!I514</f>
        <v>0</v>
      </c>
      <c r="J514" s="202">
        <f>0+táj.2!J514</f>
        <v>0</v>
      </c>
      <c r="K514" s="202">
        <f>0+táj.2!K514</f>
        <v>0</v>
      </c>
      <c r="L514" s="202">
        <f>0+táj.2!L514</f>
        <v>0</v>
      </c>
      <c r="M514" s="202">
        <f>16194+táj.2!M514</f>
        <v>17864</v>
      </c>
      <c r="N514" s="202">
        <f>0+táj.2!N514</f>
        <v>0</v>
      </c>
      <c r="O514" s="202">
        <f>0+táj.2!O514</f>
        <v>0</v>
      </c>
      <c r="P514" s="202">
        <f>0+táj.2!P514</f>
        <v>0</v>
      </c>
      <c r="Q514" s="170">
        <f t="shared" ref="Q514:Q541" si="32">SUM(G514:P514)</f>
        <v>17864</v>
      </c>
    </row>
    <row r="515" spans="1:17" ht="17.100000000000001" customHeight="1" x14ac:dyDescent="0.2">
      <c r="A515" s="197"/>
      <c r="B515" s="381"/>
      <c r="C515" s="631" t="s">
        <v>849</v>
      </c>
      <c r="D515" s="353" t="s">
        <v>1073</v>
      </c>
      <c r="E515" s="610"/>
      <c r="F515" s="230">
        <v>162420</v>
      </c>
      <c r="G515" s="202">
        <f>0+táj.2!G515</f>
        <v>0</v>
      </c>
      <c r="H515" s="202">
        <f>0+táj.2!H515</f>
        <v>0</v>
      </c>
      <c r="I515" s="202">
        <f>0+táj.2!I515</f>
        <v>0</v>
      </c>
      <c r="J515" s="202">
        <f>0+táj.2!J515</f>
        <v>0</v>
      </c>
      <c r="K515" s="202">
        <f>0+táj.2!K515</f>
        <v>0</v>
      </c>
      <c r="L515" s="202">
        <f>0+táj.2!L515</f>
        <v>0</v>
      </c>
      <c r="M515" s="202">
        <f>0+táj.2!M515</f>
        <v>0</v>
      </c>
      <c r="N515" s="202">
        <f>0+táj.2!N515</f>
        <v>0</v>
      </c>
      <c r="O515" s="202">
        <f>0+táj.2!O515</f>
        <v>0</v>
      </c>
      <c r="P515" s="202">
        <f>0+táj.2!P515</f>
        <v>0</v>
      </c>
      <c r="Q515" s="170">
        <f t="shared" si="32"/>
        <v>0</v>
      </c>
    </row>
    <row r="516" spans="1:17" ht="24.75" customHeight="1" x14ac:dyDescent="0.2">
      <c r="A516" s="197"/>
      <c r="B516" s="381"/>
      <c r="C516" s="631" t="s">
        <v>851</v>
      </c>
      <c r="D516" s="382" t="s">
        <v>1074</v>
      </c>
      <c r="E516" s="610"/>
      <c r="F516" s="230">
        <v>162425</v>
      </c>
      <c r="G516" s="202">
        <f>0+táj.2!G516</f>
        <v>0</v>
      </c>
      <c r="H516" s="202">
        <f>0+táj.2!H516</f>
        <v>0</v>
      </c>
      <c r="I516" s="202">
        <f>0+táj.2!I516</f>
        <v>0</v>
      </c>
      <c r="J516" s="202">
        <f>0+táj.2!J516</f>
        <v>0</v>
      </c>
      <c r="K516" s="202">
        <f>0+táj.2!K516</f>
        <v>0</v>
      </c>
      <c r="L516" s="202">
        <f>0+táj.2!L516</f>
        <v>0</v>
      </c>
      <c r="M516" s="202">
        <f>0+táj.2!M516</f>
        <v>0</v>
      </c>
      <c r="N516" s="202">
        <f>0+táj.2!N516</f>
        <v>0</v>
      </c>
      <c r="O516" s="202">
        <f>0+táj.2!O516</f>
        <v>0</v>
      </c>
      <c r="P516" s="202">
        <f>0+táj.2!P516</f>
        <v>0</v>
      </c>
      <c r="Q516" s="170">
        <f t="shared" si="32"/>
        <v>0</v>
      </c>
    </row>
    <row r="517" spans="1:17" ht="17.25" customHeight="1" x14ac:dyDescent="0.2">
      <c r="A517" s="197"/>
      <c r="B517" s="381"/>
      <c r="C517" s="631" t="s">
        <v>853</v>
      </c>
      <c r="D517" s="359" t="s">
        <v>1075</v>
      </c>
      <c r="E517" s="610"/>
      <c r="F517" s="230">
        <v>162426</v>
      </c>
      <c r="G517" s="202">
        <f>0+táj.2!G517</f>
        <v>0</v>
      </c>
      <c r="H517" s="202">
        <f>0+táj.2!H517</f>
        <v>0</v>
      </c>
      <c r="I517" s="202">
        <f>0+táj.2!I517</f>
        <v>0</v>
      </c>
      <c r="J517" s="202">
        <f>0+táj.2!J517</f>
        <v>0</v>
      </c>
      <c r="K517" s="202">
        <f>0+táj.2!K517</f>
        <v>0</v>
      </c>
      <c r="L517" s="202">
        <f>2000+táj.2!L517</f>
        <v>2000</v>
      </c>
      <c r="M517" s="202">
        <f>0+táj.2!M517</f>
        <v>0</v>
      </c>
      <c r="N517" s="202">
        <f>0+táj.2!N517</f>
        <v>0</v>
      </c>
      <c r="O517" s="202">
        <f>0+táj.2!O517</f>
        <v>0</v>
      </c>
      <c r="P517" s="202">
        <f>0+táj.2!P517</f>
        <v>0</v>
      </c>
      <c r="Q517" s="170">
        <f t="shared" si="32"/>
        <v>2000</v>
      </c>
    </row>
    <row r="518" spans="1:17" ht="15.75" customHeight="1" x14ac:dyDescent="0.2">
      <c r="A518" s="197"/>
      <c r="B518" s="381"/>
      <c r="C518" s="631" t="s">
        <v>855</v>
      </c>
      <c r="D518" s="359" t="s">
        <v>1076</v>
      </c>
      <c r="E518" s="610"/>
      <c r="F518" s="230">
        <v>162966</v>
      </c>
      <c r="G518" s="202">
        <f>0+táj.2!G518</f>
        <v>0</v>
      </c>
      <c r="H518" s="202">
        <f>0+táj.2!H518</f>
        <v>0</v>
      </c>
      <c r="I518" s="202">
        <f>0+táj.2!I518</f>
        <v>0</v>
      </c>
      <c r="J518" s="202">
        <f>0+táj.2!J518</f>
        <v>0</v>
      </c>
      <c r="K518" s="202">
        <f>0+táj.2!K518</f>
        <v>0</v>
      </c>
      <c r="L518" s="202">
        <f>0+táj.2!L518</f>
        <v>0</v>
      </c>
      <c r="M518" s="202">
        <f>0+táj.2!M518</f>
        <v>0</v>
      </c>
      <c r="N518" s="202">
        <f>0+táj.2!N518</f>
        <v>0</v>
      </c>
      <c r="O518" s="202">
        <f>0+táj.2!O518</f>
        <v>0</v>
      </c>
      <c r="P518" s="202">
        <f>0+táj.2!P518</f>
        <v>0</v>
      </c>
      <c r="Q518" s="170">
        <f t="shared" si="32"/>
        <v>0</v>
      </c>
    </row>
    <row r="519" spans="1:17" ht="24.75" customHeight="1" x14ac:dyDescent="0.2">
      <c r="A519" s="197"/>
      <c r="B519" s="381"/>
      <c r="C519" s="631" t="s">
        <v>857</v>
      </c>
      <c r="D519" s="359" t="s">
        <v>1077</v>
      </c>
      <c r="E519" s="610"/>
      <c r="F519" s="230">
        <v>162427</v>
      </c>
      <c r="G519" s="202">
        <f>0+táj.2!G519</f>
        <v>0</v>
      </c>
      <c r="H519" s="202">
        <f>0+táj.2!H519</f>
        <v>0</v>
      </c>
      <c r="I519" s="202">
        <f>0+táj.2!I519</f>
        <v>0</v>
      </c>
      <c r="J519" s="202">
        <f>0+táj.2!J519</f>
        <v>0</v>
      </c>
      <c r="K519" s="202">
        <f>0+táj.2!K519</f>
        <v>0</v>
      </c>
      <c r="L519" s="202">
        <f>0+táj.2!L519</f>
        <v>0</v>
      </c>
      <c r="M519" s="202">
        <f>0+táj.2!M519</f>
        <v>0</v>
      </c>
      <c r="N519" s="202">
        <f>0+táj.2!N519</f>
        <v>0</v>
      </c>
      <c r="O519" s="202">
        <f>0+táj.2!O519</f>
        <v>0</v>
      </c>
      <c r="P519" s="202">
        <f>0+táj.2!P519</f>
        <v>0</v>
      </c>
      <c r="Q519" s="170">
        <f t="shared" si="32"/>
        <v>0</v>
      </c>
    </row>
    <row r="520" spans="1:17" ht="18.75" customHeight="1" x14ac:dyDescent="0.2">
      <c r="A520" s="197"/>
      <c r="B520" s="381"/>
      <c r="C520" s="631" t="s">
        <v>859</v>
      </c>
      <c r="D520" s="213" t="s">
        <v>1078</v>
      </c>
      <c r="E520" s="610"/>
      <c r="F520" s="230">
        <v>162428</v>
      </c>
      <c r="G520" s="202">
        <f>0+táj.2!G520</f>
        <v>0</v>
      </c>
      <c r="H520" s="202">
        <f>0+táj.2!H520</f>
        <v>0</v>
      </c>
      <c r="I520" s="202">
        <f>0+táj.2!I520</f>
        <v>0</v>
      </c>
      <c r="J520" s="202">
        <f>0+táj.2!J520</f>
        <v>0</v>
      </c>
      <c r="K520" s="202">
        <f>0+táj.2!K520</f>
        <v>0</v>
      </c>
      <c r="L520" s="202">
        <f>8000+táj.2!L520</f>
        <v>4310</v>
      </c>
      <c r="M520" s="202">
        <f>0+táj.2!M520</f>
        <v>0</v>
      </c>
      <c r="N520" s="202">
        <f>0+táj.2!N520</f>
        <v>0</v>
      </c>
      <c r="O520" s="202">
        <f>0+táj.2!O520</f>
        <v>0</v>
      </c>
      <c r="P520" s="202">
        <f>0+táj.2!P520</f>
        <v>0</v>
      </c>
      <c r="Q520" s="170">
        <f t="shared" si="32"/>
        <v>4310</v>
      </c>
    </row>
    <row r="521" spans="1:17" ht="18.75" customHeight="1" x14ac:dyDescent="0.2">
      <c r="A521" s="197"/>
      <c r="B521" s="381"/>
      <c r="C521" s="631" t="s">
        <v>861</v>
      </c>
      <c r="D521" s="213" t="s">
        <v>1079</v>
      </c>
      <c r="E521" s="610"/>
      <c r="F521" s="230">
        <v>162429</v>
      </c>
      <c r="G521" s="202">
        <f>0+táj.2!G521</f>
        <v>0</v>
      </c>
      <c r="H521" s="202">
        <f>0+táj.2!H521</f>
        <v>0</v>
      </c>
      <c r="I521" s="202">
        <f>1962+táj.2!I521</f>
        <v>3524</v>
      </c>
      <c r="J521" s="202">
        <f>0+táj.2!J521</f>
        <v>0</v>
      </c>
      <c r="K521" s="202">
        <f>0+táj.2!K521</f>
        <v>0</v>
      </c>
      <c r="L521" s="202">
        <f>5438+táj.2!L521</f>
        <v>3876</v>
      </c>
      <c r="M521" s="202">
        <f>0+táj.2!M521</f>
        <v>0</v>
      </c>
      <c r="N521" s="202">
        <f>0+táj.2!N521</f>
        <v>0</v>
      </c>
      <c r="O521" s="202">
        <f>0+táj.2!O521</f>
        <v>0</v>
      </c>
      <c r="P521" s="202">
        <f>0+táj.2!P521</f>
        <v>0</v>
      </c>
      <c r="Q521" s="170">
        <f t="shared" si="32"/>
        <v>7400</v>
      </c>
    </row>
    <row r="522" spans="1:17" ht="16.5" customHeight="1" x14ac:dyDescent="0.2">
      <c r="A522" s="197"/>
      <c r="B522" s="381"/>
      <c r="C522" s="631" t="s">
        <v>863</v>
      </c>
      <c r="D522" s="382" t="s">
        <v>1080</v>
      </c>
      <c r="E522" s="610"/>
      <c r="F522" s="230">
        <v>162430</v>
      </c>
      <c r="G522" s="202">
        <f>0+táj.2!G522</f>
        <v>0</v>
      </c>
      <c r="H522" s="202">
        <f>0+táj.2!H522</f>
        <v>0</v>
      </c>
      <c r="I522" s="202">
        <f>0+táj.2!I522</f>
        <v>0</v>
      </c>
      <c r="J522" s="202">
        <f>0+táj.2!J522</f>
        <v>0</v>
      </c>
      <c r="K522" s="202">
        <f>0+táj.2!K522</f>
        <v>0</v>
      </c>
      <c r="L522" s="202">
        <f>1000+táj.2!L522</f>
        <v>1000</v>
      </c>
      <c r="M522" s="202">
        <f>0+táj.2!M522</f>
        <v>0</v>
      </c>
      <c r="N522" s="202">
        <f>0+táj.2!N522</f>
        <v>0</v>
      </c>
      <c r="O522" s="202">
        <f>0+táj.2!O522</f>
        <v>0</v>
      </c>
      <c r="P522" s="202">
        <f>0+táj.2!P522</f>
        <v>0</v>
      </c>
      <c r="Q522" s="170">
        <f t="shared" si="32"/>
        <v>1000</v>
      </c>
    </row>
    <row r="523" spans="1:17" ht="16.5" customHeight="1" x14ac:dyDescent="0.2">
      <c r="A523" s="197"/>
      <c r="B523" s="381"/>
      <c r="C523" s="631" t="s">
        <v>865</v>
      </c>
      <c r="D523" s="382" t="s">
        <v>1354</v>
      </c>
      <c r="E523" s="610"/>
      <c r="F523" s="230">
        <v>162431</v>
      </c>
      <c r="G523" s="202">
        <f>0+táj.2!G523</f>
        <v>0</v>
      </c>
      <c r="H523" s="202">
        <f>0+táj.2!H523</f>
        <v>0</v>
      </c>
      <c r="I523" s="202">
        <f>0+táj.2!I523</f>
        <v>394</v>
      </c>
      <c r="J523" s="202">
        <f>0+táj.2!J523</f>
        <v>0</v>
      </c>
      <c r="K523" s="202">
        <f>0+táj.2!K523</f>
        <v>0</v>
      </c>
      <c r="L523" s="202">
        <f>3730+táj.2!L523</f>
        <v>3336</v>
      </c>
      <c r="M523" s="202">
        <f>0+táj.2!M523</f>
        <v>0</v>
      </c>
      <c r="N523" s="202">
        <f>0+táj.2!N523</f>
        <v>0</v>
      </c>
      <c r="O523" s="202">
        <f>0+táj.2!O523</f>
        <v>0</v>
      </c>
      <c r="P523" s="202">
        <f>0+táj.2!P523</f>
        <v>0</v>
      </c>
      <c r="Q523" s="170">
        <f t="shared" si="32"/>
        <v>3730</v>
      </c>
    </row>
    <row r="524" spans="1:17" ht="36" customHeight="1" x14ac:dyDescent="0.2">
      <c r="A524" s="197"/>
      <c r="B524" s="381"/>
      <c r="C524" s="631" t="s">
        <v>866</v>
      </c>
      <c r="D524" s="297" t="s">
        <v>848</v>
      </c>
      <c r="E524" s="610"/>
      <c r="F524" s="230">
        <v>152417</v>
      </c>
      <c r="G524" s="202">
        <f>0+táj.2!G524</f>
        <v>0</v>
      </c>
      <c r="H524" s="202">
        <f>0+táj.2!H524</f>
        <v>0</v>
      </c>
      <c r="I524" s="202">
        <f>0+táj.2!I524</f>
        <v>0</v>
      </c>
      <c r="J524" s="202">
        <f>0+táj.2!J524</f>
        <v>0</v>
      </c>
      <c r="K524" s="202">
        <f>0+táj.2!K524</f>
        <v>0</v>
      </c>
      <c r="L524" s="202">
        <f>0+táj.2!L524</f>
        <v>0</v>
      </c>
      <c r="M524" s="202">
        <f>0+táj.2!M524</f>
        <v>0</v>
      </c>
      <c r="N524" s="202">
        <f>0+táj.2!N524</f>
        <v>0</v>
      </c>
      <c r="O524" s="202">
        <f>0+táj.2!O524</f>
        <v>0</v>
      </c>
      <c r="P524" s="202">
        <f>0+táj.2!P524</f>
        <v>0</v>
      </c>
      <c r="Q524" s="170">
        <f t="shared" si="32"/>
        <v>0</v>
      </c>
    </row>
    <row r="525" spans="1:17" ht="16.5" customHeight="1" x14ac:dyDescent="0.2">
      <c r="A525" s="197"/>
      <c r="B525" s="381"/>
      <c r="C525" s="631" t="s">
        <v>868</v>
      </c>
      <c r="D525" s="353" t="s">
        <v>850</v>
      </c>
      <c r="E525" s="358"/>
      <c r="F525" s="230">
        <v>152418</v>
      </c>
      <c r="G525" s="202">
        <f>0+táj.2!G525</f>
        <v>0</v>
      </c>
      <c r="H525" s="202">
        <f>0+táj.2!H525</f>
        <v>0</v>
      </c>
      <c r="I525" s="202">
        <f>0+táj.2!I525</f>
        <v>0</v>
      </c>
      <c r="J525" s="202">
        <f>0+táj.2!J525</f>
        <v>0</v>
      </c>
      <c r="K525" s="202">
        <f>0+táj.2!K525</f>
        <v>0</v>
      </c>
      <c r="L525" s="202">
        <f>0+táj.2!L525</f>
        <v>0</v>
      </c>
      <c r="M525" s="202">
        <f>0+táj.2!M525</f>
        <v>0</v>
      </c>
      <c r="N525" s="202">
        <f>0+táj.2!N525</f>
        <v>0</v>
      </c>
      <c r="O525" s="202">
        <f>0+táj.2!O525</f>
        <v>0</v>
      </c>
      <c r="P525" s="202">
        <f>0+táj.2!P525</f>
        <v>0</v>
      </c>
      <c r="Q525" s="170">
        <f t="shared" si="32"/>
        <v>0</v>
      </c>
    </row>
    <row r="526" spans="1:17" ht="27.75" customHeight="1" x14ac:dyDescent="0.2">
      <c r="A526" s="197"/>
      <c r="B526" s="381"/>
      <c r="C526" s="631" t="s">
        <v>870</v>
      </c>
      <c r="D526" s="353" t="s">
        <v>856</v>
      </c>
      <c r="E526" s="610"/>
      <c r="F526" s="230">
        <v>152413</v>
      </c>
      <c r="G526" s="202">
        <f>0+táj.2!G526</f>
        <v>0</v>
      </c>
      <c r="H526" s="202">
        <f>0+táj.2!H526</f>
        <v>0</v>
      </c>
      <c r="I526" s="202">
        <f>0+táj.2!I526</f>
        <v>0</v>
      </c>
      <c r="J526" s="202">
        <f>0+táj.2!J526</f>
        <v>0</v>
      </c>
      <c r="K526" s="202">
        <f>0+táj.2!K526</f>
        <v>0</v>
      </c>
      <c r="L526" s="202">
        <f>0+táj.2!L526</f>
        <v>0</v>
      </c>
      <c r="M526" s="202">
        <f>0+táj.2!M526</f>
        <v>0</v>
      </c>
      <c r="N526" s="202">
        <f>0+táj.2!N526</f>
        <v>0</v>
      </c>
      <c r="O526" s="202">
        <f>0+táj.2!O526</f>
        <v>0</v>
      </c>
      <c r="P526" s="202">
        <f>0+táj.2!P526</f>
        <v>0</v>
      </c>
      <c r="Q526" s="170">
        <f t="shared" si="32"/>
        <v>0</v>
      </c>
    </row>
    <row r="527" spans="1:17" ht="16.5" customHeight="1" x14ac:dyDescent="0.2">
      <c r="A527" s="197"/>
      <c r="B527" s="381"/>
      <c r="C527" s="631" t="s">
        <v>872</v>
      </c>
      <c r="D527" s="353" t="s">
        <v>873</v>
      </c>
      <c r="E527" s="610"/>
      <c r="F527" s="230">
        <v>155486</v>
      </c>
      <c r="G527" s="202">
        <f>0+táj.2!G527</f>
        <v>0</v>
      </c>
      <c r="H527" s="202">
        <f>0+táj.2!H527</f>
        <v>0</v>
      </c>
      <c r="I527" s="202">
        <f>0+táj.2!I527</f>
        <v>0</v>
      </c>
      <c r="J527" s="202">
        <f>0+táj.2!J527</f>
        <v>0</v>
      </c>
      <c r="K527" s="202">
        <f>0+táj.2!K527</f>
        <v>0</v>
      </c>
      <c r="L527" s="202">
        <f>0+táj.2!L527</f>
        <v>0</v>
      </c>
      <c r="M527" s="202">
        <f>0+táj.2!M527</f>
        <v>0</v>
      </c>
      <c r="N527" s="202">
        <f>0+táj.2!N527</f>
        <v>0</v>
      </c>
      <c r="O527" s="202">
        <f>0+táj.2!O527</f>
        <v>0</v>
      </c>
      <c r="P527" s="202">
        <f>0+táj.2!P527</f>
        <v>0</v>
      </c>
      <c r="Q527" s="170">
        <f t="shared" si="32"/>
        <v>0</v>
      </c>
    </row>
    <row r="528" spans="1:17" ht="16.5" customHeight="1" x14ac:dyDescent="0.2">
      <c r="A528" s="197"/>
      <c r="B528" s="381"/>
      <c r="C528" s="631" t="s">
        <v>874</v>
      </c>
      <c r="D528" s="353" t="s">
        <v>875</v>
      </c>
      <c r="E528" s="610"/>
      <c r="F528" s="230">
        <v>155487</v>
      </c>
      <c r="G528" s="202">
        <f>0+táj.2!G528</f>
        <v>0</v>
      </c>
      <c r="H528" s="202">
        <f>0+táj.2!H528</f>
        <v>0</v>
      </c>
      <c r="I528" s="202">
        <f>0+táj.2!I528</f>
        <v>0</v>
      </c>
      <c r="J528" s="202">
        <f>0+táj.2!J528</f>
        <v>0</v>
      </c>
      <c r="K528" s="202">
        <f>0+táj.2!K528</f>
        <v>0</v>
      </c>
      <c r="L528" s="202">
        <f>0+táj.2!L528</f>
        <v>0</v>
      </c>
      <c r="M528" s="202">
        <f>0+táj.2!M528</f>
        <v>0</v>
      </c>
      <c r="N528" s="202">
        <f>0+táj.2!N528</f>
        <v>0</v>
      </c>
      <c r="O528" s="202">
        <f>0+táj.2!O528</f>
        <v>0</v>
      </c>
      <c r="P528" s="202">
        <f>0+táj.2!P528</f>
        <v>0</v>
      </c>
      <c r="Q528" s="170">
        <f t="shared" si="32"/>
        <v>0</v>
      </c>
    </row>
    <row r="529" spans="1:17" ht="16.5" customHeight="1" x14ac:dyDescent="0.2">
      <c r="A529" s="197"/>
      <c r="B529" s="381"/>
      <c r="C529" s="631" t="s">
        <v>876</v>
      </c>
      <c r="D529" s="353" t="s">
        <v>877</v>
      </c>
      <c r="E529" s="610"/>
      <c r="F529" s="230">
        <v>155488</v>
      </c>
      <c r="G529" s="202">
        <f>0+táj.2!G529</f>
        <v>0</v>
      </c>
      <c r="H529" s="202">
        <f>0+táj.2!H529</f>
        <v>0</v>
      </c>
      <c r="I529" s="202">
        <f>0+táj.2!I529</f>
        <v>0</v>
      </c>
      <c r="J529" s="202">
        <f>0+táj.2!J529</f>
        <v>0</v>
      </c>
      <c r="K529" s="202">
        <f>0+táj.2!K529</f>
        <v>0</v>
      </c>
      <c r="L529" s="202">
        <f>0+táj.2!L529</f>
        <v>0</v>
      </c>
      <c r="M529" s="202">
        <f>0+táj.2!M529</f>
        <v>0</v>
      </c>
      <c r="N529" s="202">
        <f>2000+táj.2!N529</f>
        <v>2000</v>
      </c>
      <c r="O529" s="202">
        <f>0+táj.2!O529</f>
        <v>0</v>
      </c>
      <c r="P529" s="202">
        <f>0+táj.2!P529</f>
        <v>0</v>
      </c>
      <c r="Q529" s="170">
        <f t="shared" si="32"/>
        <v>2000</v>
      </c>
    </row>
    <row r="530" spans="1:17" ht="16.5" customHeight="1" x14ac:dyDescent="0.2">
      <c r="A530" s="197"/>
      <c r="B530" s="381"/>
      <c r="C530" s="631" t="s">
        <v>878</v>
      </c>
      <c r="D530" s="382" t="s">
        <v>879</v>
      </c>
      <c r="E530" s="230"/>
      <c r="F530" s="230">
        <v>152491</v>
      </c>
      <c r="G530" s="202">
        <f>0+táj.2!G530</f>
        <v>0</v>
      </c>
      <c r="H530" s="202">
        <f>0+táj.2!H530</f>
        <v>0</v>
      </c>
      <c r="I530" s="202">
        <f>0+táj.2!I530</f>
        <v>0</v>
      </c>
      <c r="J530" s="202">
        <f>0+táj.2!J530</f>
        <v>0</v>
      </c>
      <c r="K530" s="202">
        <f>0+táj.2!K530</f>
        <v>0</v>
      </c>
      <c r="L530" s="202">
        <f>0+táj.2!L530</f>
        <v>0</v>
      </c>
      <c r="M530" s="202">
        <f>0+táj.2!M530</f>
        <v>0</v>
      </c>
      <c r="N530" s="202">
        <f>0+táj.2!N530</f>
        <v>0</v>
      </c>
      <c r="O530" s="202">
        <f>0+táj.2!O530</f>
        <v>0</v>
      </c>
      <c r="P530" s="202">
        <f>0+táj.2!P530</f>
        <v>0</v>
      </c>
      <c r="Q530" s="170">
        <f t="shared" si="32"/>
        <v>0</v>
      </c>
    </row>
    <row r="531" spans="1:17" ht="16.5" customHeight="1" x14ac:dyDescent="0.2">
      <c r="A531" s="197"/>
      <c r="B531" s="381"/>
      <c r="C531" s="631" t="s">
        <v>880</v>
      </c>
      <c r="D531" s="353" t="s">
        <v>883</v>
      </c>
      <c r="E531" s="610"/>
      <c r="F531" s="230">
        <v>152492</v>
      </c>
      <c r="G531" s="202">
        <f>0+táj.2!G531</f>
        <v>0</v>
      </c>
      <c r="H531" s="202">
        <f>0+táj.2!H531</f>
        <v>0</v>
      </c>
      <c r="I531" s="202">
        <f>0+táj.2!I531</f>
        <v>0</v>
      </c>
      <c r="J531" s="202">
        <f>0+táj.2!J531</f>
        <v>0</v>
      </c>
      <c r="K531" s="202">
        <f>0+táj.2!K531</f>
        <v>0</v>
      </c>
      <c r="L531" s="202">
        <f>0+táj.2!L531</f>
        <v>0</v>
      </c>
      <c r="M531" s="202">
        <f>0+táj.2!M531</f>
        <v>0</v>
      </c>
      <c r="N531" s="202">
        <f>0+táj.2!N531</f>
        <v>0</v>
      </c>
      <c r="O531" s="202">
        <f>0+táj.2!O531</f>
        <v>0</v>
      </c>
      <c r="P531" s="202">
        <f>0+táj.2!P531</f>
        <v>0</v>
      </c>
      <c r="Q531" s="170">
        <f t="shared" si="32"/>
        <v>0</v>
      </c>
    </row>
    <row r="532" spans="1:17" ht="16.5" customHeight="1" x14ac:dyDescent="0.2">
      <c r="A532" s="197"/>
      <c r="B532" s="381"/>
      <c r="C532" s="631" t="s">
        <v>882</v>
      </c>
      <c r="D532" s="592" t="s">
        <v>892</v>
      </c>
      <c r="E532" s="610"/>
      <c r="F532" s="230">
        <v>152493</v>
      </c>
      <c r="G532" s="202">
        <f>0+táj.2!G532</f>
        <v>0</v>
      </c>
      <c r="H532" s="202">
        <f>0+táj.2!H532</f>
        <v>0</v>
      </c>
      <c r="I532" s="202">
        <f>0+táj.2!I532</f>
        <v>0</v>
      </c>
      <c r="J532" s="202">
        <f>0+táj.2!J532</f>
        <v>0</v>
      </c>
      <c r="K532" s="202">
        <f>0+táj.2!K532</f>
        <v>0</v>
      </c>
      <c r="L532" s="202">
        <f>0+táj.2!L532</f>
        <v>0</v>
      </c>
      <c r="M532" s="202">
        <f>0+táj.2!M532</f>
        <v>0</v>
      </c>
      <c r="N532" s="202">
        <f>0+táj.2!N532</f>
        <v>0</v>
      </c>
      <c r="O532" s="202">
        <f>0+táj.2!O532</f>
        <v>0</v>
      </c>
      <c r="P532" s="202">
        <f>0+táj.2!P532</f>
        <v>0</v>
      </c>
      <c r="Q532" s="170">
        <f t="shared" si="32"/>
        <v>0</v>
      </c>
    </row>
    <row r="533" spans="1:17" ht="16.5" customHeight="1" x14ac:dyDescent="0.2">
      <c r="A533" s="197"/>
      <c r="B533" s="381"/>
      <c r="C533" s="631" t="s">
        <v>884</v>
      </c>
      <c r="D533" s="382" t="s">
        <v>1366</v>
      </c>
      <c r="E533" s="610"/>
      <c r="F533" s="230">
        <v>155493</v>
      </c>
      <c r="G533" s="202">
        <f>0+táj.2!G533</f>
        <v>0</v>
      </c>
      <c r="H533" s="202">
        <f>0+táj.2!H533</f>
        <v>0</v>
      </c>
      <c r="I533" s="202">
        <f>0+táj.2!I533</f>
        <v>0</v>
      </c>
      <c r="J533" s="202">
        <f>0+táj.2!J533</f>
        <v>0</v>
      </c>
      <c r="K533" s="202">
        <f>0+táj.2!K533</f>
        <v>0</v>
      </c>
      <c r="L533" s="202">
        <f>0+táj.2!L533</f>
        <v>0</v>
      </c>
      <c r="M533" s="202">
        <f>0+táj.2!M533</f>
        <v>0</v>
      </c>
      <c r="N533" s="202">
        <f>0+táj.2!N533</f>
        <v>0</v>
      </c>
      <c r="O533" s="202">
        <f>0+táj.2!O533</f>
        <v>0</v>
      </c>
      <c r="P533" s="202">
        <f>0+táj.2!P533</f>
        <v>0</v>
      </c>
      <c r="Q533" s="170">
        <f t="shared" si="32"/>
        <v>0</v>
      </c>
    </row>
    <row r="534" spans="1:17" ht="16.5" customHeight="1" x14ac:dyDescent="0.2">
      <c r="A534" s="197"/>
      <c r="B534" s="381"/>
      <c r="C534" s="631" t="s">
        <v>885</v>
      </c>
      <c r="D534" s="353" t="s">
        <v>901</v>
      </c>
      <c r="E534" s="610"/>
      <c r="F534" s="230">
        <v>152494</v>
      </c>
      <c r="G534" s="202">
        <f>0+táj.2!G534</f>
        <v>0</v>
      </c>
      <c r="H534" s="202">
        <f>0+táj.2!H534</f>
        <v>0</v>
      </c>
      <c r="I534" s="202">
        <f>0+táj.2!I534</f>
        <v>0</v>
      </c>
      <c r="J534" s="202">
        <f>0+táj.2!J534</f>
        <v>0</v>
      </c>
      <c r="K534" s="202">
        <f>0+táj.2!K534</f>
        <v>0</v>
      </c>
      <c r="L534" s="202">
        <f>0+táj.2!L534</f>
        <v>0</v>
      </c>
      <c r="M534" s="202">
        <f>0+táj.2!M534</f>
        <v>0</v>
      </c>
      <c r="N534" s="202">
        <f>0+táj.2!N534</f>
        <v>0</v>
      </c>
      <c r="O534" s="202">
        <f>0+táj.2!O534</f>
        <v>0</v>
      </c>
      <c r="P534" s="202">
        <f>0+táj.2!P534</f>
        <v>0</v>
      </c>
      <c r="Q534" s="170">
        <f t="shared" si="32"/>
        <v>0</v>
      </c>
    </row>
    <row r="535" spans="1:17" ht="16.5" customHeight="1" x14ac:dyDescent="0.2">
      <c r="A535" s="197"/>
      <c r="B535" s="381"/>
      <c r="C535" s="631" t="s">
        <v>887</v>
      </c>
      <c r="D535" s="382" t="s">
        <v>907</v>
      </c>
      <c r="E535" s="610"/>
      <c r="F535" s="230">
        <v>152497</v>
      </c>
      <c r="G535" s="202">
        <f>0+táj.2!G535</f>
        <v>0</v>
      </c>
      <c r="H535" s="202">
        <f>0+táj.2!H535</f>
        <v>0</v>
      </c>
      <c r="I535" s="202">
        <f>0+táj.2!I535</f>
        <v>0</v>
      </c>
      <c r="J535" s="202">
        <f>0+táj.2!J535</f>
        <v>0</v>
      </c>
      <c r="K535" s="202">
        <f>0+táj.2!K535</f>
        <v>0</v>
      </c>
      <c r="L535" s="202">
        <f>0+táj.2!L535</f>
        <v>0</v>
      </c>
      <c r="M535" s="202">
        <f>0+táj.2!M535</f>
        <v>0</v>
      </c>
      <c r="N535" s="202">
        <f>0+táj.2!N535</f>
        <v>0</v>
      </c>
      <c r="O535" s="202">
        <f>0+táj.2!O535</f>
        <v>0</v>
      </c>
      <c r="P535" s="202">
        <f>0+táj.2!P535</f>
        <v>0</v>
      </c>
      <c r="Q535" s="170">
        <f t="shared" si="32"/>
        <v>0</v>
      </c>
    </row>
    <row r="536" spans="1:17" ht="16.5" customHeight="1" x14ac:dyDescent="0.2">
      <c r="A536" s="197"/>
      <c r="B536" s="381"/>
      <c r="C536" s="631" t="s">
        <v>889</v>
      </c>
      <c r="D536" s="353" t="s">
        <v>909</v>
      </c>
      <c r="E536" s="610"/>
      <c r="F536" s="230">
        <v>152498</v>
      </c>
      <c r="G536" s="202">
        <f>0+táj.2!G536</f>
        <v>0</v>
      </c>
      <c r="H536" s="202">
        <f>0+táj.2!H536</f>
        <v>0</v>
      </c>
      <c r="I536" s="202">
        <f>0+táj.2!I536</f>
        <v>0</v>
      </c>
      <c r="J536" s="202">
        <f>0+táj.2!J536</f>
        <v>0</v>
      </c>
      <c r="K536" s="202">
        <f>0+táj.2!K536</f>
        <v>0</v>
      </c>
      <c r="L536" s="202">
        <f>0+táj.2!L536</f>
        <v>0</v>
      </c>
      <c r="M536" s="202">
        <f>0+táj.2!M536</f>
        <v>0</v>
      </c>
      <c r="N536" s="202">
        <f>0+táj.2!N536</f>
        <v>0</v>
      </c>
      <c r="O536" s="202">
        <f>0+táj.2!O536</f>
        <v>0</v>
      </c>
      <c r="P536" s="202">
        <f>0+táj.2!P536</f>
        <v>0</v>
      </c>
      <c r="Q536" s="170">
        <f t="shared" si="32"/>
        <v>0</v>
      </c>
    </row>
    <row r="537" spans="1:17" ht="16.5" customHeight="1" x14ac:dyDescent="0.2">
      <c r="A537" s="197"/>
      <c r="B537" s="381"/>
      <c r="C537" s="631" t="s">
        <v>891</v>
      </c>
      <c r="D537" s="353" t="s">
        <v>911</v>
      </c>
      <c r="E537" s="610"/>
      <c r="F537" s="230">
        <v>155495</v>
      </c>
      <c r="G537" s="202">
        <f>0+táj.2!G537</f>
        <v>0</v>
      </c>
      <c r="H537" s="202">
        <f>0+táj.2!H537</f>
        <v>0</v>
      </c>
      <c r="I537" s="202">
        <f>0+táj.2!I537</f>
        <v>0</v>
      </c>
      <c r="J537" s="202">
        <f>0+táj.2!J537</f>
        <v>0</v>
      </c>
      <c r="K537" s="202">
        <f>0+táj.2!K537</f>
        <v>0</v>
      </c>
      <c r="L537" s="202">
        <f>0+táj.2!L537</f>
        <v>0</v>
      </c>
      <c r="M537" s="202">
        <f>0+táj.2!M537</f>
        <v>0</v>
      </c>
      <c r="N537" s="202">
        <f>0+táj.2!N537</f>
        <v>0</v>
      </c>
      <c r="O537" s="202">
        <f>0+táj.2!O537</f>
        <v>0</v>
      </c>
      <c r="P537" s="202">
        <f>0+táj.2!P537</f>
        <v>0</v>
      </c>
      <c r="Q537" s="170">
        <f t="shared" si="32"/>
        <v>0</v>
      </c>
    </row>
    <row r="538" spans="1:17" ht="16.5" customHeight="1" x14ac:dyDescent="0.2">
      <c r="A538" s="197"/>
      <c r="B538" s="381"/>
      <c r="C538" s="631" t="s">
        <v>893</v>
      </c>
      <c r="D538" s="382" t="s">
        <v>917</v>
      </c>
      <c r="E538" s="610"/>
      <c r="F538" s="230">
        <v>152421</v>
      </c>
      <c r="G538" s="202">
        <f>0+táj.2!G538</f>
        <v>0</v>
      </c>
      <c r="H538" s="202">
        <f>0+táj.2!H538</f>
        <v>0</v>
      </c>
      <c r="I538" s="202">
        <f>0+táj.2!I538</f>
        <v>0</v>
      </c>
      <c r="J538" s="202">
        <f>0+táj.2!J538</f>
        <v>0</v>
      </c>
      <c r="K538" s="202">
        <f>0+táj.2!K538</f>
        <v>0</v>
      </c>
      <c r="L538" s="202">
        <f>0+táj.2!L538</f>
        <v>0</v>
      </c>
      <c r="M538" s="202">
        <f>0+táj.2!M538</f>
        <v>0</v>
      </c>
      <c r="N538" s="202">
        <f>0+táj.2!N538</f>
        <v>0</v>
      </c>
      <c r="O538" s="202">
        <f>0+táj.2!O538</f>
        <v>0</v>
      </c>
      <c r="P538" s="202">
        <f>0+táj.2!P538</f>
        <v>0</v>
      </c>
      <c r="Q538" s="170">
        <f t="shared" si="32"/>
        <v>0</v>
      </c>
    </row>
    <row r="539" spans="1:17" ht="16.5" customHeight="1" x14ac:dyDescent="0.2">
      <c r="A539" s="197"/>
      <c r="B539" s="381"/>
      <c r="C539" s="631" t="s">
        <v>895</v>
      </c>
      <c r="D539" s="353" t="s">
        <v>919</v>
      </c>
      <c r="E539" s="610"/>
      <c r="F539" s="230">
        <v>152422</v>
      </c>
      <c r="G539" s="202">
        <f>0+táj.2!G539</f>
        <v>0</v>
      </c>
      <c r="H539" s="202">
        <f>0+táj.2!H539</f>
        <v>0</v>
      </c>
      <c r="I539" s="202">
        <f>0+táj.2!I539</f>
        <v>0</v>
      </c>
      <c r="J539" s="202">
        <f>0+táj.2!J539</f>
        <v>0</v>
      </c>
      <c r="K539" s="202">
        <f>0+táj.2!K539</f>
        <v>0</v>
      </c>
      <c r="L539" s="202">
        <f>0+táj.2!L539</f>
        <v>0</v>
      </c>
      <c r="M539" s="202">
        <f>0+táj.2!M539</f>
        <v>0</v>
      </c>
      <c r="N539" s="202">
        <f>0+táj.2!N539</f>
        <v>0</v>
      </c>
      <c r="O539" s="202">
        <f>0+táj.2!O539</f>
        <v>0</v>
      </c>
      <c r="P539" s="202">
        <f>0+táj.2!P539</f>
        <v>0</v>
      </c>
      <c r="Q539" s="170">
        <f t="shared" si="32"/>
        <v>0</v>
      </c>
    </row>
    <row r="540" spans="1:17" ht="16.5" customHeight="1" x14ac:dyDescent="0.2">
      <c r="A540" s="197"/>
      <c r="B540" s="381"/>
      <c r="C540" s="631" t="s">
        <v>896</v>
      </c>
      <c r="D540" s="353" t="s">
        <v>923</v>
      </c>
      <c r="E540" s="610"/>
      <c r="F540" s="230">
        <v>152423</v>
      </c>
      <c r="G540" s="202">
        <f>0+táj.2!G540</f>
        <v>0</v>
      </c>
      <c r="H540" s="202">
        <f>0+táj.2!H540</f>
        <v>0</v>
      </c>
      <c r="I540" s="202">
        <f>0+táj.2!I540</f>
        <v>0</v>
      </c>
      <c r="J540" s="202">
        <f>0+táj.2!J540</f>
        <v>0</v>
      </c>
      <c r="K540" s="202">
        <f>0+táj.2!K540</f>
        <v>0</v>
      </c>
      <c r="L540" s="202">
        <f>0+táj.2!L540</f>
        <v>0</v>
      </c>
      <c r="M540" s="202">
        <f>0+táj.2!M540</f>
        <v>0</v>
      </c>
      <c r="N540" s="202">
        <f>0+táj.2!N540</f>
        <v>0</v>
      </c>
      <c r="O540" s="202">
        <f>0+táj.2!O540</f>
        <v>0</v>
      </c>
      <c r="P540" s="202">
        <f>0+táj.2!P540</f>
        <v>0</v>
      </c>
      <c r="Q540" s="170">
        <f t="shared" si="32"/>
        <v>0</v>
      </c>
    </row>
    <row r="541" spans="1:17" ht="16.5" customHeight="1" x14ac:dyDescent="0.2">
      <c r="A541" s="197"/>
      <c r="B541" s="381"/>
      <c r="C541" s="631" t="s">
        <v>898</v>
      </c>
      <c r="D541" s="353" t="s">
        <v>925</v>
      </c>
      <c r="E541" s="610"/>
      <c r="F541" s="230">
        <v>152424</v>
      </c>
      <c r="G541" s="202">
        <f>0+táj.2!G541</f>
        <v>0</v>
      </c>
      <c r="H541" s="202">
        <f>0+táj.2!H541</f>
        <v>0</v>
      </c>
      <c r="I541" s="202">
        <f>0+táj.2!I541</f>
        <v>0</v>
      </c>
      <c r="J541" s="202">
        <f>0+táj.2!J541</f>
        <v>0</v>
      </c>
      <c r="K541" s="202">
        <f>0+táj.2!K541</f>
        <v>0</v>
      </c>
      <c r="L541" s="202">
        <f>0+táj.2!L541</f>
        <v>0</v>
      </c>
      <c r="M541" s="202">
        <f>0+táj.2!M541</f>
        <v>0</v>
      </c>
      <c r="N541" s="202">
        <f>0+táj.2!N541</f>
        <v>0</v>
      </c>
      <c r="O541" s="202">
        <f>0+táj.2!O541</f>
        <v>0</v>
      </c>
      <c r="P541" s="202">
        <f>0+táj.2!P541</f>
        <v>0</v>
      </c>
      <c r="Q541" s="170">
        <f t="shared" si="32"/>
        <v>0</v>
      </c>
    </row>
    <row r="542" spans="1:17" ht="17.100000000000001" customHeight="1" x14ac:dyDescent="0.2">
      <c r="A542" s="197"/>
      <c r="B542" s="197"/>
      <c r="C542" s="631"/>
      <c r="D542" s="314" t="s">
        <v>502</v>
      </c>
      <c r="E542" s="230"/>
      <c r="F542" s="230"/>
      <c r="G542" s="202"/>
      <c r="H542" s="202"/>
      <c r="I542" s="202"/>
      <c r="J542" s="202"/>
      <c r="K542" s="202"/>
      <c r="L542" s="202"/>
      <c r="M542" s="202"/>
      <c r="N542" s="202"/>
      <c r="O542" s="202"/>
      <c r="P542" s="202"/>
      <c r="Q542" s="170"/>
    </row>
    <row r="543" spans="1:17" ht="17.100000000000001" customHeight="1" x14ac:dyDescent="0.2">
      <c r="A543" s="197"/>
      <c r="B543" s="197"/>
      <c r="C543" s="631" t="s">
        <v>965</v>
      </c>
      <c r="D543" s="383" t="s">
        <v>1081</v>
      </c>
      <c r="E543" s="230"/>
      <c r="F543" s="230">
        <v>162424</v>
      </c>
      <c r="G543" s="202">
        <f>0+táj.2!G543</f>
        <v>0</v>
      </c>
      <c r="H543" s="202">
        <f>0+táj.2!H543</f>
        <v>0</v>
      </c>
      <c r="I543" s="202">
        <f>252+táj.2!I543</f>
        <v>252</v>
      </c>
      <c r="J543" s="202">
        <f>0+táj.2!J543</f>
        <v>0</v>
      </c>
      <c r="K543" s="202">
        <f>0+táj.2!K543</f>
        <v>0</v>
      </c>
      <c r="L543" s="202">
        <f>0+táj.2!L543</f>
        <v>0</v>
      </c>
      <c r="M543" s="202">
        <f>0+táj.2!M543</f>
        <v>0</v>
      </c>
      <c r="N543" s="202">
        <f>0+táj.2!N543</f>
        <v>0</v>
      </c>
      <c r="O543" s="202">
        <f>0+táj.2!O543</f>
        <v>0</v>
      </c>
      <c r="P543" s="202">
        <f>0+táj.2!P543</f>
        <v>0</v>
      </c>
      <c r="Q543" s="170">
        <f>SUM(G543:P543)</f>
        <v>252</v>
      </c>
    </row>
    <row r="544" spans="1:17" ht="17.100000000000001" customHeight="1" x14ac:dyDescent="0.2">
      <c r="A544" s="197"/>
      <c r="B544" s="197"/>
      <c r="C544" s="631" t="s">
        <v>967</v>
      </c>
      <c r="D544" s="325" t="s">
        <v>1082</v>
      </c>
      <c r="E544" s="230"/>
      <c r="F544" s="230">
        <v>154416</v>
      </c>
      <c r="G544" s="202">
        <f>0+táj.2!G544</f>
        <v>0</v>
      </c>
      <c r="H544" s="202">
        <f>0+táj.2!H544</f>
        <v>0</v>
      </c>
      <c r="I544" s="202">
        <f>0+táj.2!I544</f>
        <v>0</v>
      </c>
      <c r="J544" s="202">
        <f>0+táj.2!J544</f>
        <v>0</v>
      </c>
      <c r="K544" s="202">
        <f>0+táj.2!K544</f>
        <v>0</v>
      </c>
      <c r="L544" s="202">
        <f>0+táj.2!L544</f>
        <v>0</v>
      </c>
      <c r="M544" s="202">
        <f>3649+táj.2!M544</f>
        <v>3649</v>
      </c>
      <c r="N544" s="202">
        <f>0+táj.2!N544</f>
        <v>0</v>
      </c>
      <c r="O544" s="202">
        <f>0+táj.2!O544</f>
        <v>0</v>
      </c>
      <c r="P544" s="202">
        <f>0+táj.2!P544</f>
        <v>0</v>
      </c>
      <c r="Q544" s="170">
        <f>SUM(G544:P544)</f>
        <v>3649</v>
      </c>
    </row>
    <row r="545" spans="1:17" ht="17.100000000000001" customHeight="1" x14ac:dyDescent="0.2">
      <c r="A545" s="197"/>
      <c r="B545" s="197"/>
      <c r="C545" s="631" t="s">
        <v>969</v>
      </c>
      <c r="D545" s="325" t="s">
        <v>976</v>
      </c>
      <c r="E545" s="230"/>
      <c r="F545" s="230">
        <v>152415</v>
      </c>
      <c r="G545" s="202">
        <f>0+táj.2!G545</f>
        <v>0</v>
      </c>
      <c r="H545" s="202">
        <f>0+táj.2!H545</f>
        <v>0</v>
      </c>
      <c r="I545" s="202">
        <f>0+táj.2!I545</f>
        <v>0</v>
      </c>
      <c r="J545" s="202">
        <f>0+táj.2!J545</f>
        <v>0</v>
      </c>
      <c r="K545" s="202">
        <f>0+táj.2!K545</f>
        <v>0</v>
      </c>
      <c r="L545" s="202">
        <f>0+táj.2!L545</f>
        <v>0</v>
      </c>
      <c r="M545" s="202">
        <f>0+táj.2!M545</f>
        <v>0</v>
      </c>
      <c r="N545" s="202">
        <f>0+táj.2!N545</f>
        <v>0</v>
      </c>
      <c r="O545" s="202">
        <f>0+táj.2!O545</f>
        <v>0</v>
      </c>
      <c r="P545" s="202">
        <f>0+táj.2!P545</f>
        <v>0</v>
      </c>
      <c r="Q545" s="170">
        <f>SUM(G545:P545)</f>
        <v>0</v>
      </c>
    </row>
    <row r="546" spans="1:17" ht="17.100000000000001" customHeight="1" x14ac:dyDescent="0.2">
      <c r="A546" s="197"/>
      <c r="B546" s="197"/>
      <c r="C546" s="631" t="s">
        <v>971</v>
      </c>
      <c r="D546" s="171" t="s">
        <v>980</v>
      </c>
      <c r="E546" s="230"/>
      <c r="F546" s="230">
        <v>164416</v>
      </c>
      <c r="G546" s="202">
        <f>0+táj.2!G546</f>
        <v>0</v>
      </c>
      <c r="H546" s="202">
        <f>0+táj.2!H546</f>
        <v>0</v>
      </c>
      <c r="I546" s="202">
        <f>0+táj.2!I546</f>
        <v>0</v>
      </c>
      <c r="J546" s="202">
        <f>0+táj.2!J546</f>
        <v>0</v>
      </c>
      <c r="K546" s="202">
        <f>0+táj.2!K546</f>
        <v>0</v>
      </c>
      <c r="L546" s="202">
        <f>0+táj.2!L546</f>
        <v>0</v>
      </c>
      <c r="M546" s="202">
        <f>7968+táj.2!M546</f>
        <v>7968</v>
      </c>
      <c r="N546" s="202">
        <f>0+táj.2!N546</f>
        <v>0</v>
      </c>
      <c r="O546" s="202">
        <f>0+táj.2!O546</f>
        <v>0</v>
      </c>
      <c r="P546" s="202">
        <f>0+táj.2!P546</f>
        <v>0</v>
      </c>
      <c r="Q546" s="170">
        <f>SUM(G546:P546)</f>
        <v>7968</v>
      </c>
    </row>
    <row r="547" spans="1:17" ht="17.100000000000001" customHeight="1" x14ac:dyDescent="0.2">
      <c r="A547" s="197"/>
      <c r="B547" s="197"/>
      <c r="C547" s="631" t="s">
        <v>973</v>
      </c>
      <c r="D547" s="245" t="s">
        <v>983</v>
      </c>
      <c r="E547" s="230"/>
      <c r="F547" s="230">
        <v>152408</v>
      </c>
      <c r="G547" s="202">
        <f>0+táj.2!G547</f>
        <v>0</v>
      </c>
      <c r="H547" s="202">
        <f>0+táj.2!H547</f>
        <v>0</v>
      </c>
      <c r="I547" s="202">
        <f>0+táj.2!I547</f>
        <v>0</v>
      </c>
      <c r="J547" s="202">
        <f>0+táj.2!J547</f>
        <v>0</v>
      </c>
      <c r="K547" s="202">
        <f>0+táj.2!K547</f>
        <v>0</v>
      </c>
      <c r="L547" s="202">
        <f>0+táj.2!L547</f>
        <v>0</v>
      </c>
      <c r="M547" s="202">
        <f>0+táj.2!M547</f>
        <v>0</v>
      </c>
      <c r="N547" s="202">
        <f>0+táj.2!N547</f>
        <v>0</v>
      </c>
      <c r="O547" s="202">
        <f>0+táj.2!O547</f>
        <v>0</v>
      </c>
      <c r="P547" s="202">
        <f>0+táj.2!P547</f>
        <v>0</v>
      </c>
      <c r="Q547" s="170">
        <f>SUM(G547:P547)</f>
        <v>0</v>
      </c>
    </row>
    <row r="548" spans="1:17" ht="17.100000000000001" customHeight="1" x14ac:dyDescent="0.2">
      <c r="A548" s="197"/>
      <c r="B548" s="197"/>
      <c r="C548" s="632" t="s">
        <v>115</v>
      </c>
      <c r="D548" s="288" t="s">
        <v>984</v>
      </c>
      <c r="E548" s="230"/>
      <c r="F548" s="230"/>
      <c r="G548" s="202"/>
      <c r="H548" s="202"/>
      <c r="I548" s="202"/>
      <c r="J548" s="202"/>
      <c r="K548" s="202"/>
      <c r="L548" s="202"/>
      <c r="M548" s="202"/>
      <c r="N548" s="202"/>
      <c r="O548" s="202"/>
      <c r="P548" s="202"/>
      <c r="Q548" s="170"/>
    </row>
    <row r="549" spans="1:17" ht="17.100000000000001" customHeight="1" x14ac:dyDescent="0.2">
      <c r="A549" s="197"/>
      <c r="B549" s="197"/>
      <c r="C549" s="632" t="s">
        <v>985</v>
      </c>
      <c r="D549" s="609" t="s">
        <v>1083</v>
      </c>
      <c r="E549" s="230"/>
      <c r="F549" s="230">
        <v>162505</v>
      </c>
      <c r="G549" s="202">
        <f>0+táj.2!G549</f>
        <v>0</v>
      </c>
      <c r="H549" s="202">
        <f>0+táj.2!H549</f>
        <v>0</v>
      </c>
      <c r="I549" s="202">
        <f>0+táj.2!I549</f>
        <v>0</v>
      </c>
      <c r="J549" s="202">
        <f>0+táj.2!J549</f>
        <v>0</v>
      </c>
      <c r="K549" s="202">
        <f>0+táj.2!K549</f>
        <v>0</v>
      </c>
      <c r="L549" s="202">
        <f>0+táj.2!L549</f>
        <v>0</v>
      </c>
      <c r="M549" s="202">
        <f>0+táj.2!M549</f>
        <v>0</v>
      </c>
      <c r="N549" s="202">
        <f>0+táj.2!N549</f>
        <v>0</v>
      </c>
      <c r="O549" s="202">
        <f>0+táj.2!O549</f>
        <v>0</v>
      </c>
      <c r="P549" s="202">
        <f>0+táj.2!P549</f>
        <v>0</v>
      </c>
      <c r="Q549" s="170">
        <f>SUM(G549:P549)</f>
        <v>0</v>
      </c>
    </row>
    <row r="550" spans="1:17" ht="17.100000000000001" customHeight="1" x14ac:dyDescent="0.2">
      <c r="A550" s="197"/>
      <c r="B550" s="197"/>
      <c r="C550" s="629"/>
      <c r="D550" s="314" t="s">
        <v>502</v>
      </c>
      <c r="E550" s="230"/>
      <c r="F550" s="230"/>
      <c r="G550" s="202"/>
      <c r="H550" s="202"/>
      <c r="I550" s="202"/>
      <c r="J550" s="202"/>
      <c r="K550" s="202"/>
      <c r="L550" s="202"/>
      <c r="M550" s="202"/>
      <c r="N550" s="202"/>
      <c r="O550" s="202"/>
      <c r="P550" s="202"/>
      <c r="Q550" s="170"/>
    </row>
    <row r="551" spans="1:17" ht="17.100000000000001" customHeight="1" x14ac:dyDescent="0.2">
      <c r="A551" s="197"/>
      <c r="B551" s="197"/>
      <c r="C551" s="633" t="s">
        <v>1012</v>
      </c>
      <c r="D551" s="314" t="s">
        <v>1084</v>
      </c>
      <c r="E551" s="230"/>
      <c r="F551" s="230">
        <v>154513</v>
      </c>
      <c r="G551" s="202">
        <f>0+táj.2!G551</f>
        <v>0</v>
      </c>
      <c r="H551" s="202">
        <f>0+táj.2!H551</f>
        <v>0</v>
      </c>
      <c r="I551" s="202">
        <f>0+táj.2!I551</f>
        <v>0</v>
      </c>
      <c r="J551" s="202">
        <f>0+táj.2!J551</f>
        <v>0</v>
      </c>
      <c r="K551" s="202">
        <f>0+táj.2!K551</f>
        <v>0</v>
      </c>
      <c r="L551" s="202">
        <f>68+táj.2!L551</f>
        <v>68</v>
      </c>
      <c r="M551" s="202">
        <f>0+táj.2!M551</f>
        <v>0</v>
      </c>
      <c r="N551" s="202">
        <f>0+táj.2!N551</f>
        <v>0</v>
      </c>
      <c r="O551" s="202">
        <f>0+táj.2!O551</f>
        <v>0</v>
      </c>
      <c r="P551" s="202">
        <f>0+táj.2!P551</f>
        <v>0</v>
      </c>
      <c r="Q551" s="170">
        <f>SUM(G551:P551)</f>
        <v>68</v>
      </c>
    </row>
    <row r="552" spans="1:17" ht="17.100000000000001" customHeight="1" x14ac:dyDescent="0.2">
      <c r="A552" s="197"/>
      <c r="B552" s="197"/>
      <c r="C552" s="633" t="s">
        <v>1014</v>
      </c>
      <c r="D552" s="314" t="s">
        <v>1085</v>
      </c>
      <c r="E552" s="230"/>
      <c r="F552" s="230">
        <v>154518</v>
      </c>
      <c r="G552" s="202">
        <f>0+táj.2!G552</f>
        <v>0</v>
      </c>
      <c r="H552" s="202">
        <f>0+táj.2!H552</f>
        <v>0</v>
      </c>
      <c r="I552" s="202">
        <f>0+táj.2!I552</f>
        <v>0</v>
      </c>
      <c r="J552" s="202">
        <f>0+táj.2!J552</f>
        <v>0</v>
      </c>
      <c r="K552" s="202">
        <f>0+táj.2!K552</f>
        <v>0</v>
      </c>
      <c r="L552" s="202">
        <f>187+táj.2!L552</f>
        <v>187</v>
      </c>
      <c r="M552" s="202">
        <f>0+táj.2!M552</f>
        <v>0</v>
      </c>
      <c r="N552" s="202">
        <f>0+táj.2!N552</f>
        <v>0</v>
      </c>
      <c r="O552" s="202">
        <f>0+táj.2!O552</f>
        <v>0</v>
      </c>
      <c r="P552" s="202">
        <f>0+táj.2!P552</f>
        <v>0</v>
      </c>
      <c r="Q552" s="170">
        <f>SUM(G552:P552)</f>
        <v>187</v>
      </c>
    </row>
    <row r="553" spans="1:17" ht="17.100000000000001" customHeight="1" x14ac:dyDescent="0.2">
      <c r="A553" s="197"/>
      <c r="B553" s="197"/>
      <c r="C553" s="629" t="s">
        <v>114</v>
      </c>
      <c r="D553" s="357" t="s">
        <v>1086</v>
      </c>
      <c r="E553" s="230"/>
      <c r="F553" s="230"/>
      <c r="G553" s="202"/>
      <c r="H553" s="202"/>
      <c r="I553" s="202"/>
      <c r="J553" s="202"/>
      <c r="K553" s="202"/>
      <c r="L553" s="202"/>
      <c r="M553" s="202"/>
      <c r="N553" s="202"/>
      <c r="O553" s="202"/>
      <c r="P553" s="202"/>
      <c r="Q553" s="170"/>
    </row>
    <row r="554" spans="1:17" ht="17.100000000000001" customHeight="1" x14ac:dyDescent="0.2">
      <c r="A554" s="197"/>
      <c r="B554" s="197"/>
      <c r="C554" s="629"/>
      <c r="D554" s="314" t="s">
        <v>502</v>
      </c>
      <c r="E554" s="230"/>
      <c r="F554" s="230"/>
      <c r="G554" s="202"/>
      <c r="H554" s="202"/>
      <c r="I554" s="202"/>
      <c r="J554" s="202"/>
      <c r="K554" s="202"/>
      <c r="L554" s="202"/>
      <c r="M554" s="202"/>
      <c r="N554" s="202"/>
      <c r="O554" s="202"/>
      <c r="P554" s="202"/>
      <c r="Q554" s="170"/>
    </row>
    <row r="555" spans="1:17" ht="17.100000000000001" customHeight="1" x14ac:dyDescent="0.2">
      <c r="A555" s="197"/>
      <c r="B555" s="197"/>
      <c r="C555" s="634" t="s">
        <v>672</v>
      </c>
      <c r="D555" s="384" t="s">
        <v>1087</v>
      </c>
      <c r="E555" s="386"/>
      <c r="F555" s="386">
        <v>162601</v>
      </c>
      <c r="G555" s="202">
        <f>0+táj.2!G555</f>
        <v>0</v>
      </c>
      <c r="H555" s="202">
        <f>0+táj.2!H555</f>
        <v>0</v>
      </c>
      <c r="I555" s="202">
        <f>0+táj.2!I555</f>
        <v>0</v>
      </c>
      <c r="J555" s="202">
        <f>0+táj.2!J555</f>
        <v>0</v>
      </c>
      <c r="K555" s="202">
        <f>0+táj.2!K555</f>
        <v>0</v>
      </c>
      <c r="L555" s="202">
        <f>1791+táj.2!L555</f>
        <v>1791</v>
      </c>
      <c r="M555" s="202">
        <f>0+táj.2!M555</f>
        <v>0</v>
      </c>
      <c r="N555" s="202">
        <f>0+táj.2!N555</f>
        <v>0</v>
      </c>
      <c r="O555" s="202">
        <f>0+táj.2!O555</f>
        <v>0</v>
      </c>
      <c r="P555" s="202">
        <f>0+táj.2!P555</f>
        <v>0</v>
      </c>
      <c r="Q555" s="170">
        <f>SUM(G555:P555)</f>
        <v>1791</v>
      </c>
    </row>
    <row r="556" spans="1:17" ht="17.100000000000001" customHeight="1" x14ac:dyDescent="0.2">
      <c r="A556" s="197"/>
      <c r="B556" s="197"/>
      <c r="C556" s="634" t="s">
        <v>674</v>
      </c>
      <c r="D556" s="384" t="s">
        <v>1088</v>
      </c>
      <c r="E556" s="386"/>
      <c r="F556" s="386">
        <v>162636</v>
      </c>
      <c r="G556" s="202">
        <f>0+táj.2!G556</f>
        <v>0</v>
      </c>
      <c r="H556" s="202">
        <f>0+táj.2!H556</f>
        <v>0</v>
      </c>
      <c r="I556" s="202">
        <f>0+táj.2!I556</f>
        <v>0</v>
      </c>
      <c r="J556" s="202">
        <f>0+táj.2!J556</f>
        <v>0</v>
      </c>
      <c r="K556" s="202">
        <f>0+táj.2!K556</f>
        <v>0</v>
      </c>
      <c r="L556" s="202">
        <f>7510+táj.2!L556</f>
        <v>7510</v>
      </c>
      <c r="M556" s="202">
        <f>0+táj.2!M556</f>
        <v>0</v>
      </c>
      <c r="N556" s="202">
        <f>0+táj.2!N556</f>
        <v>0</v>
      </c>
      <c r="O556" s="202">
        <f>0+táj.2!O556</f>
        <v>0</v>
      </c>
      <c r="P556" s="202">
        <f>0+táj.2!P556</f>
        <v>0</v>
      </c>
      <c r="Q556" s="170">
        <f>SUM(G556:P556)</f>
        <v>7510</v>
      </c>
    </row>
    <row r="557" spans="1:17" ht="17.100000000000001" customHeight="1" x14ac:dyDescent="0.2">
      <c r="A557" s="197"/>
      <c r="B557" s="197"/>
      <c r="C557" s="634" t="s">
        <v>676</v>
      </c>
      <c r="D557" s="384" t="s">
        <v>1089</v>
      </c>
      <c r="E557" s="386"/>
      <c r="F557" s="386">
        <v>162637</v>
      </c>
      <c r="G557" s="202">
        <f>0+táj.2!G557</f>
        <v>0</v>
      </c>
      <c r="H557" s="202">
        <f>0+táj.2!H557</f>
        <v>0</v>
      </c>
      <c r="I557" s="202">
        <f>0+táj.2!I557</f>
        <v>0</v>
      </c>
      <c r="J557" s="202">
        <f>0+táj.2!J557</f>
        <v>0</v>
      </c>
      <c r="K557" s="202">
        <f>0+táj.2!K557</f>
        <v>0</v>
      </c>
      <c r="L557" s="202">
        <f>3651+táj.2!L557</f>
        <v>3651</v>
      </c>
      <c r="M557" s="202">
        <f>0+táj.2!M557</f>
        <v>0</v>
      </c>
      <c r="N557" s="202">
        <f>0+táj.2!N557</f>
        <v>0</v>
      </c>
      <c r="O557" s="202">
        <f>0+táj.2!O557</f>
        <v>0</v>
      </c>
      <c r="P557" s="202">
        <f>0+táj.2!P557</f>
        <v>0</v>
      </c>
      <c r="Q557" s="170">
        <f>SUM(G557:P557)</f>
        <v>3651</v>
      </c>
    </row>
    <row r="558" spans="1:17" ht="17.100000000000001" customHeight="1" x14ac:dyDescent="0.2">
      <c r="A558" s="197"/>
      <c r="B558" s="197"/>
      <c r="C558" s="629" t="s">
        <v>116</v>
      </c>
      <c r="D558" s="387" t="s">
        <v>1022</v>
      </c>
      <c r="E558" s="358"/>
      <c r="F558" s="230"/>
      <c r="G558" s="202"/>
      <c r="H558" s="202"/>
      <c r="I558" s="202"/>
      <c r="J558" s="202"/>
      <c r="K558" s="202"/>
      <c r="L558" s="202"/>
      <c r="M558" s="202"/>
      <c r="N558" s="202"/>
      <c r="O558" s="202"/>
      <c r="P558" s="202"/>
      <c r="Q558" s="170"/>
    </row>
    <row r="559" spans="1:17" ht="17.100000000000001" customHeight="1" x14ac:dyDescent="0.2">
      <c r="A559" s="197"/>
      <c r="B559" s="197"/>
      <c r="C559" s="634"/>
      <c r="D559" s="314" t="s">
        <v>502</v>
      </c>
      <c r="E559" s="358"/>
      <c r="F559" s="230"/>
      <c r="G559" s="202"/>
      <c r="H559" s="202"/>
      <c r="I559" s="202"/>
      <c r="J559" s="202"/>
      <c r="K559" s="202"/>
      <c r="L559" s="202"/>
      <c r="M559" s="202"/>
      <c r="N559" s="202"/>
      <c r="O559" s="202"/>
      <c r="P559" s="202"/>
      <c r="Q559" s="170"/>
    </row>
    <row r="560" spans="1:17" ht="26.25" customHeight="1" x14ac:dyDescent="0.2">
      <c r="A560" s="197"/>
      <c r="B560" s="197"/>
      <c r="C560" s="634" t="s">
        <v>1090</v>
      </c>
      <c r="D560" s="388" t="s">
        <v>1091</v>
      </c>
      <c r="E560" s="358"/>
      <c r="F560" s="230">
        <v>162701</v>
      </c>
      <c r="G560" s="202">
        <f>0+táj.2!G560</f>
        <v>0</v>
      </c>
      <c r="H560" s="202">
        <f>0+táj.2!H560</f>
        <v>0</v>
      </c>
      <c r="I560" s="202">
        <f>6777+táj.2!I560</f>
        <v>6777</v>
      </c>
      <c r="J560" s="202">
        <f>0+táj.2!J560</f>
        <v>0</v>
      </c>
      <c r="K560" s="202">
        <f>0+táj.2!K560</f>
        <v>0</v>
      </c>
      <c r="L560" s="202">
        <f>0+táj.2!L560</f>
        <v>0</v>
      </c>
      <c r="M560" s="202">
        <f>0+táj.2!M560</f>
        <v>0</v>
      </c>
      <c r="N560" s="202">
        <f>0+táj.2!N560</f>
        <v>0</v>
      </c>
      <c r="O560" s="202">
        <f>0+táj.2!O560</f>
        <v>0</v>
      </c>
      <c r="P560" s="202">
        <f>0+táj.2!P560</f>
        <v>0</v>
      </c>
      <c r="Q560" s="170">
        <f>SUM(G560:P560)</f>
        <v>6777</v>
      </c>
    </row>
    <row r="561" spans="1:17" ht="16.5" customHeight="1" x14ac:dyDescent="0.2">
      <c r="A561" s="197"/>
      <c r="B561" s="197"/>
      <c r="C561" s="629" t="s">
        <v>117</v>
      </c>
      <c r="D561" s="389" t="s">
        <v>1023</v>
      </c>
      <c r="E561" s="358"/>
      <c r="F561" s="230"/>
      <c r="G561" s="202"/>
      <c r="H561" s="202"/>
      <c r="I561" s="202"/>
      <c r="J561" s="202"/>
      <c r="K561" s="202"/>
      <c r="L561" s="202"/>
      <c r="M561" s="202"/>
      <c r="N561" s="202"/>
      <c r="O561" s="202"/>
      <c r="P561" s="202"/>
      <c r="Q561" s="170"/>
    </row>
    <row r="562" spans="1:17" ht="16.5" customHeight="1" x14ac:dyDescent="0.2">
      <c r="A562" s="862"/>
      <c r="B562" s="862"/>
      <c r="C562" s="305" t="s">
        <v>1495</v>
      </c>
      <c r="D562" s="915" t="s">
        <v>1496</v>
      </c>
      <c r="E562" s="916"/>
      <c r="F562" s="858">
        <v>152811</v>
      </c>
      <c r="G562" s="202">
        <f>0+táj.2!G562</f>
        <v>0</v>
      </c>
      <c r="H562" s="202">
        <f>0+táj.2!H562</f>
        <v>0</v>
      </c>
      <c r="I562" s="202">
        <f>0+táj.2!I562</f>
        <v>0</v>
      </c>
      <c r="J562" s="202">
        <f>0+táj.2!J562</f>
        <v>0</v>
      </c>
      <c r="K562" s="202">
        <f>0+táj.2!K562</f>
        <v>0</v>
      </c>
      <c r="L562" s="202">
        <f>0+táj.2!L562</f>
        <v>8000</v>
      </c>
      <c r="M562" s="202">
        <f>0+táj.2!M562</f>
        <v>0</v>
      </c>
      <c r="N562" s="202">
        <f>0+táj.2!N562</f>
        <v>0</v>
      </c>
      <c r="O562" s="202">
        <f>0+táj.2!O562</f>
        <v>0</v>
      </c>
      <c r="P562" s="202">
        <f>0+táj.2!P562</f>
        <v>0</v>
      </c>
      <c r="Q562" s="170">
        <f t="shared" ref="Q562" si="33">SUM(G562:P562)</f>
        <v>8000</v>
      </c>
    </row>
    <row r="563" spans="1:17" s="15" customFormat="1" ht="15.75" customHeight="1" x14ac:dyDescent="0.2">
      <c r="A563" s="683"/>
      <c r="B563" s="683"/>
      <c r="C563" s="904" t="s">
        <v>118</v>
      </c>
      <c r="D563" s="905" t="s">
        <v>1026</v>
      </c>
      <c r="E563" s="906"/>
      <c r="F563" s="607"/>
      <c r="G563" s="463"/>
      <c r="H563" s="463"/>
      <c r="I563" s="463"/>
      <c r="J563" s="463"/>
      <c r="K563" s="463"/>
      <c r="L563" s="463"/>
      <c r="M563" s="463"/>
      <c r="N563" s="463"/>
      <c r="O563" s="463"/>
      <c r="P563" s="463"/>
      <c r="Q563" s="462"/>
    </row>
    <row r="564" spans="1:17" ht="15.75" customHeight="1" x14ac:dyDescent="0.2">
      <c r="A564" s="197"/>
      <c r="B564" s="197"/>
      <c r="C564" s="633" t="s">
        <v>1092</v>
      </c>
      <c r="D564" s="575" t="s">
        <v>1093</v>
      </c>
      <c r="E564" s="358"/>
      <c r="F564" s="230">
        <v>164921</v>
      </c>
      <c r="G564" s="202">
        <f>0+táj.2!G564</f>
        <v>0</v>
      </c>
      <c r="H564" s="202">
        <f>0+táj.2!H564</f>
        <v>0</v>
      </c>
      <c r="I564" s="202">
        <f>0+táj.2!I564</f>
        <v>0</v>
      </c>
      <c r="J564" s="202">
        <f>0+táj.2!J564</f>
        <v>0</v>
      </c>
      <c r="K564" s="202">
        <f>0+táj.2!K564</f>
        <v>0</v>
      </c>
      <c r="L564" s="202">
        <f>0+táj.2!L564</f>
        <v>0</v>
      </c>
      <c r="M564" s="202">
        <f>25590+táj.2!M564</f>
        <v>25590</v>
      </c>
      <c r="N564" s="202">
        <f>0+táj.2!N564</f>
        <v>0</v>
      </c>
      <c r="O564" s="202">
        <f>0+táj.2!O564</f>
        <v>0</v>
      </c>
      <c r="P564" s="202">
        <f>0+táj.2!P564</f>
        <v>0</v>
      </c>
      <c r="Q564" s="170">
        <f t="shared" ref="Q564:Q574" si="34">SUM(G564:P564)</f>
        <v>25590</v>
      </c>
    </row>
    <row r="565" spans="1:17" ht="15.75" customHeight="1" x14ac:dyDescent="0.2">
      <c r="A565" s="197"/>
      <c r="B565" s="197"/>
      <c r="C565" s="633" t="s">
        <v>1029</v>
      </c>
      <c r="D565" s="576" t="s">
        <v>1094</v>
      </c>
      <c r="E565" s="610"/>
      <c r="F565" s="230">
        <v>162929</v>
      </c>
      <c r="G565" s="202">
        <f>0+táj.2!G565</f>
        <v>0</v>
      </c>
      <c r="H565" s="202">
        <f>0+táj.2!H565</f>
        <v>0</v>
      </c>
      <c r="I565" s="202">
        <f>0+táj.2!I565</f>
        <v>0</v>
      </c>
      <c r="J565" s="202">
        <f>0+táj.2!J565</f>
        <v>0</v>
      </c>
      <c r="K565" s="202">
        <f>0+táj.2!K565</f>
        <v>0</v>
      </c>
      <c r="L565" s="202">
        <f>840+táj.2!L565</f>
        <v>840</v>
      </c>
      <c r="M565" s="202">
        <f>0+táj.2!M565</f>
        <v>0</v>
      </c>
      <c r="N565" s="202">
        <f>0+táj.2!N565</f>
        <v>0</v>
      </c>
      <c r="O565" s="202">
        <f>0+táj.2!O565</f>
        <v>0</v>
      </c>
      <c r="P565" s="202">
        <f>0+táj.2!P565</f>
        <v>0</v>
      </c>
      <c r="Q565" s="170">
        <f t="shared" si="34"/>
        <v>840</v>
      </c>
    </row>
    <row r="566" spans="1:17" ht="15.75" customHeight="1" x14ac:dyDescent="0.2">
      <c r="A566" s="197"/>
      <c r="B566" s="197"/>
      <c r="C566" s="633" t="s">
        <v>1095</v>
      </c>
      <c r="D566" s="639" t="s">
        <v>1096</v>
      </c>
      <c r="E566" s="230"/>
      <c r="F566" s="230">
        <v>162956</v>
      </c>
      <c r="G566" s="202">
        <f>0+táj.2!G566</f>
        <v>0</v>
      </c>
      <c r="H566" s="202">
        <f>0+táj.2!H566</f>
        <v>0</v>
      </c>
      <c r="I566" s="202">
        <f>0+táj.2!I566</f>
        <v>0</v>
      </c>
      <c r="J566" s="202">
        <f>0+táj.2!J566</f>
        <v>0</v>
      </c>
      <c r="K566" s="202">
        <f>0+táj.2!K566</f>
        <v>0</v>
      </c>
      <c r="L566" s="202">
        <f>0+táj.2!L566</f>
        <v>0</v>
      </c>
      <c r="M566" s="202">
        <f>0+táj.2!M566</f>
        <v>0</v>
      </c>
      <c r="N566" s="202">
        <f>0+táj.2!N566</f>
        <v>0</v>
      </c>
      <c r="O566" s="202">
        <f>0+táj.2!O566</f>
        <v>0</v>
      </c>
      <c r="P566" s="202">
        <f>0+táj.2!P566</f>
        <v>0</v>
      </c>
      <c r="Q566" s="170">
        <f t="shared" si="34"/>
        <v>0</v>
      </c>
    </row>
    <row r="567" spans="1:17" ht="24" customHeight="1" x14ac:dyDescent="0.2">
      <c r="A567" s="197"/>
      <c r="B567" s="197"/>
      <c r="C567" s="633" t="s">
        <v>1097</v>
      </c>
      <c r="D567" s="725" t="s">
        <v>1423</v>
      </c>
      <c r="E567" s="358"/>
      <c r="F567" s="230">
        <v>164928</v>
      </c>
      <c r="G567" s="202">
        <f>0+táj.2!G567</f>
        <v>0</v>
      </c>
      <c r="H567" s="202">
        <f>0+táj.2!H567</f>
        <v>0</v>
      </c>
      <c r="I567" s="202">
        <f>0+táj.2!I567</f>
        <v>0</v>
      </c>
      <c r="J567" s="202">
        <f>0+táj.2!J567</f>
        <v>0</v>
      </c>
      <c r="K567" s="202">
        <f>0+táj.2!K567</f>
        <v>0</v>
      </c>
      <c r="L567" s="202">
        <f>0+táj.2!L567</f>
        <v>0</v>
      </c>
      <c r="M567" s="202">
        <f>0+táj.2!M567</f>
        <v>0</v>
      </c>
      <c r="N567" s="202">
        <f>0+táj.2!N567</f>
        <v>0</v>
      </c>
      <c r="O567" s="202">
        <f>0+táj.2!O567</f>
        <v>0</v>
      </c>
      <c r="P567" s="202">
        <f>0+táj.2!P567</f>
        <v>0</v>
      </c>
      <c r="Q567" s="170">
        <f t="shared" si="34"/>
        <v>0</v>
      </c>
    </row>
    <row r="568" spans="1:17" ht="17.25" customHeight="1" x14ac:dyDescent="0.2">
      <c r="A568" s="197"/>
      <c r="B568" s="197"/>
      <c r="C568" s="633" t="s">
        <v>1098</v>
      </c>
      <c r="D568" s="640" t="s">
        <v>1367</v>
      </c>
      <c r="E568" s="610"/>
      <c r="F568" s="823">
        <v>164930</v>
      </c>
      <c r="G568" s="202">
        <f>0+táj.2!G568</f>
        <v>0</v>
      </c>
      <c r="H568" s="202">
        <f>0+táj.2!H568</f>
        <v>0</v>
      </c>
      <c r="I568" s="202">
        <f>0+táj.2!I568</f>
        <v>0</v>
      </c>
      <c r="J568" s="202">
        <f>0+táj.2!J568</f>
        <v>0</v>
      </c>
      <c r="K568" s="202">
        <f>0+táj.2!K568</f>
        <v>0</v>
      </c>
      <c r="L568" s="202">
        <f>0+táj.2!L568</f>
        <v>0</v>
      </c>
      <c r="M568" s="202">
        <f>0+táj.2!M568</f>
        <v>0</v>
      </c>
      <c r="N568" s="202">
        <f>0+táj.2!N568</f>
        <v>0</v>
      </c>
      <c r="O568" s="202">
        <f>0+táj.2!O568</f>
        <v>0</v>
      </c>
      <c r="P568" s="202">
        <f>0+táj.2!P568</f>
        <v>0</v>
      </c>
      <c r="Q568" s="170">
        <f t="shared" si="34"/>
        <v>0</v>
      </c>
    </row>
    <row r="569" spans="1:17" ht="17.25" customHeight="1" x14ac:dyDescent="0.2">
      <c r="A569" s="197"/>
      <c r="B569" s="197"/>
      <c r="C569" s="633" t="s">
        <v>1099</v>
      </c>
      <c r="D569" s="641" t="s">
        <v>1100</v>
      </c>
      <c r="E569" s="610"/>
      <c r="F569" s="823">
        <v>162964</v>
      </c>
      <c r="G569" s="202">
        <f>0+táj.2!G569</f>
        <v>0</v>
      </c>
      <c r="H569" s="202">
        <f>0+táj.2!H569</f>
        <v>0</v>
      </c>
      <c r="I569" s="202">
        <f>909+táj.2!I569</f>
        <v>909</v>
      </c>
      <c r="J569" s="202">
        <f>0+táj.2!J569</f>
        <v>0</v>
      </c>
      <c r="K569" s="202">
        <f>0+táj.2!K569</f>
        <v>0</v>
      </c>
      <c r="L569" s="202">
        <f>6349+táj.2!L569</f>
        <v>6349</v>
      </c>
      <c r="M569" s="202">
        <f>0+táj.2!M569</f>
        <v>0</v>
      </c>
      <c r="N569" s="202">
        <f>0+táj.2!N569</f>
        <v>0</v>
      </c>
      <c r="O569" s="202">
        <f>0+táj.2!O569</f>
        <v>0</v>
      </c>
      <c r="P569" s="202">
        <f>0+táj.2!P569</f>
        <v>0</v>
      </c>
      <c r="Q569" s="170">
        <f t="shared" si="34"/>
        <v>7258</v>
      </c>
    </row>
    <row r="570" spans="1:17" ht="17.25" customHeight="1" x14ac:dyDescent="0.2">
      <c r="A570" s="197"/>
      <c r="B570" s="197"/>
      <c r="C570" s="633" t="s">
        <v>1353</v>
      </c>
      <c r="D570" s="641" t="s">
        <v>1380</v>
      </c>
      <c r="E570" s="610"/>
      <c r="F570" s="823">
        <v>162965</v>
      </c>
      <c r="G570" s="202">
        <f>0+táj.2!G570</f>
        <v>0</v>
      </c>
      <c r="H570" s="202">
        <f>0+táj.2!H570</f>
        <v>0</v>
      </c>
      <c r="I570" s="202">
        <f>0+táj.2!I570</f>
        <v>0</v>
      </c>
      <c r="J570" s="202">
        <f>0+táj.2!J570</f>
        <v>0</v>
      </c>
      <c r="K570" s="202">
        <f>0+táj.2!K570</f>
        <v>0</v>
      </c>
      <c r="L570" s="202">
        <f>0+táj.2!L570</f>
        <v>0</v>
      </c>
      <c r="M570" s="202">
        <f>0+táj.2!M570</f>
        <v>0</v>
      </c>
      <c r="N570" s="202">
        <f>0+táj.2!N570</f>
        <v>0</v>
      </c>
      <c r="O570" s="202">
        <f>0+táj.2!O570</f>
        <v>0</v>
      </c>
      <c r="P570" s="202">
        <f>0+táj.2!P570</f>
        <v>0</v>
      </c>
      <c r="Q570" s="170">
        <f t="shared" si="34"/>
        <v>0</v>
      </c>
    </row>
    <row r="571" spans="1:17" ht="17.25" customHeight="1" x14ac:dyDescent="0.2">
      <c r="A571" s="197"/>
      <c r="B571" s="197"/>
      <c r="C571" s="633" t="s">
        <v>1359</v>
      </c>
      <c r="D571" s="591" t="s">
        <v>1101</v>
      </c>
      <c r="E571" s="358"/>
      <c r="F571" s="230">
        <v>164929</v>
      </c>
      <c r="G571" s="202">
        <f>0+táj.2!G571</f>
        <v>0</v>
      </c>
      <c r="H571" s="202">
        <f>0+táj.2!H571</f>
        <v>0</v>
      </c>
      <c r="I571" s="202">
        <f>0+táj.2!I571</f>
        <v>0</v>
      </c>
      <c r="J571" s="202">
        <f>0+táj.2!J571</f>
        <v>0</v>
      </c>
      <c r="K571" s="202">
        <f>0+táj.2!K571</f>
        <v>0</v>
      </c>
      <c r="L571" s="202">
        <f>0+táj.2!L571</f>
        <v>0</v>
      </c>
      <c r="M571" s="202">
        <f>1000+táj.2!M571</f>
        <v>1000</v>
      </c>
      <c r="N571" s="202">
        <f>0+táj.2!N571</f>
        <v>0</v>
      </c>
      <c r="O571" s="202">
        <f>0+táj.2!O571</f>
        <v>0</v>
      </c>
      <c r="P571" s="202">
        <f>0+táj.2!P571</f>
        <v>0</v>
      </c>
      <c r="Q571" s="170">
        <f t="shared" si="34"/>
        <v>1000</v>
      </c>
    </row>
    <row r="572" spans="1:17" ht="23.25" customHeight="1" x14ac:dyDescent="0.2">
      <c r="A572" s="805"/>
      <c r="B572" s="805"/>
      <c r="C572" s="868" t="s">
        <v>1452</v>
      </c>
      <c r="D572" s="808" t="s">
        <v>1453</v>
      </c>
      <c r="E572" s="806"/>
      <c r="F572" s="820">
        <v>164931</v>
      </c>
      <c r="G572" s="202">
        <f>0+táj.2!G572</f>
        <v>0</v>
      </c>
      <c r="H572" s="202">
        <f>0+táj.2!H572</f>
        <v>0</v>
      </c>
      <c r="I572" s="202">
        <f>0+táj.2!I572</f>
        <v>0</v>
      </c>
      <c r="J572" s="202">
        <f>0+táj.2!J572</f>
        <v>0</v>
      </c>
      <c r="K572" s="202">
        <f>0+táj.2!K572</f>
        <v>0</v>
      </c>
      <c r="L572" s="202">
        <f>0+táj.2!L572</f>
        <v>0</v>
      </c>
      <c r="M572" s="202">
        <f>0+táj.2!M572</f>
        <v>0</v>
      </c>
      <c r="N572" s="202">
        <f>1685+táj.2!N572</f>
        <v>1685</v>
      </c>
      <c r="O572" s="202">
        <f>0+táj.2!O572</f>
        <v>0</v>
      </c>
      <c r="P572" s="202">
        <f>0+táj.2!P572</f>
        <v>0</v>
      </c>
      <c r="Q572" s="170">
        <f t="shared" si="34"/>
        <v>1685</v>
      </c>
    </row>
    <row r="573" spans="1:17" ht="17.25" customHeight="1" x14ac:dyDescent="0.2">
      <c r="A573" s="862"/>
      <c r="B573" s="862"/>
      <c r="C573" s="869" t="s">
        <v>1479</v>
      </c>
      <c r="D573" s="866" t="s">
        <v>1480</v>
      </c>
      <c r="E573" s="867"/>
      <c r="F573" s="861">
        <v>164932</v>
      </c>
      <c r="G573" s="202">
        <f>0+táj.2!G573</f>
        <v>0</v>
      </c>
      <c r="H573" s="202">
        <f>0+táj.2!H573</f>
        <v>0</v>
      </c>
      <c r="I573" s="202">
        <f>0+táj.2!I573</f>
        <v>0</v>
      </c>
      <c r="J573" s="202">
        <f>0+táj.2!J573</f>
        <v>0</v>
      </c>
      <c r="K573" s="202">
        <f>0+táj.2!K573</f>
        <v>0</v>
      </c>
      <c r="L573" s="202">
        <f>0+táj.2!L573</f>
        <v>0</v>
      </c>
      <c r="M573" s="202">
        <f>0+táj.2!M573</f>
        <v>745</v>
      </c>
      <c r="N573" s="202">
        <f>0+táj.2!N573</f>
        <v>0</v>
      </c>
      <c r="O573" s="202">
        <f>0+táj.2!O573</f>
        <v>0</v>
      </c>
      <c r="P573" s="202">
        <f>0+táj.2!P573</f>
        <v>0</v>
      </c>
      <c r="Q573" s="170">
        <f t="shared" si="34"/>
        <v>745</v>
      </c>
    </row>
    <row r="574" spans="1:17" ht="24.75" customHeight="1" x14ac:dyDescent="0.2">
      <c r="A574" s="862"/>
      <c r="B574" s="862"/>
      <c r="C574" s="917" t="s">
        <v>1479</v>
      </c>
      <c r="D574" s="918" t="s">
        <v>1497</v>
      </c>
      <c r="E574" s="914"/>
      <c r="F574" s="861">
        <v>162967</v>
      </c>
      <c r="G574" s="202">
        <f>0+táj.2!G574</f>
        <v>0</v>
      </c>
      <c r="H574" s="202">
        <f>0+táj.2!H574</f>
        <v>0</v>
      </c>
      <c r="I574" s="202">
        <f>0+táj.2!I574</f>
        <v>0</v>
      </c>
      <c r="J574" s="202">
        <f>0+táj.2!J574</f>
        <v>0</v>
      </c>
      <c r="K574" s="202">
        <f>0+táj.2!K574</f>
        <v>0</v>
      </c>
      <c r="L574" s="202">
        <f>0+táj.2!L574</f>
        <v>500</v>
      </c>
      <c r="M574" s="202">
        <f>0+táj.2!M574</f>
        <v>0</v>
      </c>
      <c r="N574" s="202">
        <f>0+táj.2!N574</f>
        <v>0</v>
      </c>
      <c r="O574" s="202">
        <f>0+táj.2!O574</f>
        <v>0</v>
      </c>
      <c r="P574" s="202">
        <f>0+táj.2!P574</f>
        <v>0</v>
      </c>
      <c r="Q574" s="170">
        <f t="shared" si="34"/>
        <v>500</v>
      </c>
    </row>
    <row r="575" spans="1:17" ht="15.75" customHeight="1" x14ac:dyDescent="0.2">
      <c r="A575" s="197"/>
      <c r="B575" s="197"/>
      <c r="C575" s="629"/>
      <c r="D575" s="461" t="s">
        <v>502</v>
      </c>
      <c r="E575" s="358"/>
      <c r="F575" s="230"/>
      <c r="G575" s="202"/>
      <c r="H575" s="202"/>
      <c r="I575" s="202"/>
      <c r="J575" s="202"/>
      <c r="K575" s="202"/>
      <c r="L575" s="202"/>
      <c r="M575" s="202"/>
      <c r="N575" s="202"/>
      <c r="O575" s="202"/>
      <c r="P575" s="202"/>
      <c r="Q575" s="170"/>
    </row>
    <row r="576" spans="1:17" ht="38.25" customHeight="1" x14ac:dyDescent="0.2">
      <c r="A576" s="197"/>
      <c r="B576" s="197"/>
      <c r="C576" s="217" t="s">
        <v>1031</v>
      </c>
      <c r="D576" s="577" t="s">
        <v>1102</v>
      </c>
      <c r="E576" s="230"/>
      <c r="F576" s="230">
        <v>174902</v>
      </c>
      <c r="G576" s="202">
        <f>0+táj.2!G576</f>
        <v>0</v>
      </c>
      <c r="H576" s="202">
        <f>0+táj.2!H576</f>
        <v>0</v>
      </c>
      <c r="I576" s="202">
        <f>0+táj.2!I576</f>
        <v>0</v>
      </c>
      <c r="J576" s="202">
        <f>0+táj.2!J576</f>
        <v>0</v>
      </c>
      <c r="K576" s="202">
        <f>0+táj.2!K576</f>
        <v>0</v>
      </c>
      <c r="L576" s="202">
        <f>0+táj.2!L576</f>
        <v>0</v>
      </c>
      <c r="M576" s="202">
        <f>81019+táj.2!M576</f>
        <v>81019</v>
      </c>
      <c r="N576" s="202">
        <f>0+táj.2!N576</f>
        <v>0</v>
      </c>
      <c r="O576" s="202">
        <f>0+táj.2!O576</f>
        <v>0</v>
      </c>
      <c r="P576" s="202">
        <f>0+táj.2!P576</f>
        <v>0</v>
      </c>
      <c r="Q576" s="170">
        <f t="shared" ref="Q576:Q586" si="35">SUM(G576:P576)</f>
        <v>81019</v>
      </c>
    </row>
    <row r="577" spans="1:17" ht="27.75" customHeight="1" x14ac:dyDescent="0.2">
      <c r="A577" s="197"/>
      <c r="B577" s="197"/>
      <c r="C577" s="217" t="s">
        <v>1033</v>
      </c>
      <c r="D577" s="578" t="s">
        <v>1103</v>
      </c>
      <c r="E577" s="358"/>
      <c r="F577" s="230">
        <v>164914</v>
      </c>
      <c r="G577" s="202">
        <f>0+táj.2!G577</f>
        <v>0</v>
      </c>
      <c r="H577" s="202">
        <f>0+táj.2!H577</f>
        <v>0</v>
      </c>
      <c r="I577" s="202">
        <f>0+táj.2!I577</f>
        <v>0</v>
      </c>
      <c r="J577" s="202">
        <f>0+táj.2!J577</f>
        <v>0</v>
      </c>
      <c r="K577" s="202">
        <f>0+táj.2!K577</f>
        <v>0</v>
      </c>
      <c r="L577" s="202">
        <f>0+táj.2!L577</f>
        <v>0</v>
      </c>
      <c r="M577" s="202">
        <f>4955+táj.2!M577</f>
        <v>4955</v>
      </c>
      <c r="N577" s="202">
        <f>0+táj.2!N577</f>
        <v>0</v>
      </c>
      <c r="O577" s="202">
        <f>0+táj.2!O577</f>
        <v>0</v>
      </c>
      <c r="P577" s="202">
        <f>0+táj.2!P577</f>
        <v>0</v>
      </c>
      <c r="Q577" s="170">
        <f t="shared" si="35"/>
        <v>4955</v>
      </c>
    </row>
    <row r="578" spans="1:17" ht="18" customHeight="1" x14ac:dyDescent="0.2">
      <c r="A578" s="197"/>
      <c r="B578" s="197"/>
      <c r="C578" s="217" t="s">
        <v>1037</v>
      </c>
      <c r="D578" s="390" t="s">
        <v>1104</v>
      </c>
      <c r="E578" s="386"/>
      <c r="F578" s="230">
        <v>162942</v>
      </c>
      <c r="G578" s="202">
        <f>0+táj.2!G578</f>
        <v>0</v>
      </c>
      <c r="H578" s="202">
        <f>0+táj.2!H578</f>
        <v>0</v>
      </c>
      <c r="I578" s="202">
        <f>0+táj.2!I578</f>
        <v>0</v>
      </c>
      <c r="J578" s="202">
        <f>0+táj.2!J578</f>
        <v>0</v>
      </c>
      <c r="K578" s="202">
        <f>0+táj.2!K578</f>
        <v>0</v>
      </c>
      <c r="L578" s="202">
        <f>0+táj.2!L578</f>
        <v>0</v>
      </c>
      <c r="M578" s="202">
        <f>1652+táj.2!M578</f>
        <v>3682</v>
      </c>
      <c r="N578" s="202">
        <f>0+táj.2!N578</f>
        <v>0</v>
      </c>
      <c r="O578" s="202">
        <f>0+táj.2!O578</f>
        <v>0</v>
      </c>
      <c r="P578" s="202">
        <f>0+táj.2!P578</f>
        <v>0</v>
      </c>
      <c r="Q578" s="170">
        <f t="shared" si="35"/>
        <v>3682</v>
      </c>
    </row>
    <row r="579" spans="1:17" ht="20.25" customHeight="1" x14ac:dyDescent="0.2">
      <c r="A579" s="197"/>
      <c r="B579" s="197"/>
      <c r="C579" s="217" t="s">
        <v>1039</v>
      </c>
      <c r="D579" s="391" t="s">
        <v>1105</v>
      </c>
      <c r="E579" s="386"/>
      <c r="F579" s="230">
        <v>162929</v>
      </c>
      <c r="G579" s="202">
        <f>0+táj.2!G579</f>
        <v>0</v>
      </c>
      <c r="H579" s="202">
        <f>0+táj.2!H579</f>
        <v>0</v>
      </c>
      <c r="I579" s="202">
        <f>0+táj.2!I579</f>
        <v>0</v>
      </c>
      <c r="J579" s="202">
        <f>0+táj.2!J579</f>
        <v>0</v>
      </c>
      <c r="K579" s="202">
        <f>0+táj.2!K579</f>
        <v>0</v>
      </c>
      <c r="L579" s="202">
        <f>0+táj.2!L579</f>
        <v>0</v>
      </c>
      <c r="M579" s="202">
        <f>0+táj.2!M579</f>
        <v>0</v>
      </c>
      <c r="N579" s="202">
        <f>0+táj.2!N579</f>
        <v>0</v>
      </c>
      <c r="O579" s="202">
        <f>0+táj.2!O579</f>
        <v>0</v>
      </c>
      <c r="P579" s="202">
        <f>0+táj.2!P579</f>
        <v>0</v>
      </c>
      <c r="Q579" s="170">
        <f t="shared" si="35"/>
        <v>0</v>
      </c>
    </row>
    <row r="580" spans="1:17" ht="18.75" customHeight="1" x14ac:dyDescent="0.2">
      <c r="A580" s="197"/>
      <c r="B580" s="197"/>
      <c r="C580" s="217" t="s">
        <v>1041</v>
      </c>
      <c r="D580" s="391" t="s">
        <v>1106</v>
      </c>
      <c r="E580" s="386"/>
      <c r="F580" s="230">
        <v>162931</v>
      </c>
      <c r="G580" s="202">
        <f>0+táj.2!G580</f>
        <v>0</v>
      </c>
      <c r="H580" s="202">
        <f>0+táj.2!H580</f>
        <v>0</v>
      </c>
      <c r="I580" s="202">
        <f>0+táj.2!I580</f>
        <v>0</v>
      </c>
      <c r="J580" s="202">
        <f>0+táj.2!J580</f>
        <v>0</v>
      </c>
      <c r="K580" s="202">
        <f>0+táj.2!K580</f>
        <v>0</v>
      </c>
      <c r="L580" s="202">
        <f>871+táj.2!L580</f>
        <v>871</v>
      </c>
      <c r="M580" s="202">
        <f>0+táj.2!M580</f>
        <v>0</v>
      </c>
      <c r="N580" s="202">
        <f>0+táj.2!N580</f>
        <v>0</v>
      </c>
      <c r="O580" s="202">
        <f>0+táj.2!O580</f>
        <v>0</v>
      </c>
      <c r="P580" s="202">
        <f>0+táj.2!P580</f>
        <v>0</v>
      </c>
      <c r="Q580" s="170">
        <f t="shared" si="35"/>
        <v>871</v>
      </c>
    </row>
    <row r="581" spans="1:17" ht="21.75" customHeight="1" x14ac:dyDescent="0.2">
      <c r="A581" s="197"/>
      <c r="B581" s="197"/>
      <c r="C581" s="217" t="s">
        <v>1043</v>
      </c>
      <c r="D581" s="391" t="s">
        <v>1107</v>
      </c>
      <c r="E581" s="386"/>
      <c r="F581" s="230">
        <v>162903</v>
      </c>
      <c r="G581" s="202">
        <f>0+táj.2!G581</f>
        <v>0</v>
      </c>
      <c r="H581" s="202">
        <f>0+táj.2!H581</f>
        <v>0</v>
      </c>
      <c r="I581" s="202">
        <f>1510+táj.2!I581</f>
        <v>1510</v>
      </c>
      <c r="J581" s="202">
        <f>0+táj.2!J581</f>
        <v>0</v>
      </c>
      <c r="K581" s="202">
        <f>0+táj.2!K581</f>
        <v>0</v>
      </c>
      <c r="L581" s="202">
        <f>1879+táj.2!L581</f>
        <v>1879</v>
      </c>
      <c r="M581" s="202">
        <f>10407+táj.2!M581</f>
        <v>10407</v>
      </c>
      <c r="N581" s="202">
        <f>0+táj.2!N581</f>
        <v>0</v>
      </c>
      <c r="O581" s="202">
        <f>0+táj.2!O581</f>
        <v>0</v>
      </c>
      <c r="P581" s="202">
        <f>0+táj.2!P581</f>
        <v>0</v>
      </c>
      <c r="Q581" s="170">
        <f t="shared" si="35"/>
        <v>13796</v>
      </c>
    </row>
    <row r="582" spans="1:17" ht="28.5" customHeight="1" x14ac:dyDescent="0.2">
      <c r="A582" s="197"/>
      <c r="B582" s="197"/>
      <c r="C582" s="217" t="s">
        <v>1108</v>
      </c>
      <c r="D582" s="391" t="s">
        <v>1109</v>
      </c>
      <c r="E582" s="386"/>
      <c r="F582" s="230">
        <v>164925</v>
      </c>
      <c r="G582" s="202">
        <f>0+táj.2!G582</f>
        <v>0</v>
      </c>
      <c r="H582" s="202">
        <f>0+táj.2!H582</f>
        <v>0</v>
      </c>
      <c r="I582" s="202">
        <f>0+táj.2!I582</f>
        <v>0</v>
      </c>
      <c r="J582" s="202">
        <f>0+táj.2!J582</f>
        <v>0</v>
      </c>
      <c r="K582" s="202">
        <f>0+táj.2!K582</f>
        <v>0</v>
      </c>
      <c r="L582" s="202">
        <f>0+táj.2!L582</f>
        <v>0</v>
      </c>
      <c r="M582" s="202">
        <f>2906+táj.2!M582</f>
        <v>2906</v>
      </c>
      <c r="N582" s="202">
        <f>0+táj.2!N582</f>
        <v>0</v>
      </c>
      <c r="O582" s="202">
        <f>0+táj.2!O582</f>
        <v>0</v>
      </c>
      <c r="P582" s="202">
        <f>0+táj.2!P582</f>
        <v>0</v>
      </c>
      <c r="Q582" s="170">
        <f t="shared" si="35"/>
        <v>2906</v>
      </c>
    </row>
    <row r="583" spans="1:17" ht="18" customHeight="1" x14ac:dyDescent="0.2">
      <c r="A583" s="197"/>
      <c r="B583" s="197"/>
      <c r="C583" s="217" t="s">
        <v>1110</v>
      </c>
      <c r="D583" s="391" t="s">
        <v>1111</v>
      </c>
      <c r="E583" s="386"/>
      <c r="F583" s="230">
        <v>162958</v>
      </c>
      <c r="G583" s="202">
        <f>0+táj.2!G583</f>
        <v>0</v>
      </c>
      <c r="H583" s="202">
        <f>0+táj.2!H583</f>
        <v>0</v>
      </c>
      <c r="I583" s="202">
        <f>0+táj.2!I583</f>
        <v>0</v>
      </c>
      <c r="J583" s="202">
        <f>0+táj.2!J583</f>
        <v>0</v>
      </c>
      <c r="K583" s="202">
        <f>0+táj.2!K583</f>
        <v>0</v>
      </c>
      <c r="L583" s="202">
        <f>2000+táj.2!L583</f>
        <v>2000</v>
      </c>
      <c r="M583" s="202">
        <f>0+táj.2!M583</f>
        <v>0</v>
      </c>
      <c r="N583" s="202">
        <f>0+táj.2!N583</f>
        <v>0</v>
      </c>
      <c r="O583" s="202">
        <f>0+táj.2!O583</f>
        <v>0</v>
      </c>
      <c r="P583" s="202">
        <f>0+táj.2!P583</f>
        <v>0</v>
      </c>
      <c r="Q583" s="170">
        <f t="shared" si="35"/>
        <v>2000</v>
      </c>
    </row>
    <row r="584" spans="1:17" ht="18.75" customHeight="1" x14ac:dyDescent="0.2">
      <c r="A584" s="197"/>
      <c r="B584" s="197"/>
      <c r="C584" s="217" t="s">
        <v>1112</v>
      </c>
      <c r="D584" s="391" t="s">
        <v>1113</v>
      </c>
      <c r="E584" s="386"/>
      <c r="F584" s="230">
        <v>162959</v>
      </c>
      <c r="G584" s="202">
        <f>0+táj.2!G584</f>
        <v>0</v>
      </c>
      <c r="H584" s="202">
        <f>0+táj.2!H584</f>
        <v>0</v>
      </c>
      <c r="I584" s="202">
        <f>139+táj.2!I584</f>
        <v>242</v>
      </c>
      <c r="J584" s="202">
        <f>0+táj.2!J584</f>
        <v>0</v>
      </c>
      <c r="K584" s="202">
        <f>0+táj.2!K584</f>
        <v>0</v>
      </c>
      <c r="L584" s="202">
        <f>5320+táj.2!L584</f>
        <v>5217</v>
      </c>
      <c r="M584" s="202">
        <f>0+táj.2!M584</f>
        <v>0</v>
      </c>
      <c r="N584" s="202">
        <f>0+táj.2!N584</f>
        <v>0</v>
      </c>
      <c r="O584" s="202">
        <f>0+táj.2!O584</f>
        <v>0</v>
      </c>
      <c r="P584" s="202">
        <f>0+táj.2!P584</f>
        <v>0</v>
      </c>
      <c r="Q584" s="170">
        <f t="shared" si="35"/>
        <v>5459</v>
      </c>
    </row>
    <row r="585" spans="1:17" ht="29.25" customHeight="1" x14ac:dyDescent="0.2">
      <c r="A585" s="197"/>
      <c r="B585" s="197"/>
      <c r="C585" s="217" t="s">
        <v>1114</v>
      </c>
      <c r="D585" s="172" t="s">
        <v>1115</v>
      </c>
      <c r="E585" s="232"/>
      <c r="F585" s="230">
        <v>182906</v>
      </c>
      <c r="G585" s="202">
        <f>0+táj.2!G585</f>
        <v>0</v>
      </c>
      <c r="H585" s="202">
        <f>0+táj.2!H585</f>
        <v>0</v>
      </c>
      <c r="I585" s="202">
        <f>100+táj.2!I585</f>
        <v>100</v>
      </c>
      <c r="J585" s="202">
        <f>0+táj.2!J585</f>
        <v>0</v>
      </c>
      <c r="K585" s="202">
        <f>0+táj.2!K585</f>
        <v>0</v>
      </c>
      <c r="L585" s="202">
        <f>29860+táj.2!L585</f>
        <v>29860</v>
      </c>
      <c r="M585" s="202">
        <f>0+táj.2!M585</f>
        <v>0</v>
      </c>
      <c r="N585" s="202">
        <f>0+táj.2!N585</f>
        <v>0</v>
      </c>
      <c r="O585" s="202">
        <f>0+táj.2!O585</f>
        <v>0</v>
      </c>
      <c r="P585" s="202">
        <f>0+táj.2!P585</f>
        <v>0</v>
      </c>
      <c r="Q585" s="170">
        <f t="shared" si="35"/>
        <v>29960</v>
      </c>
    </row>
    <row r="586" spans="1:17" ht="20.25" customHeight="1" x14ac:dyDescent="0.2">
      <c r="A586" s="197"/>
      <c r="B586" s="197"/>
      <c r="C586" s="217" t="s">
        <v>1379</v>
      </c>
      <c r="D586" s="171" t="s">
        <v>1032</v>
      </c>
      <c r="E586" s="230"/>
      <c r="F586" s="230">
        <v>134964</v>
      </c>
      <c r="G586" s="202">
        <f>0+táj.2!G586</f>
        <v>0</v>
      </c>
      <c r="H586" s="202">
        <f>0+táj.2!H586</f>
        <v>0</v>
      </c>
      <c r="I586" s="202">
        <f>0+táj.2!I586</f>
        <v>0</v>
      </c>
      <c r="J586" s="202">
        <f>0+táj.2!J586</f>
        <v>0</v>
      </c>
      <c r="K586" s="202">
        <f>0+táj.2!K586</f>
        <v>0</v>
      </c>
      <c r="L586" s="202">
        <f>0+táj.2!L586</f>
        <v>0</v>
      </c>
      <c r="M586" s="202">
        <f>904+táj.2!M586</f>
        <v>904</v>
      </c>
      <c r="N586" s="202">
        <f>0+táj.2!N586</f>
        <v>0</v>
      </c>
      <c r="O586" s="202">
        <f>0+táj.2!O586</f>
        <v>0</v>
      </c>
      <c r="P586" s="202">
        <f>0+táj.2!P586</f>
        <v>0</v>
      </c>
      <c r="Q586" s="170">
        <f t="shared" si="35"/>
        <v>904</v>
      </c>
    </row>
    <row r="587" spans="1:17" ht="16.5" customHeight="1" x14ac:dyDescent="0.2">
      <c r="A587" s="197"/>
      <c r="B587" s="197"/>
      <c r="C587" s="217" t="s">
        <v>33</v>
      </c>
      <c r="D587" s="307" t="s">
        <v>1116</v>
      </c>
      <c r="E587" s="358"/>
      <c r="F587" s="230"/>
      <c r="G587" s="202"/>
      <c r="H587" s="202"/>
      <c r="I587" s="202"/>
      <c r="J587" s="202"/>
      <c r="K587" s="202"/>
      <c r="L587" s="202"/>
      <c r="M587" s="202"/>
      <c r="N587" s="202"/>
      <c r="O587" s="202"/>
      <c r="P587" s="202"/>
      <c r="Q587" s="170"/>
    </row>
    <row r="588" spans="1:17" ht="16.5" customHeight="1" x14ac:dyDescent="0.2">
      <c r="A588" s="197"/>
      <c r="B588" s="197"/>
      <c r="C588" s="305" t="s">
        <v>1117</v>
      </c>
      <c r="D588" s="318" t="s">
        <v>1118</v>
      </c>
      <c r="E588" s="358"/>
      <c r="F588" s="230"/>
      <c r="G588" s="202"/>
      <c r="H588" s="202"/>
      <c r="I588" s="202"/>
      <c r="J588" s="202"/>
      <c r="K588" s="202"/>
      <c r="L588" s="202"/>
      <c r="M588" s="202"/>
      <c r="N588" s="202"/>
      <c r="O588" s="202"/>
      <c r="P588" s="202"/>
      <c r="Q588" s="170"/>
    </row>
    <row r="589" spans="1:17" ht="16.5" customHeight="1" x14ac:dyDescent="0.2">
      <c r="A589" s="197"/>
      <c r="B589" s="197"/>
      <c r="C589" s="305"/>
      <c r="D589" s="314" t="s">
        <v>502</v>
      </c>
      <c r="E589" s="358"/>
      <c r="F589" s="230"/>
      <c r="G589" s="202"/>
      <c r="H589" s="202"/>
      <c r="I589" s="202"/>
      <c r="J589" s="202"/>
      <c r="K589" s="202"/>
      <c r="L589" s="202"/>
      <c r="M589" s="202"/>
      <c r="N589" s="202"/>
      <c r="O589" s="202"/>
      <c r="P589" s="202"/>
      <c r="Q589" s="170"/>
    </row>
    <row r="590" spans="1:17" ht="29.25" customHeight="1" x14ac:dyDescent="0.2">
      <c r="A590" s="197"/>
      <c r="B590" s="197"/>
      <c r="C590" s="635" t="s">
        <v>1119</v>
      </c>
      <c r="D590" s="642" t="s">
        <v>1120</v>
      </c>
      <c r="E590" s="358"/>
      <c r="F590" s="230">
        <v>163601</v>
      </c>
      <c r="G590" s="202">
        <f>1990+táj.2!G590</f>
        <v>0</v>
      </c>
      <c r="H590" s="202">
        <f>442+táj.2!H590</f>
        <v>0</v>
      </c>
      <c r="I590" s="202">
        <f>165+táj.2!I590</f>
        <v>0</v>
      </c>
      <c r="J590" s="202">
        <f>0+táj.2!J590</f>
        <v>0</v>
      </c>
      <c r="K590" s="202">
        <f>0+táj.2!K590</f>
        <v>0</v>
      </c>
      <c r="L590" s="202">
        <f>0+táj.2!L590</f>
        <v>0</v>
      </c>
      <c r="M590" s="202">
        <f>0+táj.2!M590</f>
        <v>0</v>
      </c>
      <c r="N590" s="202">
        <f>0+táj.2!N590</f>
        <v>0</v>
      </c>
      <c r="O590" s="202">
        <f>0+táj.2!O590</f>
        <v>0</v>
      </c>
      <c r="P590" s="202">
        <f>0+táj.2!P590</f>
        <v>0</v>
      </c>
      <c r="Q590" s="170">
        <f t="shared" ref="Q590:Q618" si="36">SUM(G590:P590)</f>
        <v>0</v>
      </c>
    </row>
    <row r="591" spans="1:17" ht="37.5" customHeight="1" x14ac:dyDescent="0.2">
      <c r="A591" s="197"/>
      <c r="B591" s="197"/>
      <c r="C591" s="635" t="s">
        <v>1121</v>
      </c>
      <c r="D591" s="642" t="s">
        <v>218</v>
      </c>
      <c r="E591" s="358"/>
      <c r="F591" s="230">
        <v>163603</v>
      </c>
      <c r="G591" s="202">
        <f>4618+táj.2!G591</f>
        <v>4618</v>
      </c>
      <c r="H591" s="202">
        <f>982+táj.2!H591</f>
        <v>982</v>
      </c>
      <c r="I591" s="202">
        <f>212+táj.2!I591</f>
        <v>212</v>
      </c>
      <c r="J591" s="202">
        <f>0+táj.2!J591</f>
        <v>0</v>
      </c>
      <c r="K591" s="202">
        <f>0+táj.2!K591</f>
        <v>0</v>
      </c>
      <c r="L591" s="202">
        <f>1265+táj.2!L591</f>
        <v>1265</v>
      </c>
      <c r="M591" s="202">
        <f>3036+táj.2!M591</f>
        <v>3036</v>
      </c>
      <c r="N591" s="202">
        <f>0+táj.2!N591</f>
        <v>0</v>
      </c>
      <c r="O591" s="202">
        <f>0+táj.2!O591</f>
        <v>0</v>
      </c>
      <c r="P591" s="202">
        <f>0+táj.2!P591</f>
        <v>0</v>
      </c>
      <c r="Q591" s="170">
        <f t="shared" si="36"/>
        <v>10113</v>
      </c>
    </row>
    <row r="592" spans="1:17" ht="28.5" customHeight="1" x14ac:dyDescent="0.2">
      <c r="A592" s="197"/>
      <c r="B592" s="197"/>
      <c r="C592" s="635" t="s">
        <v>1122</v>
      </c>
      <c r="D592" s="643" t="s">
        <v>217</v>
      </c>
      <c r="E592" s="358"/>
      <c r="F592" s="230">
        <v>163604</v>
      </c>
      <c r="G592" s="202">
        <f>2896+táj.2!G592</f>
        <v>2896</v>
      </c>
      <c r="H592" s="202">
        <f>604+táj.2!H592</f>
        <v>604</v>
      </c>
      <c r="I592" s="202">
        <f>14+táj.2!I592</f>
        <v>14</v>
      </c>
      <c r="J592" s="202">
        <f>0+táj.2!J592</f>
        <v>0</v>
      </c>
      <c r="K592" s="202">
        <f>0+táj.2!K592</f>
        <v>0</v>
      </c>
      <c r="L592" s="202">
        <f>0+táj.2!L592</f>
        <v>0</v>
      </c>
      <c r="M592" s="202">
        <f>592+táj.2!M592</f>
        <v>592</v>
      </c>
      <c r="N592" s="202">
        <f>0+táj.2!N592</f>
        <v>0</v>
      </c>
      <c r="O592" s="202">
        <f>0+táj.2!O592</f>
        <v>0</v>
      </c>
      <c r="P592" s="202">
        <f>0+táj.2!P592</f>
        <v>0</v>
      </c>
      <c r="Q592" s="170">
        <f t="shared" si="36"/>
        <v>4106</v>
      </c>
    </row>
    <row r="593" spans="1:17" ht="27" customHeight="1" x14ac:dyDescent="0.2">
      <c r="A593" s="197"/>
      <c r="B593" s="197"/>
      <c r="C593" s="635" t="s">
        <v>1123</v>
      </c>
      <c r="D593" s="643" t="s">
        <v>219</v>
      </c>
      <c r="E593" s="358"/>
      <c r="F593" s="230">
        <v>163606</v>
      </c>
      <c r="G593" s="202">
        <f>2393+táj.2!G593</f>
        <v>2393</v>
      </c>
      <c r="H593" s="202">
        <f>647+táj.2!H593</f>
        <v>647</v>
      </c>
      <c r="I593" s="202">
        <f>24146+táj.2!I593</f>
        <v>24146</v>
      </c>
      <c r="J593" s="202">
        <f>0+táj.2!J593</f>
        <v>0</v>
      </c>
      <c r="K593" s="202">
        <f>0+táj.2!K593</f>
        <v>0</v>
      </c>
      <c r="L593" s="202">
        <f>48137+táj.2!L593</f>
        <v>48137</v>
      </c>
      <c r="M593" s="202">
        <f>70811+táj.2!M593</f>
        <v>70811</v>
      </c>
      <c r="N593" s="202">
        <f>0+táj.2!N593</f>
        <v>0</v>
      </c>
      <c r="O593" s="202">
        <f>0+táj.2!O593</f>
        <v>0</v>
      </c>
      <c r="P593" s="202">
        <f>0+táj.2!P593</f>
        <v>0</v>
      </c>
      <c r="Q593" s="170">
        <f t="shared" si="36"/>
        <v>146134</v>
      </c>
    </row>
    <row r="594" spans="1:17" ht="67.5" customHeight="1" x14ac:dyDescent="0.2">
      <c r="A594" s="197"/>
      <c r="B594" s="197"/>
      <c r="C594" s="635" t="s">
        <v>1124</v>
      </c>
      <c r="D594" s="642" t="s">
        <v>223</v>
      </c>
      <c r="E594" s="358"/>
      <c r="F594" s="230">
        <v>163607</v>
      </c>
      <c r="G594" s="202">
        <f>0+táj.2!G594</f>
        <v>0</v>
      </c>
      <c r="H594" s="202">
        <f>0+táj.2!H594</f>
        <v>0</v>
      </c>
      <c r="I594" s="202">
        <f>42550+táj.2!I594</f>
        <v>42550</v>
      </c>
      <c r="J594" s="202">
        <f>0+táj.2!J594</f>
        <v>0</v>
      </c>
      <c r="K594" s="202">
        <f>0+táj.2!K594</f>
        <v>0</v>
      </c>
      <c r="L594" s="202">
        <f>906292+táj.2!L594</f>
        <v>906292</v>
      </c>
      <c r="M594" s="202">
        <f>0+táj.2!M594</f>
        <v>0</v>
      </c>
      <c r="N594" s="202">
        <f>0+táj.2!N594</f>
        <v>0</v>
      </c>
      <c r="O594" s="202">
        <f>0+táj.2!O594</f>
        <v>0</v>
      </c>
      <c r="P594" s="202">
        <f>0+táj.2!P594</f>
        <v>0</v>
      </c>
      <c r="Q594" s="170">
        <f t="shared" si="36"/>
        <v>948842</v>
      </c>
    </row>
    <row r="595" spans="1:17" ht="40.5" customHeight="1" x14ac:dyDescent="0.2">
      <c r="A595" s="197"/>
      <c r="B595" s="197"/>
      <c r="C595" s="635" t="s">
        <v>1125</v>
      </c>
      <c r="D595" s="642" t="s">
        <v>213</v>
      </c>
      <c r="E595" s="358"/>
      <c r="F595" s="230">
        <v>163608</v>
      </c>
      <c r="G595" s="202">
        <f>5948+táj.2!G595</f>
        <v>5948</v>
      </c>
      <c r="H595" s="202">
        <f>1556+táj.2!H595</f>
        <v>1556</v>
      </c>
      <c r="I595" s="202">
        <f>129466+táj.2!I595</f>
        <v>129466</v>
      </c>
      <c r="J595" s="202">
        <f>0+táj.2!J595</f>
        <v>0</v>
      </c>
      <c r="K595" s="202">
        <f>0+táj.2!K595</f>
        <v>0</v>
      </c>
      <c r="L595" s="202">
        <f>351356+táj.2!L595</f>
        <v>351356</v>
      </c>
      <c r="M595" s="202">
        <f>0+táj.2!M595</f>
        <v>0</v>
      </c>
      <c r="N595" s="202">
        <f>0+táj.2!N595</f>
        <v>0</v>
      </c>
      <c r="O595" s="202">
        <f>0+táj.2!O595</f>
        <v>0</v>
      </c>
      <c r="P595" s="202">
        <f>0+táj.2!P595</f>
        <v>0</v>
      </c>
      <c r="Q595" s="170">
        <f t="shared" si="36"/>
        <v>488326</v>
      </c>
    </row>
    <row r="596" spans="1:17" ht="24.75" customHeight="1" x14ac:dyDescent="0.2">
      <c r="A596" s="197"/>
      <c r="B596" s="197"/>
      <c r="C596" s="635" t="s">
        <v>1126</v>
      </c>
      <c r="D596" s="642" t="s">
        <v>226</v>
      </c>
      <c r="E596" s="358"/>
      <c r="F596" s="230">
        <v>163609</v>
      </c>
      <c r="G596" s="202">
        <f>0+táj.2!G596</f>
        <v>0</v>
      </c>
      <c r="H596" s="202">
        <f>0+táj.2!H596</f>
        <v>0</v>
      </c>
      <c r="I596" s="202">
        <f>42617+táj.2!I596</f>
        <v>42617</v>
      </c>
      <c r="J596" s="202">
        <f>0+táj.2!J596</f>
        <v>0</v>
      </c>
      <c r="K596" s="202">
        <f>0+táj.2!K596</f>
        <v>0</v>
      </c>
      <c r="L596" s="202">
        <f>348299+táj.2!L596</f>
        <v>348299</v>
      </c>
      <c r="M596" s="202">
        <f>0+táj.2!M596</f>
        <v>0</v>
      </c>
      <c r="N596" s="202">
        <f>0+táj.2!N596</f>
        <v>0</v>
      </c>
      <c r="O596" s="202">
        <f>0+táj.2!O596</f>
        <v>0</v>
      </c>
      <c r="P596" s="202">
        <f>0+táj.2!P596</f>
        <v>0</v>
      </c>
      <c r="Q596" s="170">
        <f t="shared" si="36"/>
        <v>390916</v>
      </c>
    </row>
    <row r="597" spans="1:17" ht="41.25" customHeight="1" x14ac:dyDescent="0.2">
      <c r="A597" s="197"/>
      <c r="B597" s="197"/>
      <c r="C597" s="635" t="s">
        <v>1127</v>
      </c>
      <c r="D597" s="644" t="s">
        <v>220</v>
      </c>
      <c r="E597" s="358"/>
      <c r="F597" s="230">
        <v>163611</v>
      </c>
      <c r="G597" s="202">
        <f>2000+táj.2!G597</f>
        <v>2000</v>
      </c>
      <c r="H597" s="202">
        <f>540+táj.2!H597</f>
        <v>540</v>
      </c>
      <c r="I597" s="202">
        <f>8171+táj.2!I597</f>
        <v>8171</v>
      </c>
      <c r="J597" s="202">
        <f>0+táj.2!J597</f>
        <v>0</v>
      </c>
      <c r="K597" s="202">
        <f>0+táj.2!K597</f>
        <v>0</v>
      </c>
      <c r="L597" s="202">
        <f>348279+táj.2!L597</f>
        <v>348279</v>
      </c>
      <c r="M597" s="202">
        <f>6350+táj.2!M597</f>
        <v>6350</v>
      </c>
      <c r="N597" s="202">
        <f>0+táj.2!N597</f>
        <v>0</v>
      </c>
      <c r="O597" s="202">
        <f>0+táj.2!O597</f>
        <v>0</v>
      </c>
      <c r="P597" s="202">
        <f>0+táj.2!P597</f>
        <v>0</v>
      </c>
      <c r="Q597" s="170">
        <f t="shared" si="36"/>
        <v>365340</v>
      </c>
    </row>
    <row r="598" spans="1:17" ht="38.25" customHeight="1" x14ac:dyDescent="0.2">
      <c r="A598" s="197"/>
      <c r="B598" s="197"/>
      <c r="C598" s="635" t="s">
        <v>1128</v>
      </c>
      <c r="D598" s="645" t="s">
        <v>173</v>
      </c>
      <c r="E598" s="358"/>
      <c r="F598" s="230">
        <v>163612</v>
      </c>
      <c r="G598" s="202">
        <f>0+táj.2!G598</f>
        <v>0</v>
      </c>
      <c r="H598" s="202">
        <f>0+táj.2!H598</f>
        <v>0</v>
      </c>
      <c r="I598" s="202">
        <f>148422+táj.2!I598</f>
        <v>148422</v>
      </c>
      <c r="J598" s="202">
        <f>0+táj.2!J598</f>
        <v>0</v>
      </c>
      <c r="K598" s="202">
        <f>0+táj.2!K598</f>
        <v>0</v>
      </c>
      <c r="L598" s="202">
        <f>332689+táj.2!L598</f>
        <v>337766</v>
      </c>
      <c r="M598" s="202">
        <f>0+táj.2!M598</f>
        <v>0</v>
      </c>
      <c r="N598" s="202">
        <f>0+táj.2!N598</f>
        <v>0</v>
      </c>
      <c r="O598" s="202">
        <f>0+táj.2!O598</f>
        <v>0</v>
      </c>
      <c r="P598" s="202">
        <f>0+táj.2!P598</f>
        <v>0</v>
      </c>
      <c r="Q598" s="170">
        <f t="shared" si="36"/>
        <v>486188</v>
      </c>
    </row>
    <row r="599" spans="1:17" ht="41.25" customHeight="1" x14ac:dyDescent="0.2">
      <c r="A599" s="683"/>
      <c r="B599" s="683"/>
      <c r="C599" s="685" t="s">
        <v>1129</v>
      </c>
      <c r="D599" s="645" t="s">
        <v>1130</v>
      </c>
      <c r="E599" s="358"/>
      <c r="F599" s="230">
        <v>163613</v>
      </c>
      <c r="G599" s="202">
        <f>0+táj.2!G599</f>
        <v>0</v>
      </c>
      <c r="H599" s="202">
        <f>0+táj.2!H599</f>
        <v>0</v>
      </c>
      <c r="I599" s="202">
        <f>74333+táj.2!I599</f>
        <v>98626</v>
      </c>
      <c r="J599" s="202">
        <f>0+táj.2!J599</f>
        <v>0</v>
      </c>
      <c r="K599" s="202">
        <f>0+táj.2!K599</f>
        <v>0</v>
      </c>
      <c r="L599" s="202">
        <f>151627+táj.2!L599</f>
        <v>241601</v>
      </c>
      <c r="M599" s="202">
        <f>0+táj.2!M599</f>
        <v>0</v>
      </c>
      <c r="N599" s="202">
        <f>0+táj.2!N599</f>
        <v>0</v>
      </c>
      <c r="O599" s="202">
        <f>0+táj.2!O599</f>
        <v>0</v>
      </c>
      <c r="P599" s="202">
        <f>0+táj.2!P599</f>
        <v>0</v>
      </c>
      <c r="Q599" s="170">
        <f t="shared" si="36"/>
        <v>340227</v>
      </c>
    </row>
    <row r="600" spans="1:17" ht="40.5" customHeight="1" x14ac:dyDescent="0.2">
      <c r="A600" s="197"/>
      <c r="B600" s="197"/>
      <c r="C600" s="635" t="s">
        <v>1131</v>
      </c>
      <c r="D600" s="645" t="s">
        <v>214</v>
      </c>
      <c r="E600" s="358"/>
      <c r="F600" s="230">
        <v>163614</v>
      </c>
      <c r="G600" s="202">
        <f>1000+táj.2!G600</f>
        <v>1000</v>
      </c>
      <c r="H600" s="202">
        <f>270+táj.2!H600</f>
        <v>270</v>
      </c>
      <c r="I600" s="202">
        <f>8340+táj.2!I600</f>
        <v>8340</v>
      </c>
      <c r="J600" s="202">
        <f>0+táj.2!J600</f>
        <v>0</v>
      </c>
      <c r="K600" s="202">
        <f>0+táj.2!K600</f>
        <v>0</v>
      </c>
      <c r="L600" s="202">
        <f>78838+táj.2!L600</f>
        <v>78838</v>
      </c>
      <c r="M600" s="202">
        <f>0+táj.2!M600</f>
        <v>0</v>
      </c>
      <c r="N600" s="202">
        <f>0+táj.2!N600</f>
        <v>0</v>
      </c>
      <c r="O600" s="202">
        <f>0+táj.2!O600</f>
        <v>0</v>
      </c>
      <c r="P600" s="202">
        <f>0+táj.2!P600</f>
        <v>0</v>
      </c>
      <c r="Q600" s="170">
        <f t="shared" si="36"/>
        <v>88448</v>
      </c>
    </row>
    <row r="601" spans="1:17" ht="51.75" customHeight="1" x14ac:dyDescent="0.2">
      <c r="A601" s="197"/>
      <c r="B601" s="197"/>
      <c r="C601" s="635" t="s">
        <v>1132</v>
      </c>
      <c r="D601" s="645" t="s">
        <v>225</v>
      </c>
      <c r="E601" s="358"/>
      <c r="F601" s="230">
        <v>163615</v>
      </c>
      <c r="G601" s="202">
        <f>0+táj.2!G601</f>
        <v>0</v>
      </c>
      <c r="H601" s="202">
        <f>0+táj.2!H601</f>
        <v>0</v>
      </c>
      <c r="I601" s="202">
        <f>8987+táj.2!I601</f>
        <v>8987</v>
      </c>
      <c r="J601" s="202">
        <f>0+táj.2!J601</f>
        <v>0</v>
      </c>
      <c r="K601" s="202">
        <f>0+táj.2!K601</f>
        <v>0</v>
      </c>
      <c r="L601" s="202">
        <f>0+táj.2!L601</f>
        <v>0</v>
      </c>
      <c r="M601" s="202">
        <f>0+táj.2!M601</f>
        <v>0</v>
      </c>
      <c r="N601" s="202">
        <f>0+táj.2!N601</f>
        <v>0</v>
      </c>
      <c r="O601" s="202">
        <f>0+táj.2!O601</f>
        <v>0</v>
      </c>
      <c r="P601" s="202">
        <f>0+táj.2!P601</f>
        <v>0</v>
      </c>
      <c r="Q601" s="170">
        <f t="shared" si="36"/>
        <v>8987</v>
      </c>
    </row>
    <row r="602" spans="1:17" ht="28.5" customHeight="1" x14ac:dyDescent="0.2">
      <c r="A602" s="197"/>
      <c r="B602" s="197"/>
      <c r="C602" s="635" t="s">
        <v>1133</v>
      </c>
      <c r="D602" s="645" t="s">
        <v>221</v>
      </c>
      <c r="E602" s="358"/>
      <c r="F602" s="230">
        <v>163616</v>
      </c>
      <c r="G602" s="202">
        <f>2000+táj.2!G602</f>
        <v>2000</v>
      </c>
      <c r="H602" s="202">
        <f>540+táj.2!H602</f>
        <v>540</v>
      </c>
      <c r="I602" s="202">
        <f>14934+táj.2!I602</f>
        <v>14934</v>
      </c>
      <c r="J602" s="202">
        <f>0+táj.2!J602</f>
        <v>0</v>
      </c>
      <c r="K602" s="202">
        <f>0+táj.2!K602</f>
        <v>0</v>
      </c>
      <c r="L602" s="202">
        <f>13825+táj.2!L602</f>
        <v>13825</v>
      </c>
      <c r="M602" s="202">
        <f>0+táj.2!M602</f>
        <v>0</v>
      </c>
      <c r="N602" s="202">
        <f>0+táj.2!N602</f>
        <v>0</v>
      </c>
      <c r="O602" s="202">
        <f>0+táj.2!O602</f>
        <v>0</v>
      </c>
      <c r="P602" s="202">
        <f>0+táj.2!P602</f>
        <v>0</v>
      </c>
      <c r="Q602" s="170">
        <f t="shared" si="36"/>
        <v>31299</v>
      </c>
    </row>
    <row r="603" spans="1:17" ht="52.5" customHeight="1" x14ac:dyDescent="0.2">
      <c r="A603" s="197"/>
      <c r="B603" s="197"/>
      <c r="C603" s="635" t="s">
        <v>1134</v>
      </c>
      <c r="D603" s="645" t="s">
        <v>222</v>
      </c>
      <c r="E603" s="358"/>
      <c r="F603" s="230">
        <v>163617</v>
      </c>
      <c r="G603" s="202">
        <f>900+táj.2!G603</f>
        <v>900</v>
      </c>
      <c r="H603" s="202">
        <f>199+táj.2!H603</f>
        <v>199</v>
      </c>
      <c r="I603" s="202">
        <f>0+táj.2!I603</f>
        <v>0</v>
      </c>
      <c r="J603" s="202">
        <f>0+táj.2!J603</f>
        <v>0</v>
      </c>
      <c r="K603" s="202">
        <f>0+táj.2!K603</f>
        <v>0</v>
      </c>
      <c r="L603" s="202">
        <f>0+táj.2!L603</f>
        <v>0</v>
      </c>
      <c r="M603" s="202">
        <f>0+táj.2!M603</f>
        <v>0</v>
      </c>
      <c r="N603" s="202">
        <f>0+táj.2!N603</f>
        <v>0</v>
      </c>
      <c r="O603" s="202">
        <f>0+táj.2!O603</f>
        <v>0</v>
      </c>
      <c r="P603" s="202">
        <f>0+táj.2!P603</f>
        <v>0</v>
      </c>
      <c r="Q603" s="170">
        <f t="shared" si="36"/>
        <v>1099</v>
      </c>
    </row>
    <row r="604" spans="1:17" ht="44.25" customHeight="1" x14ac:dyDescent="0.2">
      <c r="A604" s="197"/>
      <c r="B604" s="197"/>
      <c r="C604" s="635" t="s">
        <v>1135</v>
      </c>
      <c r="D604" s="645" t="s">
        <v>216</v>
      </c>
      <c r="E604" s="358"/>
      <c r="F604" s="230">
        <v>163622</v>
      </c>
      <c r="G604" s="202">
        <f>2431+táj.2!G604</f>
        <v>2431</v>
      </c>
      <c r="H604" s="202">
        <f>477+táj.2!H604</f>
        <v>477</v>
      </c>
      <c r="I604" s="202">
        <f>0+táj.2!I604</f>
        <v>0</v>
      </c>
      <c r="J604" s="202">
        <f>0+táj.2!J604</f>
        <v>0</v>
      </c>
      <c r="K604" s="202">
        <f>0+táj.2!K604</f>
        <v>0</v>
      </c>
      <c r="L604" s="202">
        <f>0+táj.2!L604</f>
        <v>0</v>
      </c>
      <c r="M604" s="202">
        <f>0+táj.2!M604</f>
        <v>0</v>
      </c>
      <c r="N604" s="202">
        <f>0+táj.2!N604</f>
        <v>0</v>
      </c>
      <c r="O604" s="202">
        <f>0+táj.2!O604</f>
        <v>0</v>
      </c>
      <c r="P604" s="202">
        <f>0+táj.2!P604</f>
        <v>0</v>
      </c>
      <c r="Q604" s="170">
        <f t="shared" si="36"/>
        <v>2908</v>
      </c>
    </row>
    <row r="605" spans="1:17" ht="24" customHeight="1" x14ac:dyDescent="0.2">
      <c r="A605" s="197"/>
      <c r="B605" s="197"/>
      <c r="C605" s="635" t="s">
        <v>1136</v>
      </c>
      <c r="D605" s="645" t="s">
        <v>215</v>
      </c>
      <c r="E605" s="358"/>
      <c r="F605" s="230">
        <v>163623</v>
      </c>
      <c r="G605" s="202">
        <f>2431+táj.2!G605</f>
        <v>2431</v>
      </c>
      <c r="H605" s="202">
        <f>477+táj.2!H605</f>
        <v>477</v>
      </c>
      <c r="I605" s="202">
        <f>100+táj.2!I605</f>
        <v>100</v>
      </c>
      <c r="J605" s="202">
        <f>0+táj.2!J605</f>
        <v>0</v>
      </c>
      <c r="K605" s="202">
        <f>0+táj.2!K605</f>
        <v>0</v>
      </c>
      <c r="L605" s="202">
        <f>0+táj.2!L605</f>
        <v>0</v>
      </c>
      <c r="M605" s="202">
        <f>0+táj.2!M605</f>
        <v>0</v>
      </c>
      <c r="N605" s="202">
        <f>0+táj.2!N605</f>
        <v>0</v>
      </c>
      <c r="O605" s="202">
        <f>0+táj.2!O605</f>
        <v>0</v>
      </c>
      <c r="P605" s="202">
        <f>0+táj.2!P605</f>
        <v>0</v>
      </c>
      <c r="Q605" s="170">
        <f t="shared" si="36"/>
        <v>3008</v>
      </c>
    </row>
    <row r="606" spans="1:17" ht="24.75" customHeight="1" x14ac:dyDescent="0.2">
      <c r="A606" s="197"/>
      <c r="B606" s="197"/>
      <c r="C606" s="635" t="s">
        <v>1137</v>
      </c>
      <c r="D606" s="172" t="s">
        <v>198</v>
      </c>
      <c r="E606" s="358"/>
      <c r="F606" s="230">
        <v>163625</v>
      </c>
      <c r="G606" s="202">
        <f>0+táj.2!G606</f>
        <v>0</v>
      </c>
      <c r="H606" s="202">
        <f>0+táj.2!H606</f>
        <v>0</v>
      </c>
      <c r="I606" s="202">
        <f>87000+táj.2!I606</f>
        <v>87000</v>
      </c>
      <c r="J606" s="202">
        <f>0+táj.2!J606</f>
        <v>0</v>
      </c>
      <c r="K606" s="202">
        <f>0+táj.2!K606</f>
        <v>0</v>
      </c>
      <c r="L606" s="202">
        <f>1001000+táj.2!L606</f>
        <v>1001000</v>
      </c>
      <c r="M606" s="202">
        <f>0+táj.2!M606</f>
        <v>0</v>
      </c>
      <c r="N606" s="202">
        <f>0+táj.2!N606</f>
        <v>0</v>
      </c>
      <c r="O606" s="202">
        <f>0+táj.2!O606</f>
        <v>0</v>
      </c>
      <c r="P606" s="202">
        <f>0+táj.2!P606</f>
        <v>0</v>
      </c>
      <c r="Q606" s="170">
        <f t="shared" si="36"/>
        <v>1088000</v>
      </c>
    </row>
    <row r="607" spans="1:17" ht="24.75" customHeight="1" x14ac:dyDescent="0.2">
      <c r="A607" s="197"/>
      <c r="B607" s="197"/>
      <c r="C607" s="635" t="s">
        <v>1138</v>
      </c>
      <c r="D607" s="169" t="s">
        <v>200</v>
      </c>
      <c r="E607" s="358"/>
      <c r="F607" s="230">
        <v>163626</v>
      </c>
      <c r="G607" s="202">
        <f>0+táj.2!G607</f>
        <v>0</v>
      </c>
      <c r="H607" s="202">
        <f>0+táj.2!H607</f>
        <v>0</v>
      </c>
      <c r="I607" s="202">
        <f>62864+táj.2!I607</f>
        <v>62864</v>
      </c>
      <c r="J607" s="202">
        <f>0+táj.2!J607</f>
        <v>0</v>
      </c>
      <c r="K607" s="202">
        <f>0+táj.2!K607</f>
        <v>0</v>
      </c>
      <c r="L607" s="202">
        <f>151234+táj.2!L607</f>
        <v>151234</v>
      </c>
      <c r="M607" s="202">
        <f>0+táj.2!M607</f>
        <v>0</v>
      </c>
      <c r="N607" s="202">
        <f>0+táj.2!N607</f>
        <v>0</v>
      </c>
      <c r="O607" s="202">
        <f>0+táj.2!O607</f>
        <v>0</v>
      </c>
      <c r="P607" s="202">
        <f>0+táj.2!P607</f>
        <v>0</v>
      </c>
      <c r="Q607" s="170">
        <f t="shared" si="36"/>
        <v>214098</v>
      </c>
    </row>
    <row r="608" spans="1:17" ht="39.75" customHeight="1" x14ac:dyDescent="0.2">
      <c r="A608" s="197"/>
      <c r="B608" s="197"/>
      <c r="C608" s="635" t="s">
        <v>1139</v>
      </c>
      <c r="D608" s="646" t="s">
        <v>224</v>
      </c>
      <c r="E608" s="358"/>
      <c r="F608" s="230">
        <v>163627</v>
      </c>
      <c r="G608" s="202">
        <f>2535+táj.2!G608</f>
        <v>2535</v>
      </c>
      <c r="H608" s="202">
        <f>975+táj.2!H608</f>
        <v>975</v>
      </c>
      <c r="I608" s="202">
        <f>267175+táj.2!I608</f>
        <v>267175</v>
      </c>
      <c r="J608" s="202">
        <f>0+táj.2!J608</f>
        <v>0</v>
      </c>
      <c r="K608" s="202">
        <f>0+táj.2!K608</f>
        <v>0</v>
      </c>
      <c r="L608" s="202">
        <f>191453+táj.2!L608</f>
        <v>191453</v>
      </c>
      <c r="M608" s="202">
        <f>804625+táj.2!M608</f>
        <v>804625</v>
      </c>
      <c r="N608" s="202">
        <f>0+táj.2!N608</f>
        <v>0</v>
      </c>
      <c r="O608" s="202">
        <f>0+táj.2!O608</f>
        <v>0</v>
      </c>
      <c r="P608" s="202">
        <f>0+táj.2!P608</f>
        <v>0</v>
      </c>
      <c r="Q608" s="170">
        <f t="shared" si="36"/>
        <v>1266763</v>
      </c>
    </row>
    <row r="609" spans="1:17" ht="27" customHeight="1" x14ac:dyDescent="0.2">
      <c r="A609" s="197"/>
      <c r="B609" s="197"/>
      <c r="C609" s="635" t="s">
        <v>1140</v>
      </c>
      <c r="D609" s="646" t="s">
        <v>1141</v>
      </c>
      <c r="E609" s="358"/>
      <c r="F609" s="230">
        <v>163629</v>
      </c>
      <c r="G609" s="202">
        <f>0+táj.2!G609</f>
        <v>1317</v>
      </c>
      <c r="H609" s="202">
        <f>0+táj.2!H609</f>
        <v>208</v>
      </c>
      <c r="I609" s="202">
        <f>297638+táj.2!I609</f>
        <v>296113</v>
      </c>
      <c r="J609" s="202">
        <f>0+táj.2!J609</f>
        <v>0</v>
      </c>
      <c r="K609" s="202">
        <f>0+táj.2!K609</f>
        <v>0</v>
      </c>
      <c r="L609" s="202">
        <f>889462+táj.2!L609</f>
        <v>889462</v>
      </c>
      <c r="M609" s="202">
        <f>0+táj.2!M609</f>
        <v>0</v>
      </c>
      <c r="N609" s="202">
        <f>0+táj.2!N609</f>
        <v>0</v>
      </c>
      <c r="O609" s="202">
        <f>0+táj.2!O609</f>
        <v>0</v>
      </c>
      <c r="P609" s="202">
        <f>0+táj.2!P609</f>
        <v>0</v>
      </c>
      <c r="Q609" s="170">
        <f t="shared" si="36"/>
        <v>1187100</v>
      </c>
    </row>
    <row r="610" spans="1:17" ht="28.5" customHeight="1" x14ac:dyDescent="0.2">
      <c r="A610" s="683"/>
      <c r="B610" s="683"/>
      <c r="C610" s="685" t="s">
        <v>1142</v>
      </c>
      <c r="D610" s="169" t="s">
        <v>1143</v>
      </c>
      <c r="E610" s="358"/>
      <c r="F610" s="230">
        <v>163628</v>
      </c>
      <c r="G610" s="202">
        <f>0+táj.2!G610</f>
        <v>0</v>
      </c>
      <c r="H610" s="202">
        <f>0+táj.2!H610</f>
        <v>0</v>
      </c>
      <c r="I610" s="202">
        <f>170476+táj.2!I610</f>
        <v>170476</v>
      </c>
      <c r="J610" s="202">
        <f>0+táj.2!J610</f>
        <v>0</v>
      </c>
      <c r="K610" s="202">
        <f>0+táj.2!K610</f>
        <v>0</v>
      </c>
      <c r="L610" s="202">
        <f>593176+táj.2!L610</f>
        <v>593176</v>
      </c>
      <c r="M610" s="202">
        <f>0+táj.2!M610</f>
        <v>0</v>
      </c>
      <c r="N610" s="202">
        <f>0+táj.2!N610</f>
        <v>0</v>
      </c>
      <c r="O610" s="202">
        <f>0+táj.2!O610</f>
        <v>0</v>
      </c>
      <c r="P610" s="202">
        <f>0+táj.2!P610</f>
        <v>0</v>
      </c>
      <c r="Q610" s="170">
        <f t="shared" si="36"/>
        <v>763652</v>
      </c>
    </row>
    <row r="611" spans="1:17" ht="39.75" customHeight="1" x14ac:dyDescent="0.2">
      <c r="A611" s="197"/>
      <c r="B611" s="197"/>
      <c r="C611" s="635" t="s">
        <v>1144</v>
      </c>
      <c r="D611" s="171" t="s">
        <v>153</v>
      </c>
      <c r="E611" s="358"/>
      <c r="F611" s="230">
        <v>163633</v>
      </c>
      <c r="G611" s="202">
        <f>0+táj.2!G611</f>
        <v>0</v>
      </c>
      <c r="H611" s="202">
        <f>0+táj.2!H611</f>
        <v>0</v>
      </c>
      <c r="I611" s="202">
        <f>148420+táj.2!I611</f>
        <v>148420</v>
      </c>
      <c r="J611" s="202">
        <f>0+táj.2!J611</f>
        <v>0</v>
      </c>
      <c r="K611" s="202">
        <f>0+táj.2!K611</f>
        <v>0</v>
      </c>
      <c r="L611" s="202">
        <f>30750+táj.2!L611</f>
        <v>30750</v>
      </c>
      <c r="M611" s="202">
        <f>0+táj.2!M611</f>
        <v>0</v>
      </c>
      <c r="N611" s="202">
        <f>0+táj.2!N611</f>
        <v>0</v>
      </c>
      <c r="O611" s="202">
        <f>0+táj.2!O611</f>
        <v>0</v>
      </c>
      <c r="P611" s="202">
        <f>0+táj.2!P611</f>
        <v>0</v>
      </c>
      <c r="Q611" s="170">
        <f t="shared" si="36"/>
        <v>179170</v>
      </c>
    </row>
    <row r="612" spans="1:17" ht="40.5" customHeight="1" x14ac:dyDescent="0.2">
      <c r="A612" s="197"/>
      <c r="B612" s="197"/>
      <c r="C612" s="635" t="s">
        <v>1145</v>
      </c>
      <c r="D612" s="169" t="s">
        <v>1482</v>
      </c>
      <c r="E612" s="358"/>
      <c r="F612" s="230">
        <v>163637</v>
      </c>
      <c r="G612" s="202">
        <f>0+táj.2!G612</f>
        <v>0</v>
      </c>
      <c r="H612" s="202">
        <f>0+táj.2!H612</f>
        <v>0</v>
      </c>
      <c r="I612" s="202">
        <f>78468+táj.2!I612</f>
        <v>117820</v>
      </c>
      <c r="J612" s="202">
        <f>0+táj.2!J612</f>
        <v>0</v>
      </c>
      <c r="K612" s="202">
        <f>0+táj.2!K612</f>
        <v>0</v>
      </c>
      <c r="L612" s="202">
        <f>257145+táj.2!L612</f>
        <v>402892</v>
      </c>
      <c r="M612" s="202">
        <f>0+táj.2!M612</f>
        <v>0</v>
      </c>
      <c r="N612" s="202">
        <f>0+táj.2!N612</f>
        <v>0</v>
      </c>
      <c r="O612" s="202">
        <f>0+táj.2!O612</f>
        <v>0</v>
      </c>
      <c r="P612" s="202">
        <f>0+táj.2!P612</f>
        <v>0</v>
      </c>
      <c r="Q612" s="170">
        <f t="shared" si="36"/>
        <v>520712</v>
      </c>
    </row>
    <row r="613" spans="1:17" ht="29.25" customHeight="1" x14ac:dyDescent="0.2">
      <c r="A613" s="197"/>
      <c r="B613" s="197"/>
      <c r="C613" s="635" t="s">
        <v>1146</v>
      </c>
      <c r="D613" s="171" t="s">
        <v>70</v>
      </c>
      <c r="E613" s="358"/>
      <c r="F613" s="230">
        <v>163638</v>
      </c>
      <c r="G613" s="202">
        <f>2322+táj.2!G613</f>
        <v>2322</v>
      </c>
      <c r="H613" s="202">
        <f>453+táj.2!H613</f>
        <v>453</v>
      </c>
      <c r="I613" s="202">
        <f>1636+táj.2!I613</f>
        <v>1636</v>
      </c>
      <c r="J613" s="202">
        <f>0+táj.2!J613</f>
        <v>0</v>
      </c>
      <c r="K613" s="202">
        <f>0+táj.2!K613</f>
        <v>0</v>
      </c>
      <c r="L613" s="202">
        <f>0+táj.2!L613</f>
        <v>0</v>
      </c>
      <c r="M613" s="202">
        <f>328631+táj.2!M613</f>
        <v>328631</v>
      </c>
      <c r="N613" s="202">
        <f>0+táj.2!N613</f>
        <v>0</v>
      </c>
      <c r="O613" s="202">
        <f>0+táj.2!O613</f>
        <v>0</v>
      </c>
      <c r="P613" s="202">
        <f>0+táj.2!P613</f>
        <v>0</v>
      </c>
      <c r="Q613" s="170">
        <f t="shared" si="36"/>
        <v>333042</v>
      </c>
    </row>
    <row r="614" spans="1:17" ht="32.25" customHeight="1" x14ac:dyDescent="0.2">
      <c r="A614" s="197"/>
      <c r="B614" s="197"/>
      <c r="C614" s="635" t="s">
        <v>1147</v>
      </c>
      <c r="D614" s="171" t="s">
        <v>71</v>
      </c>
      <c r="E614" s="358"/>
      <c r="F614" s="230">
        <v>163639</v>
      </c>
      <c r="G614" s="202">
        <f>2459+táj.2!G614</f>
        <v>2459</v>
      </c>
      <c r="H614" s="202">
        <f>541+táj.2!H614</f>
        <v>541</v>
      </c>
      <c r="I614" s="202">
        <f>3662+táj.2!I614</f>
        <v>3662</v>
      </c>
      <c r="J614" s="202">
        <f>0+táj.2!J614</f>
        <v>0</v>
      </c>
      <c r="K614" s="202">
        <f>0+táj.2!K614</f>
        <v>0</v>
      </c>
      <c r="L614" s="202">
        <f>0+táj.2!L614</f>
        <v>0</v>
      </c>
      <c r="M614" s="202">
        <f>292367+táj.2!M614</f>
        <v>317520</v>
      </c>
      <c r="N614" s="202">
        <f>0+táj.2!N614</f>
        <v>0</v>
      </c>
      <c r="O614" s="202">
        <f>0+táj.2!O614</f>
        <v>0</v>
      </c>
      <c r="P614" s="202">
        <f>0+táj.2!P614</f>
        <v>0</v>
      </c>
      <c r="Q614" s="170">
        <f t="shared" si="36"/>
        <v>324182</v>
      </c>
    </row>
    <row r="615" spans="1:17" ht="30.75" customHeight="1" x14ac:dyDescent="0.2">
      <c r="A615" s="197"/>
      <c r="B615" s="197"/>
      <c r="C615" s="635" t="s">
        <v>1148</v>
      </c>
      <c r="D615" s="171" t="s">
        <v>72</v>
      </c>
      <c r="E615" s="358"/>
      <c r="F615" s="230">
        <v>163640</v>
      </c>
      <c r="G615" s="202">
        <f>0+táj.2!G615</f>
        <v>0</v>
      </c>
      <c r="H615" s="202">
        <f>0+táj.2!H615</f>
        <v>0</v>
      </c>
      <c r="I615" s="202">
        <f>1874+táj.2!I615</f>
        <v>1874</v>
      </c>
      <c r="J615" s="202">
        <f>0+táj.2!J615</f>
        <v>0</v>
      </c>
      <c r="K615" s="202">
        <f>0+táj.2!K615</f>
        <v>0</v>
      </c>
      <c r="L615" s="202">
        <f>0+táj.2!L615</f>
        <v>0</v>
      </c>
      <c r="M615" s="202">
        <f>133139+táj.2!M615</f>
        <v>133139</v>
      </c>
      <c r="N615" s="202">
        <f>0+táj.2!N615</f>
        <v>0</v>
      </c>
      <c r="O615" s="202">
        <f>0+táj.2!O615</f>
        <v>0</v>
      </c>
      <c r="P615" s="202">
        <f>0+táj.2!P615</f>
        <v>0</v>
      </c>
      <c r="Q615" s="170">
        <f t="shared" si="36"/>
        <v>135013</v>
      </c>
    </row>
    <row r="616" spans="1:17" ht="30.75" customHeight="1" x14ac:dyDescent="0.2">
      <c r="A616" s="197"/>
      <c r="B616" s="197"/>
      <c r="C616" s="635" t="s">
        <v>1149</v>
      </c>
      <c r="D616" s="236" t="s">
        <v>1150</v>
      </c>
      <c r="E616" s="358"/>
      <c r="F616" s="230">
        <v>163646</v>
      </c>
      <c r="G616" s="202">
        <f>0+táj.2!G616</f>
        <v>0</v>
      </c>
      <c r="H616" s="202">
        <f>0+táj.2!H616</f>
        <v>0</v>
      </c>
      <c r="I616" s="202">
        <f>30+táj.2!I616</f>
        <v>30</v>
      </c>
      <c r="J616" s="202">
        <f>0+táj.2!J616</f>
        <v>0</v>
      </c>
      <c r="K616" s="202">
        <f>0+táj.2!K616</f>
        <v>0</v>
      </c>
      <c r="L616" s="202">
        <f>8637+táj.2!L616</f>
        <v>8637</v>
      </c>
      <c r="M616" s="202">
        <f>0+táj.2!M616</f>
        <v>0</v>
      </c>
      <c r="N616" s="202">
        <f>0+táj.2!N616</f>
        <v>0</v>
      </c>
      <c r="O616" s="202">
        <f>0+táj.2!O616</f>
        <v>0</v>
      </c>
      <c r="P616" s="202">
        <f>0+táj.2!P616</f>
        <v>0</v>
      </c>
      <c r="Q616" s="170">
        <f t="shared" si="36"/>
        <v>8667</v>
      </c>
    </row>
    <row r="617" spans="1:17" ht="30.75" customHeight="1" x14ac:dyDescent="0.2">
      <c r="A617" s="197"/>
      <c r="B617" s="197"/>
      <c r="C617" s="635" t="s">
        <v>1151</v>
      </c>
      <c r="D617" s="169" t="s">
        <v>1152</v>
      </c>
      <c r="E617" s="610"/>
      <c r="F617" s="230">
        <v>163636</v>
      </c>
      <c r="G617" s="202">
        <f>0+táj.2!G617</f>
        <v>0</v>
      </c>
      <c r="H617" s="202">
        <f>0+táj.2!H617</f>
        <v>0</v>
      </c>
      <c r="I617" s="202">
        <f>2730+táj.2!I617</f>
        <v>2730</v>
      </c>
      <c r="J617" s="202">
        <f>0+táj.2!J617</f>
        <v>0</v>
      </c>
      <c r="K617" s="202">
        <f>0+táj.2!K617</f>
        <v>0</v>
      </c>
      <c r="L617" s="202">
        <f>0+táj.2!L617</f>
        <v>0</v>
      </c>
      <c r="M617" s="202">
        <f>129787+táj.2!M617</f>
        <v>129787</v>
      </c>
      <c r="N617" s="202">
        <f>0+táj.2!N617</f>
        <v>0</v>
      </c>
      <c r="O617" s="202">
        <f>0+táj.2!O617</f>
        <v>0</v>
      </c>
      <c r="P617" s="202">
        <f>0+táj.2!P617</f>
        <v>0</v>
      </c>
      <c r="Q617" s="170">
        <f t="shared" si="36"/>
        <v>132517</v>
      </c>
    </row>
    <row r="618" spans="1:17" ht="21" customHeight="1" x14ac:dyDescent="0.2">
      <c r="A618" s="197"/>
      <c r="B618" s="197"/>
      <c r="C618" s="637" t="s">
        <v>1153</v>
      </c>
      <c r="D618" s="383" t="s">
        <v>1154</v>
      </c>
      <c r="E618" s="230"/>
      <c r="F618" s="230">
        <v>162630</v>
      </c>
      <c r="G618" s="202">
        <f>0+táj.2!G618</f>
        <v>0</v>
      </c>
      <c r="H618" s="202">
        <f>0+táj.2!H618</f>
        <v>0</v>
      </c>
      <c r="I618" s="202">
        <f>1939+táj.2!I618</f>
        <v>1939</v>
      </c>
      <c r="J618" s="202">
        <f>0+táj.2!J618</f>
        <v>0</v>
      </c>
      <c r="K618" s="202">
        <f>0+táj.2!K618</f>
        <v>0</v>
      </c>
      <c r="L618" s="202">
        <f>233194+táj.2!L618</f>
        <v>236089</v>
      </c>
      <c r="M618" s="202">
        <f>75456+táj.2!M618</f>
        <v>75038</v>
      </c>
      <c r="N618" s="202">
        <f>0+táj.2!N618</f>
        <v>0</v>
      </c>
      <c r="O618" s="202">
        <f>0+táj.2!O618</f>
        <v>0</v>
      </c>
      <c r="P618" s="202">
        <f>0+táj.2!P618</f>
        <v>0</v>
      </c>
      <c r="Q618" s="170">
        <f t="shared" si="36"/>
        <v>313066</v>
      </c>
    </row>
    <row r="619" spans="1:17" ht="16.5" hidden="1" customHeight="1" x14ac:dyDescent="0.2">
      <c r="A619" s="197"/>
      <c r="B619" s="197"/>
      <c r="C619" s="635"/>
      <c r="D619" s="394" t="s">
        <v>1155</v>
      </c>
      <c r="E619" s="230"/>
      <c r="F619" s="230"/>
      <c r="G619" s="202">
        <f>0+táj.2!G619</f>
        <v>0</v>
      </c>
      <c r="H619" s="202">
        <f>0+táj.2!H619</f>
        <v>0</v>
      </c>
      <c r="I619" s="202">
        <f>0+táj.2!I619</f>
        <v>0</v>
      </c>
      <c r="J619" s="202">
        <f>0+táj.2!J619</f>
        <v>0</v>
      </c>
      <c r="K619" s="202">
        <f>0+táj.2!K619</f>
        <v>0</v>
      </c>
      <c r="L619" s="202">
        <f>0+táj.2!L619</f>
        <v>0</v>
      </c>
      <c r="M619" s="202">
        <f>0+táj.2!M619</f>
        <v>0</v>
      </c>
      <c r="N619" s="202">
        <f>0+táj.2!N619</f>
        <v>0</v>
      </c>
      <c r="O619" s="202">
        <f>0+táj.2!O619</f>
        <v>0</v>
      </c>
      <c r="P619" s="202">
        <f>0+táj.2!P619</f>
        <v>0</v>
      </c>
      <c r="Q619" s="170"/>
    </row>
    <row r="620" spans="1:17" ht="23.25" hidden="1" customHeight="1" x14ac:dyDescent="0.2">
      <c r="A620" s="197"/>
      <c r="B620" s="197"/>
      <c r="C620" s="635"/>
      <c r="D620" s="395" t="s">
        <v>1156</v>
      </c>
      <c r="E620" s="230"/>
      <c r="F620" s="230"/>
      <c r="G620" s="202">
        <f>0+táj.2!G620</f>
        <v>0</v>
      </c>
      <c r="H620" s="202">
        <f>0+táj.2!H620</f>
        <v>0</v>
      </c>
      <c r="I620" s="202">
        <f>0+táj.2!I620</f>
        <v>0</v>
      </c>
      <c r="J620" s="202">
        <f>0+táj.2!J620</f>
        <v>0</v>
      </c>
      <c r="K620" s="202">
        <f>0+táj.2!K620</f>
        <v>0</v>
      </c>
      <c r="L620" s="202">
        <f>0+táj.2!L620</f>
        <v>0</v>
      </c>
      <c r="M620" s="202">
        <f>0+táj.2!M620</f>
        <v>0</v>
      </c>
      <c r="N620" s="202">
        <f>0+táj.2!N620</f>
        <v>0</v>
      </c>
      <c r="O620" s="202">
        <f>0+táj.2!O620</f>
        <v>0</v>
      </c>
      <c r="P620" s="202">
        <f>0+táj.2!P620</f>
        <v>0</v>
      </c>
      <c r="Q620" s="170"/>
    </row>
    <row r="621" spans="1:17" ht="16.5" hidden="1" customHeight="1" x14ac:dyDescent="0.2">
      <c r="A621" s="197"/>
      <c r="B621" s="197"/>
      <c r="C621" s="635"/>
      <c r="D621" s="395" t="s">
        <v>1157</v>
      </c>
      <c r="E621" s="230"/>
      <c r="F621" s="230"/>
      <c r="G621" s="202">
        <f>0+táj.2!G621</f>
        <v>0</v>
      </c>
      <c r="H621" s="202">
        <f>0+táj.2!H621</f>
        <v>0</v>
      </c>
      <c r="I621" s="202">
        <f>0+táj.2!I621</f>
        <v>0</v>
      </c>
      <c r="J621" s="202">
        <f>0+táj.2!J621</f>
        <v>0</v>
      </c>
      <c r="K621" s="202">
        <f>0+táj.2!K621</f>
        <v>0</v>
      </c>
      <c r="L621" s="202">
        <f>0+táj.2!L621</f>
        <v>0</v>
      </c>
      <c r="M621" s="202">
        <f>0+táj.2!M621</f>
        <v>0</v>
      </c>
      <c r="N621" s="202">
        <f>0+táj.2!N621</f>
        <v>0</v>
      </c>
      <c r="O621" s="202">
        <f>0+táj.2!O621</f>
        <v>0</v>
      </c>
      <c r="P621" s="202">
        <f>0+táj.2!P621</f>
        <v>0</v>
      </c>
      <c r="Q621" s="170"/>
    </row>
    <row r="622" spans="1:17" ht="27" hidden="1" customHeight="1" x14ac:dyDescent="0.2">
      <c r="A622" s="197"/>
      <c r="B622" s="197"/>
      <c r="C622" s="635"/>
      <c r="D622" s="173" t="s">
        <v>1158</v>
      </c>
      <c r="E622" s="230"/>
      <c r="F622" s="230"/>
      <c r="G622" s="202">
        <f>0+táj.2!G622</f>
        <v>0</v>
      </c>
      <c r="H622" s="202">
        <f>0+táj.2!H622</f>
        <v>0</v>
      </c>
      <c r="I622" s="202">
        <f>0+táj.2!I622</f>
        <v>0</v>
      </c>
      <c r="J622" s="202">
        <f>0+táj.2!J622</f>
        <v>0</v>
      </c>
      <c r="K622" s="202">
        <f>0+táj.2!K622</f>
        <v>0</v>
      </c>
      <c r="L622" s="202">
        <f>0+táj.2!L622</f>
        <v>0</v>
      </c>
      <c r="M622" s="202">
        <f>0+táj.2!M622</f>
        <v>0</v>
      </c>
      <c r="N622" s="202">
        <f>0+táj.2!N622</f>
        <v>0</v>
      </c>
      <c r="O622" s="202">
        <f>0+táj.2!O622</f>
        <v>0</v>
      </c>
      <c r="P622" s="202">
        <f>0+táj.2!P622</f>
        <v>0</v>
      </c>
      <c r="Q622" s="170"/>
    </row>
    <row r="623" spans="1:17" ht="27" hidden="1" customHeight="1" x14ac:dyDescent="0.2">
      <c r="A623" s="197"/>
      <c r="B623" s="197"/>
      <c r="C623" s="635"/>
      <c r="D623" s="396" t="s">
        <v>1159</v>
      </c>
      <c r="E623" s="230"/>
      <c r="F623" s="230"/>
      <c r="G623" s="202">
        <f>0+táj.2!G623</f>
        <v>0</v>
      </c>
      <c r="H623" s="202">
        <f>0+táj.2!H623</f>
        <v>0</v>
      </c>
      <c r="I623" s="202">
        <f>0+táj.2!I623</f>
        <v>0</v>
      </c>
      <c r="J623" s="202">
        <f>0+táj.2!J623</f>
        <v>0</v>
      </c>
      <c r="K623" s="202">
        <f>0+táj.2!K623</f>
        <v>0</v>
      </c>
      <c r="L623" s="202">
        <f>0+táj.2!L623</f>
        <v>0</v>
      </c>
      <c r="M623" s="202">
        <f>0+táj.2!M623</f>
        <v>0</v>
      </c>
      <c r="N623" s="202">
        <f>0+táj.2!N623</f>
        <v>0</v>
      </c>
      <c r="O623" s="202">
        <f>0+táj.2!O623</f>
        <v>0</v>
      </c>
      <c r="P623" s="202">
        <f>0+táj.2!P623</f>
        <v>0</v>
      </c>
      <c r="Q623" s="170"/>
    </row>
    <row r="624" spans="1:17" ht="25.5" hidden="1" customHeight="1" x14ac:dyDescent="0.2">
      <c r="A624" s="197"/>
      <c r="B624" s="197"/>
      <c r="C624" s="635"/>
      <c r="D624" s="173" t="s">
        <v>1160</v>
      </c>
      <c r="E624" s="230"/>
      <c r="F624" s="230"/>
      <c r="G624" s="202">
        <f>0+táj.2!G624</f>
        <v>0</v>
      </c>
      <c r="H624" s="202">
        <f>0+táj.2!H624</f>
        <v>0</v>
      </c>
      <c r="I624" s="202">
        <f>0+táj.2!I624</f>
        <v>0</v>
      </c>
      <c r="J624" s="202">
        <f>0+táj.2!J624</f>
        <v>0</v>
      </c>
      <c r="K624" s="202">
        <f>0+táj.2!K624</f>
        <v>0</v>
      </c>
      <c r="L624" s="202">
        <f>0+táj.2!L624</f>
        <v>0</v>
      </c>
      <c r="M624" s="202">
        <f>0+táj.2!M624</f>
        <v>0</v>
      </c>
      <c r="N624" s="202">
        <f>0+táj.2!N624</f>
        <v>0</v>
      </c>
      <c r="O624" s="202">
        <f>0+táj.2!O624</f>
        <v>0</v>
      </c>
      <c r="P624" s="202">
        <f>0+táj.2!P624</f>
        <v>0</v>
      </c>
      <c r="Q624" s="170"/>
    </row>
    <row r="625" spans="1:17" ht="17.100000000000001" hidden="1" customHeight="1" x14ac:dyDescent="0.2">
      <c r="A625" s="197"/>
      <c r="B625" s="197"/>
      <c r="C625" s="635"/>
      <c r="D625" s="397" t="s">
        <v>1161</v>
      </c>
      <c r="E625" s="230"/>
      <c r="F625" s="230"/>
      <c r="G625" s="202">
        <f>0+táj.2!G625</f>
        <v>0</v>
      </c>
      <c r="H625" s="202">
        <f>0+táj.2!H625</f>
        <v>0</v>
      </c>
      <c r="I625" s="202">
        <f>0+táj.2!I625</f>
        <v>0</v>
      </c>
      <c r="J625" s="202">
        <f>0+táj.2!J625</f>
        <v>0</v>
      </c>
      <c r="K625" s="202">
        <f>0+táj.2!K625</f>
        <v>0</v>
      </c>
      <c r="L625" s="202">
        <f>0+táj.2!L625</f>
        <v>0</v>
      </c>
      <c r="M625" s="202">
        <f>0+táj.2!M625</f>
        <v>0</v>
      </c>
      <c r="N625" s="202">
        <f>0+táj.2!N625</f>
        <v>0</v>
      </c>
      <c r="O625" s="202">
        <f>0+táj.2!O625</f>
        <v>0</v>
      </c>
      <c r="P625" s="202">
        <f>0+táj.2!P625</f>
        <v>0</v>
      </c>
      <c r="Q625" s="170"/>
    </row>
    <row r="626" spans="1:17" ht="17.100000000000001" hidden="1" customHeight="1" x14ac:dyDescent="0.2">
      <c r="A626" s="197"/>
      <c r="B626" s="197"/>
      <c r="C626" s="635"/>
      <c r="D626" s="397" t="s">
        <v>1162</v>
      </c>
      <c r="E626" s="230"/>
      <c r="F626" s="230"/>
      <c r="G626" s="202">
        <f>0+táj.2!G626</f>
        <v>0</v>
      </c>
      <c r="H626" s="202">
        <f>0+táj.2!H626</f>
        <v>0</v>
      </c>
      <c r="I626" s="202">
        <f>0+táj.2!I626</f>
        <v>0</v>
      </c>
      <c r="J626" s="202">
        <f>0+táj.2!J626</f>
        <v>0</v>
      </c>
      <c r="K626" s="202">
        <f>0+táj.2!K626</f>
        <v>0</v>
      </c>
      <c r="L626" s="202">
        <f>0+táj.2!L626</f>
        <v>0</v>
      </c>
      <c r="M626" s="202">
        <f>0+táj.2!M626</f>
        <v>0</v>
      </c>
      <c r="N626" s="202">
        <f>0+táj.2!N626</f>
        <v>0</v>
      </c>
      <c r="O626" s="202">
        <f>0+táj.2!O626</f>
        <v>0</v>
      </c>
      <c r="P626" s="202">
        <f>0+táj.2!P626</f>
        <v>0</v>
      </c>
      <c r="Q626" s="170"/>
    </row>
    <row r="627" spans="1:17" ht="17.100000000000001" hidden="1" customHeight="1" x14ac:dyDescent="0.2">
      <c r="A627" s="197"/>
      <c r="B627" s="197"/>
      <c r="C627" s="635"/>
      <c r="D627" s="397" t="s">
        <v>1163</v>
      </c>
      <c r="E627" s="230"/>
      <c r="F627" s="230"/>
      <c r="G627" s="202">
        <f>0+táj.2!G627</f>
        <v>0</v>
      </c>
      <c r="H627" s="202">
        <f>0+táj.2!H627</f>
        <v>0</v>
      </c>
      <c r="I627" s="202">
        <f>0+táj.2!I627</f>
        <v>0</v>
      </c>
      <c r="J627" s="202">
        <f>0+táj.2!J627</f>
        <v>0</v>
      </c>
      <c r="K627" s="202">
        <f>0+táj.2!K627</f>
        <v>0</v>
      </c>
      <c r="L627" s="202">
        <f>0+táj.2!L627</f>
        <v>0</v>
      </c>
      <c r="M627" s="202">
        <f>0+táj.2!M627</f>
        <v>0</v>
      </c>
      <c r="N627" s="202">
        <f>0+táj.2!N627</f>
        <v>0</v>
      </c>
      <c r="O627" s="202">
        <f>0+táj.2!O627</f>
        <v>0</v>
      </c>
      <c r="P627" s="202">
        <f>0+táj.2!P627</f>
        <v>0</v>
      </c>
      <c r="Q627" s="170"/>
    </row>
    <row r="628" spans="1:17" ht="17.100000000000001" hidden="1" customHeight="1" x14ac:dyDescent="0.2">
      <c r="A628" s="197"/>
      <c r="B628" s="197"/>
      <c r="C628" s="635"/>
      <c r="D628" s="397" t="s">
        <v>1164</v>
      </c>
      <c r="E628" s="230"/>
      <c r="F628" s="230"/>
      <c r="G628" s="202">
        <f>0+táj.2!G628</f>
        <v>0</v>
      </c>
      <c r="H628" s="202">
        <f>0+táj.2!H628</f>
        <v>0</v>
      </c>
      <c r="I628" s="202">
        <f>0+táj.2!I628</f>
        <v>0</v>
      </c>
      <c r="J628" s="202">
        <f>0+táj.2!J628</f>
        <v>0</v>
      </c>
      <c r="K628" s="202">
        <f>0+táj.2!K628</f>
        <v>0</v>
      </c>
      <c r="L628" s="202">
        <f>0+táj.2!L628</f>
        <v>0</v>
      </c>
      <c r="M628" s="202">
        <f>0+táj.2!M628</f>
        <v>0</v>
      </c>
      <c r="N628" s="202">
        <f>0+táj.2!N628</f>
        <v>0</v>
      </c>
      <c r="O628" s="202">
        <f>0+táj.2!O628</f>
        <v>0</v>
      </c>
      <c r="P628" s="202">
        <f>0+táj.2!P628</f>
        <v>0</v>
      </c>
      <c r="Q628" s="170"/>
    </row>
    <row r="629" spans="1:17" ht="27" hidden="1" customHeight="1" x14ac:dyDescent="0.2">
      <c r="A629" s="197"/>
      <c r="B629" s="197"/>
      <c r="C629" s="635"/>
      <c r="D629" s="397" t="s">
        <v>1165</v>
      </c>
      <c r="E629" s="230"/>
      <c r="F629" s="230"/>
      <c r="G629" s="202">
        <f>0+táj.2!G629</f>
        <v>0</v>
      </c>
      <c r="H629" s="202">
        <f>0+táj.2!H629</f>
        <v>0</v>
      </c>
      <c r="I629" s="202">
        <f>0+táj.2!I629</f>
        <v>0</v>
      </c>
      <c r="J629" s="202">
        <f>0+táj.2!J629</f>
        <v>0</v>
      </c>
      <c r="K629" s="202">
        <f>0+táj.2!K629</f>
        <v>0</v>
      </c>
      <c r="L629" s="202">
        <f>0+táj.2!L629</f>
        <v>0</v>
      </c>
      <c r="M629" s="202">
        <f>0+táj.2!M629</f>
        <v>0</v>
      </c>
      <c r="N629" s="202">
        <f>0+táj.2!N629</f>
        <v>0</v>
      </c>
      <c r="O629" s="202">
        <f>0+táj.2!O629</f>
        <v>0</v>
      </c>
      <c r="P629" s="202">
        <f>0+táj.2!P629</f>
        <v>0</v>
      </c>
      <c r="Q629" s="170"/>
    </row>
    <row r="630" spans="1:17" ht="15.75" hidden="1" customHeight="1" x14ac:dyDescent="0.2">
      <c r="A630" s="197"/>
      <c r="B630" s="197"/>
      <c r="C630" s="635"/>
      <c r="D630" s="397" t="s">
        <v>1166</v>
      </c>
      <c r="E630" s="230"/>
      <c r="F630" s="230"/>
      <c r="G630" s="202">
        <f>0+táj.2!G630</f>
        <v>0</v>
      </c>
      <c r="H630" s="202">
        <f>0+táj.2!H630</f>
        <v>0</v>
      </c>
      <c r="I630" s="202">
        <f>0+táj.2!I630</f>
        <v>0</v>
      </c>
      <c r="J630" s="202">
        <f>0+táj.2!J630</f>
        <v>0</v>
      </c>
      <c r="K630" s="202">
        <f>0+táj.2!K630</f>
        <v>0</v>
      </c>
      <c r="L630" s="202">
        <f>0+táj.2!L630</f>
        <v>0</v>
      </c>
      <c r="M630" s="202">
        <f>0+táj.2!M630</f>
        <v>0</v>
      </c>
      <c r="N630" s="202">
        <f>0+táj.2!N630</f>
        <v>0</v>
      </c>
      <c r="O630" s="202">
        <f>0+táj.2!O630</f>
        <v>0</v>
      </c>
      <c r="P630" s="202">
        <f>0+táj.2!P630</f>
        <v>0</v>
      </c>
      <c r="Q630" s="170"/>
    </row>
    <row r="631" spans="1:17" ht="27" hidden="1" customHeight="1" x14ac:dyDescent="0.2">
      <c r="A631" s="197"/>
      <c r="B631" s="197"/>
      <c r="C631" s="635"/>
      <c r="D631" s="397" t="s">
        <v>1167</v>
      </c>
      <c r="E631" s="230"/>
      <c r="F631" s="230"/>
      <c r="G631" s="202">
        <f>0+táj.2!G631</f>
        <v>0</v>
      </c>
      <c r="H631" s="202">
        <f>0+táj.2!H631</f>
        <v>0</v>
      </c>
      <c r="I631" s="202">
        <f>0+táj.2!I631</f>
        <v>0</v>
      </c>
      <c r="J631" s="202">
        <f>0+táj.2!J631</f>
        <v>0</v>
      </c>
      <c r="K631" s="202">
        <f>0+táj.2!K631</f>
        <v>0</v>
      </c>
      <c r="L631" s="202">
        <f>0+táj.2!L631</f>
        <v>0</v>
      </c>
      <c r="M631" s="202">
        <f>0+táj.2!M631</f>
        <v>0</v>
      </c>
      <c r="N631" s="202">
        <f>0+táj.2!N631</f>
        <v>0</v>
      </c>
      <c r="O631" s="202">
        <f>0+táj.2!O631</f>
        <v>0</v>
      </c>
      <c r="P631" s="202">
        <f>0+táj.2!P631</f>
        <v>0</v>
      </c>
      <c r="Q631" s="170"/>
    </row>
    <row r="632" spans="1:17" ht="17.100000000000001" hidden="1" customHeight="1" x14ac:dyDescent="0.2">
      <c r="A632" s="197"/>
      <c r="B632" s="197"/>
      <c r="C632" s="635"/>
      <c r="D632" s="397" t="s">
        <v>1168</v>
      </c>
      <c r="E632" s="230"/>
      <c r="F632" s="230"/>
      <c r="G632" s="202">
        <f>0+táj.2!G632</f>
        <v>0</v>
      </c>
      <c r="H632" s="202">
        <f>0+táj.2!H632</f>
        <v>0</v>
      </c>
      <c r="I632" s="202">
        <f>0+táj.2!I632</f>
        <v>0</v>
      </c>
      <c r="J632" s="202">
        <f>0+táj.2!J632</f>
        <v>0</v>
      </c>
      <c r="K632" s="202">
        <f>0+táj.2!K632</f>
        <v>0</v>
      </c>
      <c r="L632" s="202">
        <f>0+táj.2!L632</f>
        <v>0</v>
      </c>
      <c r="M632" s="202">
        <f>0+táj.2!M632</f>
        <v>0</v>
      </c>
      <c r="N632" s="202">
        <f>0+táj.2!N632</f>
        <v>0</v>
      </c>
      <c r="O632" s="202">
        <f>0+táj.2!O632</f>
        <v>0</v>
      </c>
      <c r="P632" s="202">
        <f>0+táj.2!P632</f>
        <v>0</v>
      </c>
      <c r="Q632" s="170"/>
    </row>
    <row r="633" spans="1:17" ht="17.100000000000001" hidden="1" customHeight="1" x14ac:dyDescent="0.2">
      <c r="A633" s="197"/>
      <c r="B633" s="197"/>
      <c r="C633" s="635"/>
      <c r="D633" s="397" t="s">
        <v>1169</v>
      </c>
      <c r="E633" s="230"/>
      <c r="F633" s="230"/>
      <c r="G633" s="202">
        <f>0+táj.2!G633</f>
        <v>0</v>
      </c>
      <c r="H633" s="202">
        <f>0+táj.2!H633</f>
        <v>0</v>
      </c>
      <c r="I633" s="202">
        <f>0+táj.2!I633</f>
        <v>0</v>
      </c>
      <c r="J633" s="202">
        <f>0+táj.2!J633</f>
        <v>0</v>
      </c>
      <c r="K633" s="202">
        <f>0+táj.2!K633</f>
        <v>0</v>
      </c>
      <c r="L633" s="202">
        <f>0+táj.2!L633</f>
        <v>0</v>
      </c>
      <c r="M633" s="202">
        <f>0+táj.2!M633</f>
        <v>0</v>
      </c>
      <c r="N633" s="202">
        <f>0+táj.2!N633</f>
        <v>0</v>
      </c>
      <c r="O633" s="202">
        <f>0+táj.2!O633</f>
        <v>0</v>
      </c>
      <c r="P633" s="202">
        <f>0+táj.2!P633</f>
        <v>0</v>
      </c>
      <c r="Q633" s="170"/>
    </row>
    <row r="634" spans="1:17" ht="17.100000000000001" hidden="1" customHeight="1" x14ac:dyDescent="0.2">
      <c r="A634" s="197"/>
      <c r="B634" s="197"/>
      <c r="C634" s="635"/>
      <c r="D634" s="397" t="s">
        <v>1170</v>
      </c>
      <c r="E634" s="230"/>
      <c r="F634" s="230"/>
      <c r="G634" s="202">
        <f>0+táj.2!G634</f>
        <v>0</v>
      </c>
      <c r="H634" s="202">
        <f>0+táj.2!H634</f>
        <v>0</v>
      </c>
      <c r="I634" s="202">
        <f>0+táj.2!I634</f>
        <v>0</v>
      </c>
      <c r="J634" s="202">
        <f>0+táj.2!J634</f>
        <v>0</v>
      </c>
      <c r="K634" s="202">
        <f>0+táj.2!K634</f>
        <v>0</v>
      </c>
      <c r="L634" s="202">
        <f>0+táj.2!L634</f>
        <v>0</v>
      </c>
      <c r="M634" s="202">
        <f>0+táj.2!M634</f>
        <v>0</v>
      </c>
      <c r="N634" s="202">
        <f>0+táj.2!N634</f>
        <v>0</v>
      </c>
      <c r="O634" s="202">
        <f>0+táj.2!O634</f>
        <v>0</v>
      </c>
      <c r="P634" s="202">
        <f>0+táj.2!P634</f>
        <v>0</v>
      </c>
      <c r="Q634" s="170"/>
    </row>
    <row r="635" spans="1:17" ht="17.100000000000001" hidden="1" customHeight="1" x14ac:dyDescent="0.2">
      <c r="A635" s="197"/>
      <c r="B635" s="197"/>
      <c r="C635" s="635"/>
      <c r="D635" s="397" t="s">
        <v>1171</v>
      </c>
      <c r="E635" s="230"/>
      <c r="F635" s="230"/>
      <c r="G635" s="202">
        <f>0+táj.2!G635</f>
        <v>0</v>
      </c>
      <c r="H635" s="202">
        <f>0+táj.2!H635</f>
        <v>0</v>
      </c>
      <c r="I635" s="202">
        <f>0+táj.2!I635</f>
        <v>0</v>
      </c>
      <c r="J635" s="202">
        <f>0+táj.2!J635</f>
        <v>0</v>
      </c>
      <c r="K635" s="202">
        <f>0+táj.2!K635</f>
        <v>0</v>
      </c>
      <c r="L635" s="202">
        <f>0+táj.2!L635</f>
        <v>0</v>
      </c>
      <c r="M635" s="202">
        <f>0+táj.2!M635</f>
        <v>0</v>
      </c>
      <c r="N635" s="202">
        <f>0+táj.2!N635</f>
        <v>0</v>
      </c>
      <c r="O635" s="202">
        <f>0+táj.2!O635</f>
        <v>0</v>
      </c>
      <c r="P635" s="202">
        <f>0+táj.2!P635</f>
        <v>0</v>
      </c>
      <c r="Q635" s="170"/>
    </row>
    <row r="636" spans="1:17" ht="17.100000000000001" hidden="1" customHeight="1" x14ac:dyDescent="0.2">
      <c r="A636" s="197"/>
      <c r="B636" s="197"/>
      <c r="C636" s="635"/>
      <c r="D636" s="397" t="s">
        <v>1172</v>
      </c>
      <c r="E636" s="230"/>
      <c r="F636" s="230"/>
      <c r="G636" s="202">
        <f>0+táj.2!G636</f>
        <v>0</v>
      </c>
      <c r="H636" s="202">
        <f>0+táj.2!H636</f>
        <v>0</v>
      </c>
      <c r="I636" s="202">
        <f>0+táj.2!I636</f>
        <v>0</v>
      </c>
      <c r="J636" s="202">
        <f>0+táj.2!J636</f>
        <v>0</v>
      </c>
      <c r="K636" s="202">
        <f>0+táj.2!K636</f>
        <v>0</v>
      </c>
      <c r="L636" s="202">
        <f>0+táj.2!L636</f>
        <v>0</v>
      </c>
      <c r="M636" s="202">
        <f>0+táj.2!M636</f>
        <v>0</v>
      </c>
      <c r="N636" s="202">
        <f>0+táj.2!N636</f>
        <v>0</v>
      </c>
      <c r="O636" s="202">
        <f>0+táj.2!O636</f>
        <v>0</v>
      </c>
      <c r="P636" s="202">
        <f>0+táj.2!P636</f>
        <v>0</v>
      </c>
      <c r="Q636" s="170"/>
    </row>
    <row r="637" spans="1:17" ht="24" hidden="1" customHeight="1" x14ac:dyDescent="0.2">
      <c r="A637" s="197"/>
      <c r="B637" s="197"/>
      <c r="C637" s="635"/>
      <c r="D637" s="397" t="s">
        <v>1173</v>
      </c>
      <c r="E637" s="230"/>
      <c r="F637" s="230"/>
      <c r="G637" s="202">
        <f>0+táj.2!G637</f>
        <v>0</v>
      </c>
      <c r="H637" s="202">
        <f>0+táj.2!H637</f>
        <v>0</v>
      </c>
      <c r="I637" s="202">
        <f>0+táj.2!I637</f>
        <v>0</v>
      </c>
      <c r="J637" s="202">
        <f>0+táj.2!J637</f>
        <v>0</v>
      </c>
      <c r="K637" s="202">
        <f>0+táj.2!K637</f>
        <v>0</v>
      </c>
      <c r="L637" s="202">
        <f>0+táj.2!L637</f>
        <v>0</v>
      </c>
      <c r="M637" s="202">
        <f>0+táj.2!M637</f>
        <v>0</v>
      </c>
      <c r="N637" s="202">
        <f>0+táj.2!N637</f>
        <v>0</v>
      </c>
      <c r="O637" s="202">
        <f>0+táj.2!O637</f>
        <v>0</v>
      </c>
      <c r="P637" s="202">
        <f>0+táj.2!P637</f>
        <v>0</v>
      </c>
      <c r="Q637" s="170"/>
    </row>
    <row r="638" spans="1:17" ht="17.100000000000001" hidden="1" customHeight="1" x14ac:dyDescent="0.2">
      <c r="A638" s="197"/>
      <c r="B638" s="197"/>
      <c r="C638" s="635"/>
      <c r="D638" s="397" t="s">
        <v>1174</v>
      </c>
      <c r="E638" s="230"/>
      <c r="F638" s="230"/>
      <c r="G638" s="202">
        <f>0+táj.2!G638</f>
        <v>0</v>
      </c>
      <c r="H638" s="202">
        <f>0+táj.2!H638</f>
        <v>0</v>
      </c>
      <c r="I638" s="202">
        <f>0+táj.2!I638</f>
        <v>0</v>
      </c>
      <c r="J638" s="202">
        <f>0+táj.2!J638</f>
        <v>0</v>
      </c>
      <c r="K638" s="202">
        <f>0+táj.2!K638</f>
        <v>0</v>
      </c>
      <c r="L638" s="202">
        <f>0+táj.2!L638</f>
        <v>0</v>
      </c>
      <c r="M638" s="202">
        <f>0+táj.2!M638</f>
        <v>0</v>
      </c>
      <c r="N638" s="202">
        <f>0+táj.2!N638</f>
        <v>0</v>
      </c>
      <c r="O638" s="202">
        <f>0+táj.2!O638</f>
        <v>0</v>
      </c>
      <c r="P638" s="202">
        <f>0+táj.2!P638</f>
        <v>0</v>
      </c>
      <c r="Q638" s="170"/>
    </row>
    <row r="639" spans="1:17" ht="17.100000000000001" hidden="1" customHeight="1" x14ac:dyDescent="0.2">
      <c r="A639" s="197"/>
      <c r="B639" s="197"/>
      <c r="C639" s="635"/>
      <c r="D639" s="397" t="s">
        <v>1175</v>
      </c>
      <c r="E639" s="230"/>
      <c r="F639" s="230"/>
      <c r="G639" s="202">
        <f>0+táj.2!G639</f>
        <v>0</v>
      </c>
      <c r="H639" s="202">
        <f>0+táj.2!H639</f>
        <v>0</v>
      </c>
      <c r="I639" s="202">
        <f>0+táj.2!I639</f>
        <v>0</v>
      </c>
      <c r="J639" s="202">
        <f>0+táj.2!J639</f>
        <v>0</v>
      </c>
      <c r="K639" s="202">
        <f>0+táj.2!K639</f>
        <v>0</v>
      </c>
      <c r="L639" s="202">
        <f>0+táj.2!L639</f>
        <v>0</v>
      </c>
      <c r="M639" s="202">
        <f>0+táj.2!M639</f>
        <v>0</v>
      </c>
      <c r="N639" s="202">
        <f>0+táj.2!N639</f>
        <v>0</v>
      </c>
      <c r="O639" s="202">
        <f>0+táj.2!O639</f>
        <v>0</v>
      </c>
      <c r="P639" s="202">
        <f>0+táj.2!P639</f>
        <v>0</v>
      </c>
      <c r="Q639" s="170"/>
    </row>
    <row r="640" spans="1:17" ht="17.100000000000001" hidden="1" customHeight="1" x14ac:dyDescent="0.2">
      <c r="A640" s="197"/>
      <c r="B640" s="197"/>
      <c r="C640" s="635"/>
      <c r="D640" s="397" t="s">
        <v>1176</v>
      </c>
      <c r="E640" s="230"/>
      <c r="F640" s="230"/>
      <c r="G640" s="202">
        <f>0+táj.2!G640</f>
        <v>0</v>
      </c>
      <c r="H640" s="202">
        <f>0+táj.2!H640</f>
        <v>0</v>
      </c>
      <c r="I640" s="202">
        <f>0+táj.2!I640</f>
        <v>0</v>
      </c>
      <c r="J640" s="202">
        <f>0+táj.2!J640</f>
        <v>0</v>
      </c>
      <c r="K640" s="202">
        <f>0+táj.2!K640</f>
        <v>0</v>
      </c>
      <c r="L640" s="202">
        <f>0+táj.2!L640</f>
        <v>0</v>
      </c>
      <c r="M640" s="202">
        <f>0+táj.2!M640</f>
        <v>0</v>
      </c>
      <c r="N640" s="202">
        <f>0+táj.2!N640</f>
        <v>0</v>
      </c>
      <c r="O640" s="202">
        <f>0+táj.2!O640</f>
        <v>0</v>
      </c>
      <c r="P640" s="202">
        <f>0+táj.2!P640</f>
        <v>0</v>
      </c>
      <c r="Q640" s="170"/>
    </row>
    <row r="641" spans="1:17" ht="17.100000000000001" hidden="1" customHeight="1" x14ac:dyDescent="0.2">
      <c r="A641" s="197"/>
      <c r="B641" s="197"/>
      <c r="C641" s="635"/>
      <c r="D641" s="397" t="s">
        <v>1177</v>
      </c>
      <c r="E641" s="230"/>
      <c r="F641" s="230"/>
      <c r="G641" s="202">
        <f>0+táj.2!G641</f>
        <v>0</v>
      </c>
      <c r="H641" s="202">
        <f>0+táj.2!H641</f>
        <v>0</v>
      </c>
      <c r="I641" s="202">
        <f>0+táj.2!I641</f>
        <v>0</v>
      </c>
      <c r="J641" s="202">
        <f>0+táj.2!J641</f>
        <v>0</v>
      </c>
      <c r="K641" s="202">
        <f>0+táj.2!K641</f>
        <v>0</v>
      </c>
      <c r="L641" s="202">
        <f>0+táj.2!L641</f>
        <v>0</v>
      </c>
      <c r="M641" s="202">
        <f>0+táj.2!M641</f>
        <v>0</v>
      </c>
      <c r="N641" s="202">
        <f>0+táj.2!N641</f>
        <v>0</v>
      </c>
      <c r="O641" s="202">
        <f>0+táj.2!O641</f>
        <v>0</v>
      </c>
      <c r="P641" s="202">
        <f>0+táj.2!P641</f>
        <v>0</v>
      </c>
      <c r="Q641" s="170"/>
    </row>
    <row r="642" spans="1:17" ht="17.100000000000001" hidden="1" customHeight="1" x14ac:dyDescent="0.2">
      <c r="A642" s="197"/>
      <c r="B642" s="197"/>
      <c r="C642" s="635"/>
      <c r="D642" s="397" t="s">
        <v>1178</v>
      </c>
      <c r="E642" s="230"/>
      <c r="F642" s="230"/>
      <c r="G642" s="202">
        <f>0+táj.2!G642</f>
        <v>0</v>
      </c>
      <c r="H642" s="202">
        <f>0+táj.2!H642</f>
        <v>0</v>
      </c>
      <c r="I642" s="202">
        <f>0+táj.2!I642</f>
        <v>0</v>
      </c>
      <c r="J642" s="202">
        <f>0+táj.2!J642</f>
        <v>0</v>
      </c>
      <c r="K642" s="202">
        <f>0+táj.2!K642</f>
        <v>0</v>
      </c>
      <c r="L642" s="202">
        <f>0+táj.2!L642</f>
        <v>0</v>
      </c>
      <c r="M642" s="202">
        <f>0+táj.2!M642</f>
        <v>0</v>
      </c>
      <c r="N642" s="202">
        <f>0+táj.2!N642</f>
        <v>0</v>
      </c>
      <c r="O642" s="202">
        <f>0+táj.2!O642</f>
        <v>0</v>
      </c>
      <c r="P642" s="202">
        <f>0+táj.2!P642</f>
        <v>0</v>
      </c>
      <c r="Q642" s="170"/>
    </row>
    <row r="643" spans="1:17" ht="17.100000000000001" hidden="1" customHeight="1" x14ac:dyDescent="0.2">
      <c r="A643" s="197"/>
      <c r="B643" s="197"/>
      <c r="C643" s="635"/>
      <c r="D643" s="397" t="s">
        <v>1179</v>
      </c>
      <c r="E643" s="230"/>
      <c r="F643" s="230"/>
      <c r="G643" s="202">
        <f>0+táj.2!G643</f>
        <v>0</v>
      </c>
      <c r="H643" s="202">
        <f>0+táj.2!H643</f>
        <v>0</v>
      </c>
      <c r="I643" s="202">
        <f>0+táj.2!I643</f>
        <v>0</v>
      </c>
      <c r="J643" s="202">
        <f>0+táj.2!J643</f>
        <v>0</v>
      </c>
      <c r="K643" s="202">
        <f>0+táj.2!K643</f>
        <v>0</v>
      </c>
      <c r="L643" s="202">
        <f>0+táj.2!L643</f>
        <v>0</v>
      </c>
      <c r="M643" s="202">
        <f>0+táj.2!M643</f>
        <v>0</v>
      </c>
      <c r="N643" s="202">
        <f>0+táj.2!N643</f>
        <v>0</v>
      </c>
      <c r="O643" s="202">
        <f>0+táj.2!O643</f>
        <v>0</v>
      </c>
      <c r="P643" s="202">
        <f>0+táj.2!P643</f>
        <v>0</v>
      </c>
      <c r="Q643" s="170"/>
    </row>
    <row r="644" spans="1:17" ht="17.100000000000001" hidden="1" customHeight="1" x14ac:dyDescent="0.2">
      <c r="A644" s="197"/>
      <c r="B644" s="197"/>
      <c r="C644" s="635"/>
      <c r="D644" s="397" t="s">
        <v>1180</v>
      </c>
      <c r="E644" s="230"/>
      <c r="F644" s="230"/>
      <c r="G644" s="202">
        <f>0+táj.2!G644</f>
        <v>0</v>
      </c>
      <c r="H644" s="202">
        <f>0+táj.2!H644</f>
        <v>0</v>
      </c>
      <c r="I644" s="202">
        <f>0+táj.2!I644</f>
        <v>0</v>
      </c>
      <c r="J644" s="202">
        <f>0+táj.2!J644</f>
        <v>0</v>
      </c>
      <c r="K644" s="202">
        <f>0+táj.2!K644</f>
        <v>0</v>
      </c>
      <c r="L644" s="202">
        <f>0+táj.2!L644</f>
        <v>0</v>
      </c>
      <c r="M644" s="202">
        <f>0+táj.2!M644</f>
        <v>0</v>
      </c>
      <c r="N644" s="202">
        <f>0+táj.2!N644</f>
        <v>0</v>
      </c>
      <c r="O644" s="202">
        <f>0+táj.2!O644</f>
        <v>0</v>
      </c>
      <c r="P644" s="202">
        <f>0+táj.2!P644</f>
        <v>0</v>
      </c>
      <c r="Q644" s="170"/>
    </row>
    <row r="645" spans="1:17" ht="27" hidden="1" customHeight="1" x14ac:dyDescent="0.2">
      <c r="A645" s="197"/>
      <c r="B645" s="197"/>
      <c r="C645" s="635"/>
      <c r="D645" s="397" t="s">
        <v>1181</v>
      </c>
      <c r="E645" s="230"/>
      <c r="F645" s="230"/>
      <c r="G645" s="202">
        <f>0+táj.2!G645</f>
        <v>0</v>
      </c>
      <c r="H645" s="202">
        <f>0+táj.2!H645</f>
        <v>0</v>
      </c>
      <c r="I645" s="202">
        <f>0+táj.2!I645</f>
        <v>0</v>
      </c>
      <c r="J645" s="202">
        <f>0+táj.2!J645</f>
        <v>0</v>
      </c>
      <c r="K645" s="202">
        <f>0+táj.2!K645</f>
        <v>0</v>
      </c>
      <c r="L645" s="202">
        <f>0+táj.2!L645</f>
        <v>0</v>
      </c>
      <c r="M645" s="202">
        <f>0+táj.2!M645</f>
        <v>0</v>
      </c>
      <c r="N645" s="202">
        <f>0+táj.2!N645</f>
        <v>0</v>
      </c>
      <c r="O645" s="202">
        <f>0+táj.2!O645</f>
        <v>0</v>
      </c>
      <c r="P645" s="202">
        <f>0+táj.2!P645</f>
        <v>0</v>
      </c>
      <c r="Q645" s="170"/>
    </row>
    <row r="646" spans="1:17" ht="27.75" hidden="1" customHeight="1" x14ac:dyDescent="0.2">
      <c r="A646" s="197"/>
      <c r="B646" s="197"/>
      <c r="C646" s="635"/>
      <c r="D646" s="397" t="s">
        <v>1182</v>
      </c>
      <c r="E646" s="230"/>
      <c r="F646" s="230"/>
      <c r="G646" s="202">
        <f>0+táj.2!G646</f>
        <v>0</v>
      </c>
      <c r="H646" s="202">
        <f>0+táj.2!H646</f>
        <v>0</v>
      </c>
      <c r="I646" s="202">
        <f>0+táj.2!I646</f>
        <v>0</v>
      </c>
      <c r="J646" s="202">
        <f>0+táj.2!J646</f>
        <v>0</v>
      </c>
      <c r="K646" s="202">
        <f>0+táj.2!K646</f>
        <v>0</v>
      </c>
      <c r="L646" s="202">
        <f>0+táj.2!L646</f>
        <v>0</v>
      </c>
      <c r="M646" s="202">
        <f>0+táj.2!M646</f>
        <v>0</v>
      </c>
      <c r="N646" s="202">
        <f>0+táj.2!N646</f>
        <v>0</v>
      </c>
      <c r="O646" s="202">
        <f>0+táj.2!O646</f>
        <v>0</v>
      </c>
      <c r="P646" s="202">
        <f>0+táj.2!P646</f>
        <v>0</v>
      </c>
      <c r="Q646" s="170"/>
    </row>
    <row r="647" spans="1:17" ht="25.5" hidden="1" customHeight="1" x14ac:dyDescent="0.2">
      <c r="A647" s="197"/>
      <c r="B647" s="197"/>
      <c r="C647" s="635"/>
      <c r="D647" s="397" t="s">
        <v>1183</v>
      </c>
      <c r="E647" s="230"/>
      <c r="F647" s="230"/>
      <c r="G647" s="202">
        <f>0+táj.2!G647</f>
        <v>0</v>
      </c>
      <c r="H647" s="202">
        <f>0+táj.2!H647</f>
        <v>0</v>
      </c>
      <c r="I647" s="202">
        <f>0+táj.2!I647</f>
        <v>0</v>
      </c>
      <c r="J647" s="202">
        <f>0+táj.2!J647</f>
        <v>0</v>
      </c>
      <c r="K647" s="202">
        <f>0+táj.2!K647</f>
        <v>0</v>
      </c>
      <c r="L647" s="202">
        <f>0+táj.2!L647</f>
        <v>0</v>
      </c>
      <c r="M647" s="202">
        <f>0+táj.2!M647</f>
        <v>0</v>
      </c>
      <c r="N647" s="202">
        <f>0+táj.2!N647</f>
        <v>0</v>
      </c>
      <c r="O647" s="202">
        <f>0+táj.2!O647</f>
        <v>0</v>
      </c>
      <c r="P647" s="202">
        <f>0+táj.2!P647</f>
        <v>0</v>
      </c>
      <c r="Q647" s="170"/>
    </row>
    <row r="648" spans="1:17" ht="15" hidden="1" customHeight="1" x14ac:dyDescent="0.2">
      <c r="A648" s="197"/>
      <c r="B648" s="197"/>
      <c r="C648" s="635"/>
      <c r="D648" s="397" t="s">
        <v>1184</v>
      </c>
      <c r="E648" s="230"/>
      <c r="F648" s="230"/>
      <c r="G648" s="202">
        <f>0+táj.2!G648</f>
        <v>0</v>
      </c>
      <c r="H648" s="202">
        <f>0+táj.2!H648</f>
        <v>0</v>
      </c>
      <c r="I648" s="202">
        <f>0+táj.2!I648</f>
        <v>0</v>
      </c>
      <c r="J648" s="202">
        <f>0+táj.2!J648</f>
        <v>0</v>
      </c>
      <c r="K648" s="202">
        <f>0+táj.2!K648</f>
        <v>0</v>
      </c>
      <c r="L648" s="202">
        <f>0+táj.2!L648</f>
        <v>0</v>
      </c>
      <c r="M648" s="202">
        <f>0+táj.2!M648</f>
        <v>0</v>
      </c>
      <c r="N648" s="202">
        <f>0+táj.2!N648</f>
        <v>0</v>
      </c>
      <c r="O648" s="202">
        <f>0+táj.2!O648</f>
        <v>0</v>
      </c>
      <c r="P648" s="202">
        <f>0+táj.2!P648</f>
        <v>0</v>
      </c>
      <c r="Q648" s="170"/>
    </row>
    <row r="649" spans="1:17" ht="27.75" hidden="1" customHeight="1" x14ac:dyDescent="0.2">
      <c r="A649" s="197"/>
      <c r="B649" s="197"/>
      <c r="C649" s="635"/>
      <c r="D649" s="397" t="s">
        <v>1185</v>
      </c>
      <c r="E649" s="230"/>
      <c r="F649" s="230"/>
      <c r="G649" s="202">
        <f>0+táj.2!G649</f>
        <v>0</v>
      </c>
      <c r="H649" s="202">
        <f>0+táj.2!H649</f>
        <v>0</v>
      </c>
      <c r="I649" s="202">
        <f>0+táj.2!I649</f>
        <v>0</v>
      </c>
      <c r="J649" s="202">
        <f>0+táj.2!J649</f>
        <v>0</v>
      </c>
      <c r="K649" s="202">
        <f>0+táj.2!K649</f>
        <v>0</v>
      </c>
      <c r="L649" s="202">
        <f>0+táj.2!L649</f>
        <v>0</v>
      </c>
      <c r="M649" s="202">
        <f>0+táj.2!M649</f>
        <v>0</v>
      </c>
      <c r="N649" s="202">
        <f>0+táj.2!N649</f>
        <v>0</v>
      </c>
      <c r="O649" s="202">
        <f>0+táj.2!O649</f>
        <v>0</v>
      </c>
      <c r="P649" s="202">
        <f>0+táj.2!P649</f>
        <v>0</v>
      </c>
      <c r="Q649" s="170"/>
    </row>
    <row r="650" spans="1:17" ht="16.5" customHeight="1" x14ac:dyDescent="0.2">
      <c r="A650" s="197"/>
      <c r="B650" s="197"/>
      <c r="C650" s="636" t="s">
        <v>1186</v>
      </c>
      <c r="D650" s="647" t="s">
        <v>1187</v>
      </c>
      <c r="E650" s="358"/>
      <c r="F650" s="230"/>
      <c r="G650" s="202"/>
      <c r="H650" s="202"/>
      <c r="I650" s="202"/>
      <c r="J650" s="202"/>
      <c r="K650" s="202"/>
      <c r="L650" s="202"/>
      <c r="M650" s="202"/>
      <c r="N650" s="202"/>
      <c r="O650" s="202"/>
      <c r="P650" s="202"/>
      <c r="Q650" s="170"/>
    </row>
    <row r="651" spans="1:17" ht="34.5" customHeight="1" x14ac:dyDescent="0.2">
      <c r="A651" s="197"/>
      <c r="B651" s="197"/>
      <c r="C651" s="635" t="s">
        <v>1188</v>
      </c>
      <c r="D651" s="169" t="s">
        <v>1189</v>
      </c>
      <c r="E651" s="358"/>
      <c r="F651" s="230">
        <v>163621</v>
      </c>
      <c r="G651" s="202">
        <f>514+táj.2!G651</f>
        <v>514</v>
      </c>
      <c r="H651" s="202">
        <f>121+táj.2!H651</f>
        <v>121</v>
      </c>
      <c r="I651" s="202">
        <f>880697+táj.2!I651</f>
        <v>880697</v>
      </c>
      <c r="J651" s="202">
        <f>0+táj.2!J651</f>
        <v>0</v>
      </c>
      <c r="K651" s="202">
        <f>0+táj.2!K651</f>
        <v>0</v>
      </c>
      <c r="L651" s="202">
        <f>8492048+táj.2!L651</f>
        <v>8492048</v>
      </c>
      <c r="M651" s="202">
        <f>1735794+táj.2!M651</f>
        <v>1735794</v>
      </c>
      <c r="N651" s="202">
        <f>0+táj.2!N651</f>
        <v>0</v>
      </c>
      <c r="O651" s="202">
        <f>0+táj.2!O651</f>
        <v>0</v>
      </c>
      <c r="P651" s="202">
        <f>0+táj.2!P651</f>
        <v>0</v>
      </c>
      <c r="Q651" s="170">
        <f t="shared" ref="Q651:Q656" si="37">SUM(G651:P651)</f>
        <v>11109174</v>
      </c>
    </row>
    <row r="652" spans="1:17" ht="16.5" customHeight="1" x14ac:dyDescent="0.2">
      <c r="A652" s="197"/>
      <c r="B652" s="197"/>
      <c r="C652" s="635" t="s">
        <v>1190</v>
      </c>
      <c r="D652" s="325" t="s">
        <v>1191</v>
      </c>
      <c r="E652" s="358"/>
      <c r="F652" s="230">
        <v>162687</v>
      </c>
      <c r="G652" s="202">
        <f>0+táj.2!G652</f>
        <v>0</v>
      </c>
      <c r="H652" s="202">
        <f>0+táj.2!H652</f>
        <v>0</v>
      </c>
      <c r="I652" s="202">
        <f>2451376+táj.2!I652</f>
        <v>2451376</v>
      </c>
      <c r="J652" s="202">
        <f>0+táj.2!J652</f>
        <v>0</v>
      </c>
      <c r="K652" s="202">
        <f>0+táj.2!K652</f>
        <v>0</v>
      </c>
      <c r="L652" s="202">
        <f>7899716+táj.2!L652</f>
        <v>7899716</v>
      </c>
      <c r="M652" s="202">
        <f>413993+táj.2!M652</f>
        <v>413993</v>
      </c>
      <c r="N652" s="202">
        <f>0+táj.2!N652</f>
        <v>0</v>
      </c>
      <c r="O652" s="202">
        <f>0+táj.2!O652</f>
        <v>0</v>
      </c>
      <c r="P652" s="202">
        <f>0+táj.2!P652</f>
        <v>0</v>
      </c>
      <c r="Q652" s="170">
        <f t="shared" si="37"/>
        <v>10765085</v>
      </c>
    </row>
    <row r="653" spans="1:17" ht="27.75" customHeight="1" x14ac:dyDescent="0.2">
      <c r="A653" s="197"/>
      <c r="B653" s="197"/>
      <c r="C653" s="635" t="s">
        <v>1192</v>
      </c>
      <c r="D653" s="169" t="s">
        <v>1193</v>
      </c>
      <c r="E653" s="358"/>
      <c r="F653" s="230">
        <v>163702</v>
      </c>
      <c r="G653" s="202">
        <f>0+táj.2!G653</f>
        <v>0</v>
      </c>
      <c r="H653" s="202">
        <f>0+táj.2!H653</f>
        <v>0</v>
      </c>
      <c r="I653" s="202">
        <f>327153+táj.2!I653</f>
        <v>327153</v>
      </c>
      <c r="J653" s="202">
        <f>0+táj.2!J653</f>
        <v>0</v>
      </c>
      <c r="K653" s="202">
        <f>0+táj.2!K653</f>
        <v>0</v>
      </c>
      <c r="L653" s="202">
        <f>1249681+táj.2!L653</f>
        <v>1260033</v>
      </c>
      <c r="M653" s="202">
        <f>0+táj.2!M653</f>
        <v>0</v>
      </c>
      <c r="N653" s="202">
        <f>0+táj.2!N653</f>
        <v>0</v>
      </c>
      <c r="O653" s="202">
        <f>0+táj.2!O653</f>
        <v>0</v>
      </c>
      <c r="P653" s="202">
        <f>0+táj.2!P653</f>
        <v>0</v>
      </c>
      <c r="Q653" s="170">
        <f t="shared" si="37"/>
        <v>1587186</v>
      </c>
    </row>
    <row r="654" spans="1:17" ht="27.75" customHeight="1" x14ac:dyDescent="0.2">
      <c r="A654" s="197"/>
      <c r="B654" s="197"/>
      <c r="C654" s="635" t="s">
        <v>1194</v>
      </c>
      <c r="D654" s="169" t="s">
        <v>1195</v>
      </c>
      <c r="E654" s="358"/>
      <c r="F654" s="230">
        <v>162677</v>
      </c>
      <c r="G654" s="202">
        <f>0+táj.2!G654</f>
        <v>0</v>
      </c>
      <c r="H654" s="202">
        <f>0+táj.2!H654</f>
        <v>0</v>
      </c>
      <c r="I654" s="202">
        <f>0+táj.2!I654</f>
        <v>0</v>
      </c>
      <c r="J654" s="202">
        <f>0+táj.2!J654</f>
        <v>0</v>
      </c>
      <c r="K654" s="202">
        <f>65858+táj.2!K654</f>
        <v>65858</v>
      </c>
      <c r="L654" s="202">
        <f>0+táj.2!L654</f>
        <v>0</v>
      </c>
      <c r="M654" s="202">
        <f>0+táj.2!M654</f>
        <v>0</v>
      </c>
      <c r="N654" s="202">
        <f>0+táj.2!N654</f>
        <v>0</v>
      </c>
      <c r="O654" s="202">
        <f>0+táj.2!O654</f>
        <v>0</v>
      </c>
      <c r="P654" s="202">
        <f>0+táj.2!P654</f>
        <v>0</v>
      </c>
      <c r="Q654" s="170">
        <f t="shared" si="37"/>
        <v>65858</v>
      </c>
    </row>
    <row r="655" spans="1:17" ht="27.75" customHeight="1" x14ac:dyDescent="0.2">
      <c r="A655" s="197"/>
      <c r="B655" s="197"/>
      <c r="C655" s="635" t="s">
        <v>1196</v>
      </c>
      <c r="D655" s="169" t="s">
        <v>1197</v>
      </c>
      <c r="E655" s="610"/>
      <c r="F655" s="230">
        <v>163641</v>
      </c>
      <c r="G655" s="202">
        <f>0+táj.2!G655</f>
        <v>0</v>
      </c>
      <c r="H655" s="202">
        <f>0+táj.2!H655</f>
        <v>0</v>
      </c>
      <c r="I655" s="202">
        <f>0+táj.2!I655</f>
        <v>0</v>
      </c>
      <c r="J655" s="202">
        <f>0+táj.2!J655</f>
        <v>0</v>
      </c>
      <c r="K655" s="202">
        <f>0+táj.2!K655</f>
        <v>0</v>
      </c>
      <c r="L655" s="202">
        <f>0+táj.2!L655</f>
        <v>0</v>
      </c>
      <c r="M655" s="202">
        <f>255358+táj.2!M655</f>
        <v>255358</v>
      </c>
      <c r="N655" s="202">
        <f>0+táj.2!N655</f>
        <v>0</v>
      </c>
      <c r="O655" s="202">
        <f>0+táj.2!O655</f>
        <v>0</v>
      </c>
      <c r="P655" s="202">
        <f>0+táj.2!P655</f>
        <v>0</v>
      </c>
      <c r="Q655" s="170">
        <f t="shared" si="37"/>
        <v>255358</v>
      </c>
    </row>
    <row r="656" spans="1:17" ht="27.75" customHeight="1" x14ac:dyDescent="0.2">
      <c r="A656" s="197"/>
      <c r="B656" s="197"/>
      <c r="C656" s="635" t="s">
        <v>1198</v>
      </c>
      <c r="D656" s="645" t="s">
        <v>1199</v>
      </c>
      <c r="E656" s="610"/>
      <c r="F656" s="230">
        <v>163644</v>
      </c>
      <c r="G656" s="202">
        <f>0+táj.2!G656</f>
        <v>0</v>
      </c>
      <c r="H656" s="202">
        <f>0+táj.2!H656</f>
        <v>0</v>
      </c>
      <c r="I656" s="202">
        <f>6801+táj.2!I656</f>
        <v>6801</v>
      </c>
      <c r="J656" s="202">
        <f>0+táj.2!J656</f>
        <v>0</v>
      </c>
      <c r="K656" s="202">
        <f>0+táj.2!K656</f>
        <v>0</v>
      </c>
      <c r="L656" s="202">
        <f>707144+táj.2!L656</f>
        <v>707144</v>
      </c>
      <c r="M656" s="202">
        <f>0+táj.2!M656</f>
        <v>0</v>
      </c>
      <c r="N656" s="202">
        <f>0+táj.2!N656</f>
        <v>0</v>
      </c>
      <c r="O656" s="202">
        <f>0+táj.2!O656</f>
        <v>0</v>
      </c>
      <c r="P656" s="202">
        <f>0+táj.2!P656</f>
        <v>0</v>
      </c>
      <c r="Q656" s="170">
        <f t="shared" si="37"/>
        <v>713945</v>
      </c>
    </row>
    <row r="657" spans="1:17" ht="20.25" customHeight="1" x14ac:dyDescent="0.2">
      <c r="A657" s="197"/>
      <c r="B657" s="197"/>
      <c r="C657" s="636" t="s">
        <v>1200</v>
      </c>
      <c r="D657" s="648" t="s">
        <v>1201</v>
      </c>
      <c r="E657" s="358"/>
      <c r="F657" s="230"/>
      <c r="G657" s="202"/>
      <c r="H657" s="202"/>
      <c r="I657" s="202"/>
      <c r="J657" s="202"/>
      <c r="K657" s="202"/>
      <c r="L657" s="202"/>
      <c r="M657" s="202"/>
      <c r="N657" s="202"/>
      <c r="O657" s="202"/>
      <c r="P657" s="202"/>
      <c r="Q657" s="170"/>
    </row>
    <row r="658" spans="1:17" ht="18.75" customHeight="1" x14ac:dyDescent="0.2">
      <c r="A658" s="197"/>
      <c r="B658" s="197"/>
      <c r="C658" s="636"/>
      <c r="D658" s="314" t="s">
        <v>502</v>
      </c>
      <c r="E658" s="358"/>
      <c r="F658" s="230"/>
      <c r="G658" s="202"/>
      <c r="H658" s="202"/>
      <c r="I658" s="202"/>
      <c r="J658" s="202"/>
      <c r="K658" s="202"/>
      <c r="L658" s="202"/>
      <c r="M658" s="202"/>
      <c r="N658" s="202"/>
      <c r="O658" s="202"/>
      <c r="P658" s="202"/>
      <c r="Q658" s="170"/>
    </row>
    <row r="659" spans="1:17" ht="27.75" customHeight="1" x14ac:dyDescent="0.2">
      <c r="A659" s="197"/>
      <c r="B659" s="197"/>
      <c r="C659" s="637" t="s">
        <v>1202</v>
      </c>
      <c r="D659" s="169" t="s">
        <v>0</v>
      </c>
      <c r="E659" s="610"/>
      <c r="F659" s="230">
        <v>163643</v>
      </c>
      <c r="G659" s="202">
        <f>1692+táj.2!G659</f>
        <v>1692</v>
      </c>
      <c r="H659" s="202">
        <f>330+táj.2!H659</f>
        <v>330</v>
      </c>
      <c r="I659" s="202">
        <f>2456+táj.2!I659</f>
        <v>2456</v>
      </c>
      <c r="J659" s="202">
        <f>0+táj.2!J659</f>
        <v>0</v>
      </c>
      <c r="K659" s="202">
        <f>0+táj.2!K659</f>
        <v>0</v>
      </c>
      <c r="L659" s="202">
        <f>0+táj.2!L659</f>
        <v>0</v>
      </c>
      <c r="M659" s="202">
        <f>0+táj.2!M659</f>
        <v>0</v>
      </c>
      <c r="N659" s="202">
        <f>0+táj.2!N659</f>
        <v>0</v>
      </c>
      <c r="O659" s="202">
        <f>0+táj.2!O659</f>
        <v>0</v>
      </c>
      <c r="P659" s="202">
        <f>0+táj.2!P659</f>
        <v>0</v>
      </c>
      <c r="Q659" s="170">
        <f>SUM(G659:P659)</f>
        <v>4478</v>
      </c>
    </row>
    <row r="660" spans="1:17" ht="39.75" customHeight="1" x14ac:dyDescent="0.2">
      <c r="A660" s="197"/>
      <c r="B660" s="197"/>
      <c r="C660" s="637" t="s">
        <v>1203</v>
      </c>
      <c r="D660" s="169" t="s">
        <v>1204</v>
      </c>
      <c r="E660" s="610"/>
      <c r="F660" s="230">
        <v>163645</v>
      </c>
      <c r="G660" s="202">
        <f>418+táj.2!G660</f>
        <v>418</v>
      </c>
      <c r="H660" s="202">
        <f>82+táj.2!H660</f>
        <v>82</v>
      </c>
      <c r="I660" s="202">
        <f>18547+táj.2!I660</f>
        <v>18547</v>
      </c>
      <c r="J660" s="202">
        <f>0+táj.2!J660</f>
        <v>0</v>
      </c>
      <c r="K660" s="202">
        <f>0+táj.2!K660</f>
        <v>0</v>
      </c>
      <c r="L660" s="202">
        <f>0+táj.2!L660</f>
        <v>0</v>
      </c>
      <c r="M660" s="202">
        <f>0+táj.2!M660</f>
        <v>0</v>
      </c>
      <c r="N660" s="202">
        <f>0+táj.2!N660</f>
        <v>0</v>
      </c>
      <c r="O660" s="202">
        <f>0+táj.2!O660</f>
        <v>0</v>
      </c>
      <c r="P660" s="202">
        <f>0+táj.2!P660</f>
        <v>0</v>
      </c>
      <c r="Q660" s="170">
        <f>SUM(G660:P660)</f>
        <v>19047</v>
      </c>
    </row>
    <row r="661" spans="1:17" ht="27.75" customHeight="1" x14ac:dyDescent="0.2">
      <c r="A661" s="197"/>
      <c r="B661" s="197"/>
      <c r="C661" s="637" t="s">
        <v>1205</v>
      </c>
      <c r="D661" s="172" t="s">
        <v>199</v>
      </c>
      <c r="E661" s="358"/>
      <c r="F661" s="230">
        <v>163700</v>
      </c>
      <c r="G661" s="202">
        <f>13421+táj.2!G661</f>
        <v>13421</v>
      </c>
      <c r="H661" s="202">
        <f>2990+táj.2!H661</f>
        <v>2990</v>
      </c>
      <c r="I661" s="202">
        <f>19575+táj.2!I661</f>
        <v>19575</v>
      </c>
      <c r="J661" s="202">
        <f>0+táj.2!J661</f>
        <v>0</v>
      </c>
      <c r="K661" s="202">
        <f>0+táj.2!K661</f>
        <v>0</v>
      </c>
      <c r="L661" s="202">
        <f>0+táj.2!L661</f>
        <v>0</v>
      </c>
      <c r="M661" s="202">
        <f>0+táj.2!M661</f>
        <v>0</v>
      </c>
      <c r="N661" s="202">
        <f>0+táj.2!N661</f>
        <v>0</v>
      </c>
      <c r="O661" s="202">
        <f>0+táj.2!O661</f>
        <v>0</v>
      </c>
      <c r="P661" s="202">
        <f>0+táj.2!P661</f>
        <v>0</v>
      </c>
      <c r="Q661" s="170">
        <f>SUM(G661:P661)</f>
        <v>35986</v>
      </c>
    </row>
    <row r="662" spans="1:17" ht="17.25" customHeight="1" x14ac:dyDescent="0.2">
      <c r="A662" s="197"/>
      <c r="B662" s="197"/>
      <c r="C662" s="637" t="s">
        <v>1206</v>
      </c>
      <c r="D662" s="169" t="s">
        <v>261</v>
      </c>
      <c r="E662" s="610"/>
      <c r="F662" s="230">
        <v>162607</v>
      </c>
      <c r="G662" s="202">
        <f>2213+táj.2!G662</f>
        <v>2213</v>
      </c>
      <c r="H662" s="202">
        <f>544+táj.2!H662</f>
        <v>544</v>
      </c>
      <c r="I662" s="202">
        <f>1570+táj.2!I662</f>
        <v>1570</v>
      </c>
      <c r="J662" s="202">
        <f>0+táj.2!J662</f>
        <v>0</v>
      </c>
      <c r="K662" s="202">
        <f>0+táj.2!K662</f>
        <v>0</v>
      </c>
      <c r="L662" s="202">
        <f>1007+táj.2!L662</f>
        <v>1007</v>
      </c>
      <c r="M662" s="202">
        <f>0+táj.2!M662</f>
        <v>0</v>
      </c>
      <c r="N662" s="202">
        <f>0+táj.2!N662</f>
        <v>0</v>
      </c>
      <c r="O662" s="202">
        <f>0+táj.2!O662</f>
        <v>0</v>
      </c>
      <c r="P662" s="202">
        <f>0+táj.2!P662</f>
        <v>0</v>
      </c>
      <c r="Q662" s="170">
        <f>SUM(G662:P662)</f>
        <v>5334</v>
      </c>
    </row>
    <row r="663" spans="1:17" ht="18.75" customHeight="1" x14ac:dyDescent="0.2">
      <c r="A663" s="197"/>
      <c r="B663" s="197"/>
      <c r="C663" s="638" t="s">
        <v>1207</v>
      </c>
      <c r="D663" s="648" t="s">
        <v>1208</v>
      </c>
      <c r="E663" s="358"/>
      <c r="F663" s="230"/>
      <c r="G663" s="202"/>
      <c r="H663" s="202"/>
      <c r="I663" s="202"/>
      <c r="J663" s="202"/>
      <c r="K663" s="202"/>
      <c r="L663" s="202"/>
      <c r="M663" s="202"/>
      <c r="N663" s="202"/>
      <c r="O663" s="202"/>
      <c r="P663" s="202"/>
      <c r="Q663" s="170"/>
    </row>
    <row r="664" spans="1:17" ht="18.75" customHeight="1" x14ac:dyDescent="0.2">
      <c r="A664" s="197"/>
      <c r="B664" s="197"/>
      <c r="C664" s="217" t="s">
        <v>1209</v>
      </c>
      <c r="D664" s="169" t="s">
        <v>1210</v>
      </c>
      <c r="E664" s="358"/>
      <c r="F664" s="230">
        <v>162944</v>
      </c>
      <c r="G664" s="202">
        <f>0+táj.2!G664</f>
        <v>0</v>
      </c>
      <c r="H664" s="202">
        <f>0+táj.2!H664</f>
        <v>0</v>
      </c>
      <c r="I664" s="202">
        <f>0+táj.2!I664</f>
        <v>0</v>
      </c>
      <c r="J664" s="202">
        <f>0+táj.2!J664</f>
        <v>0</v>
      </c>
      <c r="K664" s="202">
        <f>0+táj.2!K664</f>
        <v>0</v>
      </c>
      <c r="L664" s="202">
        <f>0+táj.2!L664</f>
        <v>0</v>
      </c>
      <c r="M664" s="202">
        <f>0+táj.2!M664</f>
        <v>0</v>
      </c>
      <c r="N664" s="202">
        <f>6500+táj.2!N664</f>
        <v>6500</v>
      </c>
      <c r="O664" s="202">
        <f>0+táj.2!O664</f>
        <v>0</v>
      </c>
      <c r="P664" s="202">
        <f>0+táj.2!P664</f>
        <v>0</v>
      </c>
      <c r="Q664" s="170">
        <f>SUM(G664:P664)</f>
        <v>6500</v>
      </c>
    </row>
    <row r="665" spans="1:17" ht="24" customHeight="1" x14ac:dyDescent="0.2">
      <c r="A665" s="197"/>
      <c r="B665" s="197"/>
      <c r="C665" s="217" t="s">
        <v>1211</v>
      </c>
      <c r="D665" s="172" t="s">
        <v>1212</v>
      </c>
      <c r="E665" s="358"/>
      <c r="F665" s="230">
        <v>162638</v>
      </c>
      <c r="G665" s="202">
        <f>0+táj.2!G665</f>
        <v>0</v>
      </c>
      <c r="H665" s="202">
        <f>0+táj.2!H665</f>
        <v>0</v>
      </c>
      <c r="I665" s="202">
        <f>0+táj.2!I665</f>
        <v>2540</v>
      </c>
      <c r="J665" s="202">
        <f>0+táj.2!J665</f>
        <v>0</v>
      </c>
      <c r="K665" s="202">
        <f>0+táj.2!K665</f>
        <v>0</v>
      </c>
      <c r="L665" s="202">
        <f>10000+táj.2!L665</f>
        <v>7460</v>
      </c>
      <c r="M665" s="202">
        <f>0+táj.2!M665</f>
        <v>0</v>
      </c>
      <c r="N665" s="202">
        <f>0+táj.2!N665</f>
        <v>0</v>
      </c>
      <c r="O665" s="202">
        <f>0+táj.2!O665</f>
        <v>0</v>
      </c>
      <c r="P665" s="202">
        <f>0+táj.2!P665</f>
        <v>0</v>
      </c>
      <c r="Q665" s="170">
        <f>SUM(G665:P665)</f>
        <v>10000</v>
      </c>
    </row>
    <row r="666" spans="1:17" ht="30.75" customHeight="1" x14ac:dyDescent="0.2">
      <c r="A666" s="708"/>
      <c r="B666" s="708"/>
      <c r="C666" s="217" t="s">
        <v>1436</v>
      </c>
      <c r="D666" s="702" t="s">
        <v>1500</v>
      </c>
      <c r="E666" s="782"/>
      <c r="F666" s="817">
        <v>163647</v>
      </c>
      <c r="G666" s="202">
        <f>0+táj.2!G666</f>
        <v>0</v>
      </c>
      <c r="H666" s="202">
        <f>0+táj.2!H666</f>
        <v>0</v>
      </c>
      <c r="I666" s="202">
        <f>0+táj.2!I666</f>
        <v>0</v>
      </c>
      <c r="J666" s="202">
        <f>0+táj.2!J666</f>
        <v>0</v>
      </c>
      <c r="K666" s="202">
        <f>0+táj.2!K666</f>
        <v>0</v>
      </c>
      <c r="L666" s="202">
        <f>200000+táj.2!L666</f>
        <v>269448</v>
      </c>
      <c r="M666" s="202">
        <f>0+táj.2!M666</f>
        <v>0</v>
      </c>
      <c r="N666" s="202">
        <f>0+táj.2!N666</f>
        <v>0</v>
      </c>
      <c r="O666" s="202">
        <f>0+táj.2!O666</f>
        <v>0</v>
      </c>
      <c r="P666" s="202">
        <f>0+táj.2!P666</f>
        <v>0</v>
      </c>
      <c r="Q666" s="170">
        <f>SUM(G666:P666)</f>
        <v>269448</v>
      </c>
    </row>
    <row r="667" spans="1:17" ht="24.75" customHeight="1" x14ac:dyDescent="0.2">
      <c r="A667" s="862"/>
      <c r="B667" s="862"/>
      <c r="C667" s="968" t="s">
        <v>1483</v>
      </c>
      <c r="D667" s="840" t="s">
        <v>1471</v>
      </c>
      <c r="E667" s="867"/>
      <c r="F667" s="861">
        <v>163648</v>
      </c>
      <c r="G667" s="202">
        <f>0+táj.2!G667</f>
        <v>120</v>
      </c>
      <c r="H667" s="202">
        <f>0+táj.2!H667</f>
        <v>21</v>
      </c>
      <c r="I667" s="202">
        <f>0+táj.2!I667</f>
        <v>9</v>
      </c>
      <c r="J667" s="202">
        <f>0+táj.2!J667</f>
        <v>0</v>
      </c>
      <c r="K667" s="202">
        <f>0+táj.2!K667</f>
        <v>0</v>
      </c>
      <c r="L667" s="202">
        <f>0+táj.2!L667</f>
        <v>9850</v>
      </c>
      <c r="M667" s="202">
        <f>0+táj.2!M667</f>
        <v>0</v>
      </c>
      <c r="N667" s="202">
        <f>0+táj.2!N667</f>
        <v>0</v>
      </c>
      <c r="O667" s="202">
        <f>0+táj.2!O667</f>
        <v>0</v>
      </c>
      <c r="P667" s="202">
        <f>0+táj.2!P667</f>
        <v>0</v>
      </c>
      <c r="Q667" s="170">
        <f>SUM(G667:P667)</f>
        <v>10000</v>
      </c>
    </row>
    <row r="668" spans="1:17" ht="24.75" customHeight="1" x14ac:dyDescent="0.2">
      <c r="A668" s="862"/>
      <c r="B668" s="862"/>
      <c r="C668" s="862" t="s">
        <v>1501</v>
      </c>
      <c r="D668" s="909" t="s">
        <v>1502</v>
      </c>
      <c r="E668" s="914"/>
      <c r="F668" s="861">
        <v>163649</v>
      </c>
      <c r="G668" s="202">
        <f>0+táj.2!G668</f>
        <v>0</v>
      </c>
      <c r="H668" s="202">
        <f>0+táj.2!H668</f>
        <v>0</v>
      </c>
      <c r="I668" s="202">
        <f>0+táj.2!I668</f>
        <v>0</v>
      </c>
      <c r="J668" s="202">
        <f>0+táj.2!J668</f>
        <v>0</v>
      </c>
      <c r="K668" s="202">
        <f>0+táj.2!K668</f>
        <v>0</v>
      </c>
      <c r="L668" s="202">
        <f>0+táj.2!L668</f>
        <v>31549</v>
      </c>
      <c r="M668" s="202">
        <f>0+táj.2!M668</f>
        <v>0</v>
      </c>
      <c r="N668" s="202">
        <f>0+táj.2!N668</f>
        <v>131864</v>
      </c>
      <c r="O668" s="202">
        <f>0+táj.2!O668</f>
        <v>0</v>
      </c>
      <c r="P668" s="202">
        <f>0+táj.2!P668</f>
        <v>0</v>
      </c>
      <c r="Q668" s="170">
        <f>SUM(G668:P668)</f>
        <v>163413</v>
      </c>
    </row>
    <row r="669" spans="1:17" ht="20.25" customHeight="1" x14ac:dyDescent="0.2">
      <c r="A669" s="197"/>
      <c r="B669" s="197"/>
      <c r="C669" s="969"/>
      <c r="D669" s="314" t="s">
        <v>502</v>
      </c>
      <c r="E669" s="358"/>
      <c r="F669" s="230"/>
      <c r="G669" s="202"/>
      <c r="H669" s="202"/>
      <c r="I669" s="202"/>
      <c r="J669" s="202"/>
      <c r="K669" s="202"/>
      <c r="L669" s="202"/>
      <c r="M669" s="202"/>
      <c r="N669" s="202"/>
      <c r="O669" s="202"/>
      <c r="P669" s="202"/>
      <c r="Q669" s="170"/>
    </row>
    <row r="670" spans="1:17" ht="24.75" customHeight="1" x14ac:dyDescent="0.2">
      <c r="A670" s="197"/>
      <c r="B670" s="197"/>
      <c r="C670" s="967" t="s">
        <v>1213</v>
      </c>
      <c r="D670" s="169" t="s">
        <v>1214</v>
      </c>
      <c r="E670" s="358"/>
      <c r="F670" s="230">
        <v>162640</v>
      </c>
      <c r="G670" s="202">
        <f>0+táj.2!G670</f>
        <v>0</v>
      </c>
      <c r="H670" s="202">
        <f>0+táj.2!H670</f>
        <v>0</v>
      </c>
      <c r="I670" s="202">
        <f>183429+táj.2!I670</f>
        <v>183429</v>
      </c>
      <c r="J670" s="202">
        <f>0+táj.2!J670</f>
        <v>0</v>
      </c>
      <c r="K670" s="202">
        <f>0+táj.2!K670</f>
        <v>0</v>
      </c>
      <c r="L670" s="202">
        <f>0+táj.2!L670</f>
        <v>0</v>
      </c>
      <c r="M670" s="202">
        <f>0+táj.2!M670</f>
        <v>0</v>
      </c>
      <c r="N670" s="202">
        <f>0+táj.2!N670</f>
        <v>0</v>
      </c>
      <c r="O670" s="202">
        <f>0+táj.2!O670</f>
        <v>0</v>
      </c>
      <c r="P670" s="202">
        <f>0+táj.2!P670</f>
        <v>0</v>
      </c>
      <c r="Q670" s="170">
        <f t="shared" ref="Q670:Q676" si="38">SUM(G670:P670)</f>
        <v>183429</v>
      </c>
    </row>
    <row r="671" spans="1:17" ht="36" customHeight="1" x14ac:dyDescent="0.2">
      <c r="A671" s="197"/>
      <c r="B671" s="197"/>
      <c r="C671" s="635" t="s">
        <v>1215</v>
      </c>
      <c r="D671" s="236" t="s">
        <v>1216</v>
      </c>
      <c r="E671" s="358" t="s">
        <v>697</v>
      </c>
      <c r="F671" s="230">
        <v>162702</v>
      </c>
      <c r="G671" s="202">
        <f>0+táj.2!G671</f>
        <v>0</v>
      </c>
      <c r="H671" s="202">
        <f>0+táj.2!H671</f>
        <v>0</v>
      </c>
      <c r="I671" s="202">
        <f>0+táj.2!I671</f>
        <v>0</v>
      </c>
      <c r="J671" s="202">
        <f>0+táj.2!J671</f>
        <v>0</v>
      </c>
      <c r="K671" s="202">
        <f>0+táj.2!K671</f>
        <v>0</v>
      </c>
      <c r="L671" s="202">
        <f>807+táj.2!L671</f>
        <v>55695</v>
      </c>
      <c r="M671" s="202">
        <f>0+táj.2!M671</f>
        <v>0</v>
      </c>
      <c r="N671" s="202">
        <f>0+táj.2!N671</f>
        <v>0</v>
      </c>
      <c r="O671" s="202">
        <f>0+táj.2!O671</f>
        <v>0</v>
      </c>
      <c r="P671" s="202">
        <f>0+táj.2!P671</f>
        <v>0</v>
      </c>
      <c r="Q671" s="170">
        <f t="shared" si="38"/>
        <v>55695</v>
      </c>
    </row>
    <row r="672" spans="1:17" ht="24.75" customHeight="1" x14ac:dyDescent="0.2">
      <c r="A672" s="197"/>
      <c r="B672" s="197"/>
      <c r="C672" s="635" t="s">
        <v>1217</v>
      </c>
      <c r="D672" s="172" t="s">
        <v>1218</v>
      </c>
      <c r="E672" s="358"/>
      <c r="F672" s="230">
        <v>162633</v>
      </c>
      <c r="G672" s="202">
        <f>0+táj.2!G672</f>
        <v>0</v>
      </c>
      <c r="H672" s="202">
        <f>0+táj.2!H672</f>
        <v>0</v>
      </c>
      <c r="I672" s="202">
        <f>5130+táj.2!I672</f>
        <v>5130</v>
      </c>
      <c r="J672" s="202">
        <f>0+táj.2!J672</f>
        <v>0</v>
      </c>
      <c r="K672" s="202">
        <f>0+táj.2!K672</f>
        <v>0</v>
      </c>
      <c r="L672" s="202">
        <f>18486+táj.2!L672</f>
        <v>18486</v>
      </c>
      <c r="M672" s="202">
        <f>0+táj.2!M672</f>
        <v>0</v>
      </c>
      <c r="N672" s="202">
        <f>0+táj.2!N672</f>
        <v>0</v>
      </c>
      <c r="O672" s="202">
        <f>0+táj.2!O672</f>
        <v>0</v>
      </c>
      <c r="P672" s="202">
        <f>0+táj.2!P672</f>
        <v>0</v>
      </c>
      <c r="Q672" s="170">
        <f t="shared" si="38"/>
        <v>23616</v>
      </c>
    </row>
    <row r="673" spans="1:17" ht="16.5" customHeight="1" x14ac:dyDescent="0.2">
      <c r="A673" s="197"/>
      <c r="B673" s="197"/>
      <c r="C673" s="635" t="s">
        <v>1219</v>
      </c>
      <c r="D673" s="172" t="s">
        <v>1220</v>
      </c>
      <c r="E673" s="358"/>
      <c r="F673" s="230">
        <v>162634</v>
      </c>
      <c r="G673" s="202">
        <f>0+táj.2!G673</f>
        <v>0</v>
      </c>
      <c r="H673" s="202">
        <f>0+táj.2!H673</f>
        <v>0</v>
      </c>
      <c r="I673" s="202">
        <f>953+táj.2!I673</f>
        <v>953</v>
      </c>
      <c r="J673" s="202">
        <f>0+táj.2!J673</f>
        <v>0</v>
      </c>
      <c r="K673" s="202">
        <f>0+táj.2!K673</f>
        <v>0</v>
      </c>
      <c r="L673" s="202">
        <f>0+táj.2!L673</f>
        <v>0</v>
      </c>
      <c r="M673" s="202">
        <f>0+táj.2!M673</f>
        <v>0</v>
      </c>
      <c r="N673" s="202">
        <f>0+táj.2!N673</f>
        <v>0</v>
      </c>
      <c r="O673" s="202">
        <f>0+táj.2!O673</f>
        <v>0</v>
      </c>
      <c r="P673" s="202">
        <f>0+táj.2!P673</f>
        <v>0</v>
      </c>
      <c r="Q673" s="170">
        <f t="shared" si="38"/>
        <v>953</v>
      </c>
    </row>
    <row r="674" spans="1:17" ht="34.5" customHeight="1" x14ac:dyDescent="0.2">
      <c r="A674" s="197"/>
      <c r="B674" s="197"/>
      <c r="C674" s="635" t="s">
        <v>1221</v>
      </c>
      <c r="D674" s="172" t="s">
        <v>1222</v>
      </c>
      <c r="E674" s="358"/>
      <c r="F674" s="230">
        <v>163631</v>
      </c>
      <c r="G674" s="202">
        <f>0+táj.2!G674</f>
        <v>0</v>
      </c>
      <c r="H674" s="202">
        <f>0+táj.2!H674</f>
        <v>0</v>
      </c>
      <c r="I674" s="202">
        <f>0+táj.2!I674</f>
        <v>0</v>
      </c>
      <c r="J674" s="202">
        <f>0+táj.2!J674</f>
        <v>0</v>
      </c>
      <c r="K674" s="202">
        <f>0+táj.2!K674</f>
        <v>0</v>
      </c>
      <c r="L674" s="202">
        <f>28473+táj.2!L674</f>
        <v>27773</v>
      </c>
      <c r="M674" s="202">
        <f>0+táj.2!M674</f>
        <v>0</v>
      </c>
      <c r="N674" s="202">
        <f>0+táj.2!N674</f>
        <v>0</v>
      </c>
      <c r="O674" s="202">
        <f>0+táj.2!O674</f>
        <v>0</v>
      </c>
      <c r="P674" s="202">
        <f>0+táj.2!P674</f>
        <v>0</v>
      </c>
      <c r="Q674" s="170">
        <f t="shared" si="38"/>
        <v>27773</v>
      </c>
    </row>
    <row r="675" spans="1:17" ht="39" customHeight="1" x14ac:dyDescent="0.2">
      <c r="A675" s="197"/>
      <c r="B675" s="197"/>
      <c r="C675" s="635" t="s">
        <v>1223</v>
      </c>
      <c r="D675" s="172" t="s">
        <v>1224</v>
      </c>
      <c r="E675" s="358"/>
      <c r="F675" s="230">
        <v>163605</v>
      </c>
      <c r="G675" s="202">
        <f>0+táj.2!G675</f>
        <v>0</v>
      </c>
      <c r="H675" s="202">
        <f>0+táj.2!H675</f>
        <v>0</v>
      </c>
      <c r="I675" s="202">
        <f>0+táj.2!I675</f>
        <v>0</v>
      </c>
      <c r="J675" s="202">
        <f>0+táj.2!J675</f>
        <v>0</v>
      </c>
      <c r="K675" s="202">
        <f>0+táj.2!K675</f>
        <v>0</v>
      </c>
      <c r="L675" s="202">
        <f>9779+táj.2!L675</f>
        <v>9779</v>
      </c>
      <c r="M675" s="202">
        <f>0+táj.2!M675</f>
        <v>0</v>
      </c>
      <c r="N675" s="202">
        <f>0+táj.2!N675</f>
        <v>0</v>
      </c>
      <c r="O675" s="202">
        <f>0+táj.2!O675</f>
        <v>0</v>
      </c>
      <c r="P675" s="202">
        <f>0+táj.2!P675</f>
        <v>0</v>
      </c>
      <c r="Q675" s="170">
        <f t="shared" si="38"/>
        <v>9779</v>
      </c>
    </row>
    <row r="676" spans="1:17" ht="39" customHeight="1" x14ac:dyDescent="0.2">
      <c r="A676" s="805"/>
      <c r="B676" s="805"/>
      <c r="C676" s="812" t="s">
        <v>1454</v>
      </c>
      <c r="D676" s="809" t="s">
        <v>1455</v>
      </c>
      <c r="E676" s="810"/>
      <c r="F676" s="230">
        <v>162695</v>
      </c>
      <c r="G676" s="202">
        <f>0+táj.2!G676</f>
        <v>0</v>
      </c>
      <c r="H676" s="202">
        <f>0+táj.2!H676</f>
        <v>0</v>
      </c>
      <c r="I676" s="202">
        <f>0+táj.2!I676</f>
        <v>0</v>
      </c>
      <c r="J676" s="202">
        <f>0+táj.2!J676</f>
        <v>0</v>
      </c>
      <c r="K676" s="202">
        <f>12000+táj.2!K676</f>
        <v>12000</v>
      </c>
      <c r="L676" s="202">
        <f>0+táj.2!L676</f>
        <v>0</v>
      </c>
      <c r="M676" s="202">
        <f>0+táj.2!M676</f>
        <v>0</v>
      </c>
      <c r="N676" s="202">
        <f>0+táj.2!N676</f>
        <v>0</v>
      </c>
      <c r="O676" s="202">
        <f>0+táj.2!O676</f>
        <v>0</v>
      </c>
      <c r="P676" s="202">
        <f>0+táj.2!P676</f>
        <v>0</v>
      </c>
      <c r="Q676" s="170">
        <f t="shared" si="38"/>
        <v>12000</v>
      </c>
    </row>
    <row r="677" spans="1:17" ht="14.1" customHeight="1" x14ac:dyDescent="0.2">
      <c r="A677" s="373"/>
      <c r="B677" s="373"/>
      <c r="C677" s="374"/>
      <c r="D677" s="399" t="s">
        <v>1225</v>
      </c>
      <c r="E677" s="400"/>
      <c r="F677" s="316"/>
      <c r="G677" s="450">
        <f t="shared" ref="G677:Q677" si="39">SUM(G492:G676)</f>
        <v>53628</v>
      </c>
      <c r="H677" s="450">
        <f t="shared" si="39"/>
        <v>12557</v>
      </c>
      <c r="I677" s="450">
        <f t="shared" si="39"/>
        <v>6365100</v>
      </c>
      <c r="J677" s="450">
        <f t="shared" si="39"/>
        <v>0</v>
      </c>
      <c r="K677" s="450">
        <f t="shared" si="39"/>
        <v>78838</v>
      </c>
      <c r="L677" s="450">
        <f t="shared" si="39"/>
        <v>27151064</v>
      </c>
      <c r="M677" s="450">
        <f t="shared" si="39"/>
        <v>5238485</v>
      </c>
      <c r="N677" s="450">
        <f t="shared" si="39"/>
        <v>142049</v>
      </c>
      <c r="O677" s="450">
        <f t="shared" si="39"/>
        <v>0</v>
      </c>
      <c r="P677" s="450">
        <f t="shared" si="39"/>
        <v>0</v>
      </c>
      <c r="Q677" s="450">
        <f t="shared" si="39"/>
        <v>39041721</v>
      </c>
    </row>
    <row r="678" spans="1:17" ht="15" customHeight="1" x14ac:dyDescent="0.2">
      <c r="A678" s="197">
        <v>1</v>
      </c>
      <c r="B678" s="197">
        <v>17</v>
      </c>
      <c r="C678" s="217"/>
      <c r="D678" s="307" t="s">
        <v>1226</v>
      </c>
      <c r="E678" s="230"/>
      <c r="F678" s="170"/>
      <c r="G678" s="170"/>
      <c r="H678" s="202"/>
      <c r="I678" s="202"/>
      <c r="J678" s="202"/>
      <c r="K678" s="202"/>
      <c r="L678" s="202"/>
      <c r="M678" s="170"/>
      <c r="N678" s="170"/>
      <c r="O678" s="170"/>
      <c r="P678" s="170"/>
      <c r="Q678" s="170"/>
    </row>
    <row r="679" spans="1:17" ht="15" customHeight="1" x14ac:dyDescent="0.2">
      <c r="A679" s="197"/>
      <c r="B679" s="197"/>
      <c r="C679" s="217"/>
      <c r="D679" s="177" t="s">
        <v>342</v>
      </c>
      <c r="E679" s="235"/>
      <c r="F679" s="208"/>
      <c r="G679" s="170"/>
      <c r="H679" s="202"/>
      <c r="I679" s="202"/>
      <c r="J679" s="202"/>
      <c r="K679" s="202"/>
      <c r="L679" s="202"/>
      <c r="M679" s="170"/>
      <c r="N679" s="170"/>
      <c r="O679" s="170"/>
      <c r="P679" s="170"/>
      <c r="Q679" s="170"/>
    </row>
    <row r="680" spans="1:17" ht="15" customHeight="1" x14ac:dyDescent="0.2">
      <c r="A680" s="197"/>
      <c r="B680" s="197"/>
      <c r="C680" s="217"/>
      <c r="D680" s="314" t="s">
        <v>1227</v>
      </c>
      <c r="E680" s="170">
        <v>1</v>
      </c>
      <c r="F680" s="170">
        <v>171905</v>
      </c>
      <c r="G680" s="170">
        <f>0+táj.2!G680</f>
        <v>0</v>
      </c>
      <c r="H680" s="170">
        <f>0+táj.2!H680</f>
        <v>0</v>
      </c>
      <c r="I680" s="170">
        <f>5590+táj.2!I680</f>
        <v>5590</v>
      </c>
      <c r="J680" s="170">
        <f>0+táj.2!J680</f>
        <v>0</v>
      </c>
      <c r="K680" s="170">
        <f>0+táj.2!K680</f>
        <v>0</v>
      </c>
      <c r="L680" s="170">
        <f>0+táj.2!L680</f>
        <v>0</v>
      </c>
      <c r="M680" s="170">
        <f>1966+táj.2!M680</f>
        <v>1966</v>
      </c>
      <c r="N680" s="170">
        <f>0+táj.2!N680</f>
        <v>0</v>
      </c>
      <c r="O680" s="170">
        <f>0+táj.2!O680</f>
        <v>0</v>
      </c>
      <c r="P680" s="170">
        <f>0+táj.2!P680</f>
        <v>0</v>
      </c>
      <c r="Q680" s="170">
        <f t="shared" ref="Q680:Q687" si="40">SUM(G680:P680)</f>
        <v>7556</v>
      </c>
    </row>
    <row r="681" spans="1:17" ht="15" customHeight="1" x14ac:dyDescent="0.2">
      <c r="A681" s="197"/>
      <c r="B681" s="197"/>
      <c r="C681" s="217"/>
      <c r="D681" s="314" t="s">
        <v>1228</v>
      </c>
      <c r="E681" s="170">
        <v>1</v>
      </c>
      <c r="F681" s="170">
        <v>171903</v>
      </c>
      <c r="G681" s="170">
        <f>0+táj.2!G681</f>
        <v>0</v>
      </c>
      <c r="H681" s="170">
        <f>0+táj.2!H681</f>
        <v>0</v>
      </c>
      <c r="I681" s="170">
        <f>500+táj.2!I681</f>
        <v>500</v>
      </c>
      <c r="J681" s="170">
        <f>0+táj.2!J681</f>
        <v>0</v>
      </c>
      <c r="K681" s="170">
        <f>0+táj.2!K681</f>
        <v>0</v>
      </c>
      <c r="L681" s="170">
        <f>0+táj.2!L681</f>
        <v>0</v>
      </c>
      <c r="M681" s="170">
        <f>0+táj.2!M681</f>
        <v>0</v>
      </c>
      <c r="N681" s="170">
        <f>0+táj.2!N681</f>
        <v>0</v>
      </c>
      <c r="O681" s="170">
        <f>0+táj.2!O681</f>
        <v>0</v>
      </c>
      <c r="P681" s="170">
        <f>0+táj.2!P681</f>
        <v>0</v>
      </c>
      <c r="Q681" s="170">
        <f t="shared" si="40"/>
        <v>500</v>
      </c>
    </row>
    <row r="682" spans="1:17" ht="15" customHeight="1" x14ac:dyDescent="0.2">
      <c r="A682" s="197"/>
      <c r="B682" s="197"/>
      <c r="C682" s="217"/>
      <c r="D682" s="314" t="s">
        <v>1229</v>
      </c>
      <c r="E682" s="208">
        <v>1</v>
      </c>
      <c r="F682" s="170">
        <v>171920</v>
      </c>
      <c r="G682" s="170">
        <f>0+táj.2!G682</f>
        <v>0</v>
      </c>
      <c r="H682" s="170">
        <f>0+táj.2!H682</f>
        <v>0</v>
      </c>
      <c r="I682" s="170">
        <f>5899+táj.2!I682</f>
        <v>5899</v>
      </c>
      <c r="J682" s="170">
        <f>0+táj.2!J682</f>
        <v>0</v>
      </c>
      <c r="K682" s="170">
        <f>0+táj.2!K682</f>
        <v>0</v>
      </c>
      <c r="L682" s="170">
        <f>0+táj.2!L682</f>
        <v>0</v>
      </c>
      <c r="M682" s="170">
        <f>0+táj.2!M682</f>
        <v>0</v>
      </c>
      <c r="N682" s="170">
        <f>0+táj.2!N682</f>
        <v>0</v>
      </c>
      <c r="O682" s="170">
        <f>0+táj.2!O682</f>
        <v>0</v>
      </c>
      <c r="P682" s="170">
        <f>0+táj.2!P682</f>
        <v>0</v>
      </c>
      <c r="Q682" s="170">
        <f t="shared" si="40"/>
        <v>5899</v>
      </c>
    </row>
    <row r="683" spans="1:17" ht="15" customHeight="1" x14ac:dyDescent="0.2">
      <c r="A683" s="197"/>
      <c r="B683" s="197"/>
      <c r="C683" s="217"/>
      <c r="D683" s="172" t="s">
        <v>1230</v>
      </c>
      <c r="E683" s="176">
        <v>1</v>
      </c>
      <c r="F683" s="170">
        <v>171956</v>
      </c>
      <c r="G683" s="170">
        <f>0+táj.2!G683</f>
        <v>0</v>
      </c>
      <c r="H683" s="170">
        <f>0+táj.2!H683</f>
        <v>0</v>
      </c>
      <c r="I683" s="170">
        <f>4118+táj.2!I683</f>
        <v>4118</v>
      </c>
      <c r="J683" s="170">
        <f>0+táj.2!J683</f>
        <v>0</v>
      </c>
      <c r="K683" s="170">
        <f>0+táj.2!K683</f>
        <v>0</v>
      </c>
      <c r="L683" s="170">
        <f>0+táj.2!L683</f>
        <v>0</v>
      </c>
      <c r="M683" s="170">
        <f>0+táj.2!M683</f>
        <v>0</v>
      </c>
      <c r="N683" s="170">
        <f>0+táj.2!N683</f>
        <v>0</v>
      </c>
      <c r="O683" s="170">
        <f>0+táj.2!O683</f>
        <v>0</v>
      </c>
      <c r="P683" s="170">
        <f>0+táj.2!P683</f>
        <v>0</v>
      </c>
      <c r="Q683" s="170">
        <f t="shared" si="40"/>
        <v>4118</v>
      </c>
    </row>
    <row r="684" spans="1:17" ht="15" customHeight="1" x14ac:dyDescent="0.2">
      <c r="A684" s="197"/>
      <c r="B684" s="197"/>
      <c r="C684" s="217"/>
      <c r="D684" s="172" t="s">
        <v>1231</v>
      </c>
      <c r="E684" s="176">
        <v>1</v>
      </c>
      <c r="F684" s="170">
        <v>171958</v>
      </c>
      <c r="G684" s="170">
        <f>0+táj.2!G684</f>
        <v>0</v>
      </c>
      <c r="H684" s="170">
        <f>0+táj.2!H684</f>
        <v>0</v>
      </c>
      <c r="I684" s="170">
        <f>500+táj.2!I684</f>
        <v>500</v>
      </c>
      <c r="J684" s="170">
        <f>0+táj.2!J684</f>
        <v>0</v>
      </c>
      <c r="K684" s="170">
        <f>0+táj.2!K684</f>
        <v>0</v>
      </c>
      <c r="L684" s="170">
        <f>0+táj.2!L684</f>
        <v>0</v>
      </c>
      <c r="M684" s="170">
        <f>0+táj.2!M684</f>
        <v>0</v>
      </c>
      <c r="N684" s="170">
        <f>0+táj.2!N684</f>
        <v>0</v>
      </c>
      <c r="O684" s="170">
        <f>0+táj.2!O684</f>
        <v>0</v>
      </c>
      <c r="P684" s="170">
        <f>0+táj.2!P684</f>
        <v>0</v>
      </c>
      <c r="Q684" s="170">
        <f t="shared" si="40"/>
        <v>500</v>
      </c>
    </row>
    <row r="685" spans="1:17" ht="15" customHeight="1" x14ac:dyDescent="0.2">
      <c r="A685" s="197"/>
      <c r="B685" s="197"/>
      <c r="C685" s="217"/>
      <c r="D685" s="172" t="s">
        <v>1232</v>
      </c>
      <c r="E685" s="176">
        <v>1</v>
      </c>
      <c r="F685" s="170">
        <v>171904</v>
      </c>
      <c r="G685" s="170">
        <f>0+táj.2!G685</f>
        <v>0</v>
      </c>
      <c r="H685" s="170">
        <f>0+táj.2!H685</f>
        <v>0</v>
      </c>
      <c r="I685" s="170">
        <f>2000+táj.2!I685</f>
        <v>2000</v>
      </c>
      <c r="J685" s="170">
        <f>0+táj.2!J685</f>
        <v>0</v>
      </c>
      <c r="K685" s="170">
        <f>0+táj.2!K685</f>
        <v>0</v>
      </c>
      <c r="L685" s="170">
        <f>0+táj.2!L685</f>
        <v>0</v>
      </c>
      <c r="M685" s="170">
        <f>0+táj.2!M685</f>
        <v>0</v>
      </c>
      <c r="N685" s="170">
        <f>0+táj.2!N685</f>
        <v>0</v>
      </c>
      <c r="O685" s="170">
        <f>0+táj.2!O685</f>
        <v>0</v>
      </c>
      <c r="P685" s="170">
        <f>0+táj.2!P685</f>
        <v>0</v>
      </c>
      <c r="Q685" s="170">
        <f t="shared" si="40"/>
        <v>2000</v>
      </c>
    </row>
    <row r="686" spans="1:17" ht="15" customHeight="1" x14ac:dyDescent="0.2">
      <c r="A686" s="197"/>
      <c r="B686" s="197"/>
      <c r="C686" s="217"/>
      <c r="D686" s="314" t="s">
        <v>1233</v>
      </c>
      <c r="E686" s="170">
        <v>1</v>
      </c>
      <c r="F686" s="170">
        <v>171902</v>
      </c>
      <c r="G686" s="170">
        <f>0+táj.2!G686</f>
        <v>0</v>
      </c>
      <c r="H686" s="170">
        <f>0+táj.2!H686</f>
        <v>0</v>
      </c>
      <c r="I686" s="170">
        <f>13406+táj.2!I686</f>
        <v>13406</v>
      </c>
      <c r="J686" s="170">
        <f>0+táj.2!J686</f>
        <v>0</v>
      </c>
      <c r="K686" s="170">
        <f>0+táj.2!K686</f>
        <v>0</v>
      </c>
      <c r="L686" s="170">
        <f>0+táj.2!L686</f>
        <v>0</v>
      </c>
      <c r="M686" s="170">
        <f>0+táj.2!M686</f>
        <v>0</v>
      </c>
      <c r="N686" s="170">
        <f>0+táj.2!N686</f>
        <v>0</v>
      </c>
      <c r="O686" s="170">
        <f>0+táj.2!O686</f>
        <v>0</v>
      </c>
      <c r="P686" s="170">
        <f>0+táj.2!P686</f>
        <v>0</v>
      </c>
      <c r="Q686" s="170">
        <f t="shared" si="40"/>
        <v>13406</v>
      </c>
    </row>
    <row r="687" spans="1:17" ht="15" customHeight="1" x14ac:dyDescent="0.2">
      <c r="A687" s="197"/>
      <c r="B687" s="197"/>
      <c r="C687" s="217"/>
      <c r="D687" s="314" t="s">
        <v>1234</v>
      </c>
      <c r="E687" s="170">
        <v>1</v>
      </c>
      <c r="F687" s="170">
        <v>171925</v>
      </c>
      <c r="G687" s="170">
        <f>0+táj.2!G687</f>
        <v>0</v>
      </c>
      <c r="H687" s="170">
        <f>0+táj.2!H687</f>
        <v>0</v>
      </c>
      <c r="I687" s="170">
        <f>500+táj.2!I687</f>
        <v>500</v>
      </c>
      <c r="J687" s="170">
        <f>0+táj.2!J687</f>
        <v>0</v>
      </c>
      <c r="K687" s="170">
        <f>0+táj.2!K687</f>
        <v>0</v>
      </c>
      <c r="L687" s="170">
        <f>0+táj.2!L687</f>
        <v>0</v>
      </c>
      <c r="M687" s="170">
        <f>0+táj.2!M687</f>
        <v>0</v>
      </c>
      <c r="N687" s="170">
        <f>0+táj.2!N687</f>
        <v>0</v>
      </c>
      <c r="O687" s="170">
        <f>0+táj.2!O687</f>
        <v>0</v>
      </c>
      <c r="P687" s="170">
        <f>0+táj.2!P687</f>
        <v>0</v>
      </c>
      <c r="Q687" s="170">
        <f t="shared" si="40"/>
        <v>500</v>
      </c>
    </row>
    <row r="688" spans="1:17" ht="15" customHeight="1" x14ac:dyDescent="0.2">
      <c r="A688" s="197"/>
      <c r="B688" s="197"/>
      <c r="C688" s="197"/>
      <c r="D688" s="180" t="s">
        <v>1235</v>
      </c>
      <c r="E688" s="230"/>
      <c r="F688" s="170"/>
      <c r="G688" s="170"/>
      <c r="H688" s="202"/>
      <c r="I688" s="170"/>
      <c r="J688" s="202"/>
      <c r="K688" s="202"/>
      <c r="L688" s="202"/>
      <c r="M688" s="170"/>
      <c r="N688" s="170"/>
      <c r="O688" s="170"/>
      <c r="P688" s="170"/>
      <c r="Q688" s="170"/>
    </row>
    <row r="689" spans="1:17" ht="15" customHeight="1" x14ac:dyDescent="0.2">
      <c r="A689" s="197"/>
      <c r="B689" s="197"/>
      <c r="C689" s="197"/>
      <c r="D689" s="572" t="s">
        <v>1236</v>
      </c>
      <c r="E689" s="230">
        <v>1</v>
      </c>
      <c r="F689" s="170">
        <v>171954</v>
      </c>
      <c r="G689" s="170">
        <f>0+táj.2!G689</f>
        <v>0</v>
      </c>
      <c r="H689" s="170">
        <f>0+táj.2!H689</f>
        <v>0</v>
      </c>
      <c r="I689" s="170">
        <f>500+táj.2!I689</f>
        <v>500</v>
      </c>
      <c r="J689" s="170">
        <f>0+táj.2!J689</f>
        <v>0</v>
      </c>
      <c r="K689" s="170">
        <f>0+táj.2!K689</f>
        <v>0</v>
      </c>
      <c r="L689" s="170">
        <f>0+táj.2!L689</f>
        <v>0</v>
      </c>
      <c r="M689" s="170">
        <f>0+táj.2!M689</f>
        <v>0</v>
      </c>
      <c r="N689" s="170">
        <f>0+táj.2!N689</f>
        <v>0</v>
      </c>
      <c r="O689" s="170">
        <f>0+táj.2!O689</f>
        <v>0</v>
      </c>
      <c r="P689" s="170">
        <f>0+táj.2!P689</f>
        <v>0</v>
      </c>
      <c r="Q689" s="170">
        <f>SUM(G689:P689)</f>
        <v>500</v>
      </c>
    </row>
    <row r="690" spans="1:17" ht="15" customHeight="1" x14ac:dyDescent="0.2">
      <c r="A690" s="223"/>
      <c r="B690" s="223"/>
      <c r="C690" s="224"/>
      <c r="D690" s="182" t="s">
        <v>1237</v>
      </c>
      <c r="E690" s="226"/>
      <c r="F690" s="227"/>
      <c r="G690" s="227">
        <f t="shared" ref="G690:Q690" si="41">SUM(G679:G689)</f>
        <v>0</v>
      </c>
      <c r="H690" s="227">
        <f t="shared" si="41"/>
        <v>0</v>
      </c>
      <c r="I690" s="227">
        <f t="shared" si="41"/>
        <v>33013</v>
      </c>
      <c r="J690" s="227">
        <f t="shared" si="41"/>
        <v>0</v>
      </c>
      <c r="K690" s="227">
        <f t="shared" si="41"/>
        <v>0</v>
      </c>
      <c r="L690" s="227">
        <f t="shared" si="41"/>
        <v>0</v>
      </c>
      <c r="M690" s="227">
        <f t="shared" si="41"/>
        <v>1966</v>
      </c>
      <c r="N690" s="227">
        <f t="shared" si="41"/>
        <v>0</v>
      </c>
      <c r="O690" s="227">
        <f t="shared" si="41"/>
        <v>0</v>
      </c>
      <c r="P690" s="227">
        <f t="shared" si="41"/>
        <v>0</v>
      </c>
      <c r="Q690" s="227">
        <f t="shared" si="41"/>
        <v>34979</v>
      </c>
    </row>
    <row r="691" spans="1:17" ht="14.1" customHeight="1" x14ac:dyDescent="0.2">
      <c r="A691" s="229"/>
      <c r="B691" s="229"/>
      <c r="C691" s="284"/>
      <c r="D691" s="318" t="s">
        <v>1238</v>
      </c>
      <c r="E691" s="232"/>
      <c r="F691" s="233"/>
      <c r="G691" s="233"/>
      <c r="H691" s="233"/>
      <c r="I691" s="233"/>
      <c r="J691" s="233"/>
      <c r="K691" s="233"/>
      <c r="L691" s="233"/>
      <c r="M691" s="233"/>
      <c r="N691" s="233"/>
      <c r="O691" s="233"/>
      <c r="P691" s="233"/>
      <c r="Q691" s="233"/>
    </row>
    <row r="692" spans="1:17" ht="27.75" customHeight="1" x14ac:dyDescent="0.2">
      <c r="A692" s="229"/>
      <c r="B692" s="229"/>
      <c r="C692" s="217" t="s">
        <v>125</v>
      </c>
      <c r="D692" s="401" t="s">
        <v>1239</v>
      </c>
      <c r="E692" s="402"/>
      <c r="F692" s="403">
        <v>171980</v>
      </c>
      <c r="G692" s="170">
        <f>0+táj.2!G692</f>
        <v>0</v>
      </c>
      <c r="H692" s="170">
        <f>0+táj.2!H692</f>
        <v>0</v>
      </c>
      <c r="I692" s="170">
        <f>0+táj.2!I692</f>
        <v>0</v>
      </c>
      <c r="J692" s="170">
        <f>0+táj.2!J692</f>
        <v>0</v>
      </c>
      <c r="K692" s="170">
        <f>0+táj.2!K692</f>
        <v>0</v>
      </c>
      <c r="L692" s="170">
        <f>0+táj.2!L692</f>
        <v>0</v>
      </c>
      <c r="M692" s="170">
        <f>0+táj.2!M692</f>
        <v>0</v>
      </c>
      <c r="N692" s="170">
        <f>30000+táj.2!N692</f>
        <v>35000</v>
      </c>
      <c r="O692" s="170">
        <f>0+táj.2!O692</f>
        <v>0</v>
      </c>
      <c r="P692" s="170">
        <f>0+táj.2!P692</f>
        <v>0</v>
      </c>
      <c r="Q692" s="170">
        <f>SUM(G692:P692)</f>
        <v>35000</v>
      </c>
    </row>
    <row r="693" spans="1:17" ht="18" customHeight="1" x14ac:dyDescent="0.2">
      <c r="A693" s="229"/>
      <c r="B693" s="229"/>
      <c r="C693" s="217" t="s">
        <v>124</v>
      </c>
      <c r="D693" s="171" t="s">
        <v>1376</v>
      </c>
      <c r="E693" s="404"/>
      <c r="F693" s="170">
        <v>172958</v>
      </c>
      <c r="G693" s="170">
        <f>0+táj.2!G693</f>
        <v>0</v>
      </c>
      <c r="H693" s="170">
        <f>0+táj.2!H693</f>
        <v>0</v>
      </c>
      <c r="I693" s="170">
        <f>2000+táj.2!I693</f>
        <v>12887</v>
      </c>
      <c r="J693" s="170">
        <f>0+táj.2!J693</f>
        <v>0</v>
      </c>
      <c r="K693" s="170">
        <f>0+táj.2!K693</f>
        <v>0</v>
      </c>
      <c r="L693" s="170">
        <f>10000+táj.2!L693</f>
        <v>0</v>
      </c>
      <c r="M693" s="170">
        <f>0+táj.2!M693</f>
        <v>0</v>
      </c>
      <c r="N693" s="170">
        <f>0+táj.2!N693</f>
        <v>0</v>
      </c>
      <c r="O693" s="170">
        <f>0+táj.2!O693</f>
        <v>0</v>
      </c>
      <c r="P693" s="170">
        <f>0+táj.2!P693</f>
        <v>0</v>
      </c>
      <c r="Q693" s="221">
        <f>SUM(G693:P693)</f>
        <v>12887</v>
      </c>
    </row>
    <row r="694" spans="1:17" ht="30.75" customHeight="1" x14ac:dyDescent="0.2">
      <c r="A694" s="229"/>
      <c r="B694" s="229"/>
      <c r="C694" s="217" t="s">
        <v>126</v>
      </c>
      <c r="D694" s="222" t="s">
        <v>1240</v>
      </c>
      <c r="E694" s="404"/>
      <c r="F694" s="170">
        <v>174904</v>
      </c>
      <c r="G694" s="170">
        <f>0+táj.2!G694</f>
        <v>0</v>
      </c>
      <c r="H694" s="170">
        <f>0+táj.2!H694</f>
        <v>0</v>
      </c>
      <c r="I694" s="170">
        <f>0+táj.2!I694</f>
        <v>0</v>
      </c>
      <c r="J694" s="170">
        <f>0+táj.2!J694</f>
        <v>0</v>
      </c>
      <c r="K694" s="170">
        <f>0+táj.2!K694</f>
        <v>0</v>
      </c>
      <c r="L694" s="170">
        <f>0+táj.2!L694</f>
        <v>0</v>
      </c>
      <c r="M694" s="170">
        <f>0+táj.2!M694</f>
        <v>0</v>
      </c>
      <c r="N694" s="170">
        <f>75+táj.2!N694</f>
        <v>75</v>
      </c>
      <c r="O694" s="170">
        <f>0+táj.2!O694</f>
        <v>0</v>
      </c>
      <c r="P694" s="170">
        <f>0+táj.2!P694</f>
        <v>0</v>
      </c>
      <c r="Q694" s="221">
        <f>SUM(G694:P694)</f>
        <v>75</v>
      </c>
    </row>
    <row r="695" spans="1:17" ht="30.75" customHeight="1" x14ac:dyDescent="0.2">
      <c r="A695" s="229"/>
      <c r="B695" s="229"/>
      <c r="C695" s="217" t="s">
        <v>127</v>
      </c>
      <c r="D695" s="222" t="s">
        <v>1456</v>
      </c>
      <c r="E695" s="404"/>
      <c r="F695" s="170">
        <v>172901</v>
      </c>
      <c r="G695" s="170">
        <f>0+táj.2!G695</f>
        <v>0</v>
      </c>
      <c r="H695" s="170">
        <f>0+táj.2!H695</f>
        <v>0</v>
      </c>
      <c r="I695" s="170">
        <f>0+táj.2!I695</f>
        <v>0</v>
      </c>
      <c r="J695" s="170">
        <f>0+táj.2!J695</f>
        <v>0</v>
      </c>
      <c r="K695" s="170">
        <f>0+táj.2!K695</f>
        <v>0</v>
      </c>
      <c r="L695" s="170">
        <f>2955+táj.2!L695</f>
        <v>8363</v>
      </c>
      <c r="M695" s="170">
        <f>0+táj.2!M695</f>
        <v>0</v>
      </c>
      <c r="N695" s="170">
        <f>0+táj.2!N695</f>
        <v>0</v>
      </c>
      <c r="O695" s="170">
        <f>0+táj.2!O695</f>
        <v>0</v>
      </c>
      <c r="P695" s="170">
        <f>0+táj.2!P695</f>
        <v>0</v>
      </c>
      <c r="Q695" s="221">
        <f>SUM(G695:P695)</f>
        <v>8363</v>
      </c>
    </row>
    <row r="696" spans="1:17" ht="15.95" customHeight="1" x14ac:dyDescent="0.2">
      <c r="A696" s="229"/>
      <c r="B696" s="229"/>
      <c r="C696" s="217"/>
      <c r="D696" s="314" t="s">
        <v>502</v>
      </c>
      <c r="E696" s="402"/>
      <c r="F696" s="403">
        <v>172952</v>
      </c>
      <c r="G696" s="170"/>
      <c r="H696" s="233"/>
      <c r="I696" s="233"/>
      <c r="J696" s="233"/>
      <c r="K696" s="233"/>
      <c r="L696" s="170"/>
      <c r="M696" s="170"/>
      <c r="N696" s="170"/>
      <c r="O696" s="170"/>
      <c r="P696" s="170"/>
      <c r="Q696" s="170"/>
    </row>
    <row r="697" spans="1:17" ht="24.75" customHeight="1" x14ac:dyDescent="0.2">
      <c r="A697" s="229"/>
      <c r="B697" s="229"/>
      <c r="C697" s="217" t="s">
        <v>503</v>
      </c>
      <c r="D697" s="573" t="s">
        <v>1241</v>
      </c>
      <c r="E697" s="405"/>
      <c r="F697" s="403">
        <v>171970</v>
      </c>
      <c r="G697" s="170">
        <f>0+táj.2!G697</f>
        <v>0</v>
      </c>
      <c r="H697" s="170">
        <f>0+táj.2!H697</f>
        <v>0</v>
      </c>
      <c r="I697" s="170">
        <f>0+táj.2!I697</f>
        <v>0</v>
      </c>
      <c r="J697" s="170">
        <f>0+táj.2!J697</f>
        <v>0</v>
      </c>
      <c r="K697" s="170">
        <f>0+táj.2!K697</f>
        <v>0</v>
      </c>
      <c r="L697" s="170">
        <f>32425+táj.2!L697</f>
        <v>32425</v>
      </c>
      <c r="M697" s="170">
        <f>0+táj.2!M697</f>
        <v>0</v>
      </c>
      <c r="N697" s="170">
        <f>0+táj.2!N697</f>
        <v>0</v>
      </c>
      <c r="O697" s="170">
        <f>0+táj.2!O697</f>
        <v>0</v>
      </c>
      <c r="P697" s="170">
        <f>0+táj.2!P697</f>
        <v>0</v>
      </c>
      <c r="Q697" s="170">
        <f>SUM(G697:P697)</f>
        <v>32425</v>
      </c>
    </row>
    <row r="698" spans="1:17" ht="15.95" customHeight="1" x14ac:dyDescent="0.2">
      <c r="A698" s="229"/>
      <c r="B698" s="229"/>
      <c r="C698" s="217" t="s">
        <v>820</v>
      </c>
      <c r="D698" s="574" t="s">
        <v>1242</v>
      </c>
      <c r="E698" s="406"/>
      <c r="F698" s="170">
        <v>172910</v>
      </c>
      <c r="G698" s="170">
        <f>0+táj.2!G698</f>
        <v>0</v>
      </c>
      <c r="H698" s="170">
        <f>0+táj.2!H698</f>
        <v>0</v>
      </c>
      <c r="I698" s="170">
        <f>0+táj.2!I698</f>
        <v>0</v>
      </c>
      <c r="J698" s="170">
        <f>0+táj.2!J698</f>
        <v>0</v>
      </c>
      <c r="K698" s="170">
        <f>0+táj.2!K698</f>
        <v>0</v>
      </c>
      <c r="L698" s="170">
        <f>51137+táj.2!L698</f>
        <v>51137</v>
      </c>
      <c r="M698" s="170">
        <f>0+táj.2!M698</f>
        <v>0</v>
      </c>
      <c r="N698" s="170">
        <f>0+táj.2!N698</f>
        <v>0</v>
      </c>
      <c r="O698" s="170">
        <f>0+táj.2!O698</f>
        <v>0</v>
      </c>
      <c r="P698" s="170">
        <f>0+táj.2!P698</f>
        <v>0</v>
      </c>
      <c r="Q698" s="170">
        <f>SUM(G698:P698)</f>
        <v>51137</v>
      </c>
    </row>
    <row r="699" spans="1:17" ht="15.95" customHeight="1" x14ac:dyDescent="0.2">
      <c r="A699" s="229"/>
      <c r="B699" s="229"/>
      <c r="C699" s="217" t="s">
        <v>822</v>
      </c>
      <c r="D699" s="407" t="s">
        <v>1243</v>
      </c>
      <c r="E699" s="408"/>
      <c r="F699" s="170">
        <v>162603</v>
      </c>
      <c r="G699" s="170">
        <f>0+táj.2!G699</f>
        <v>0</v>
      </c>
      <c r="H699" s="170">
        <f>0+táj.2!H699</f>
        <v>0</v>
      </c>
      <c r="I699" s="170">
        <f>0+táj.2!I699</f>
        <v>0</v>
      </c>
      <c r="J699" s="170">
        <f>0+táj.2!J699</f>
        <v>0</v>
      </c>
      <c r="K699" s="170">
        <f>0+táj.2!K699</f>
        <v>0</v>
      </c>
      <c r="L699" s="170">
        <f>24845+táj.2!L699</f>
        <v>24845</v>
      </c>
      <c r="M699" s="170">
        <f>0+táj.2!M699</f>
        <v>0</v>
      </c>
      <c r="N699" s="170">
        <f>0+táj.2!N699</f>
        <v>0</v>
      </c>
      <c r="O699" s="170">
        <f>0+táj.2!O699</f>
        <v>0</v>
      </c>
      <c r="P699" s="170">
        <f>0+táj.2!P699</f>
        <v>0</v>
      </c>
      <c r="Q699" s="170">
        <f>SUM(G699:P699)</f>
        <v>24845</v>
      </c>
    </row>
    <row r="700" spans="1:17" ht="15.95" customHeight="1" x14ac:dyDescent="0.2">
      <c r="A700" s="229"/>
      <c r="B700" s="229"/>
      <c r="C700" s="217" t="s">
        <v>824</v>
      </c>
      <c r="D700" s="409" t="s">
        <v>1244</v>
      </c>
      <c r="E700" s="410"/>
      <c r="F700" s="170">
        <v>172920</v>
      </c>
      <c r="G700" s="170">
        <f>0+táj.2!G700</f>
        <v>0</v>
      </c>
      <c r="H700" s="170">
        <f>0+táj.2!H700</f>
        <v>0</v>
      </c>
      <c r="I700" s="170">
        <f>3768+táj.2!I700</f>
        <v>7535</v>
      </c>
      <c r="J700" s="170">
        <f>0+táj.2!J700</f>
        <v>0</v>
      </c>
      <c r="K700" s="170">
        <f>0+táj.2!K700</f>
        <v>0</v>
      </c>
      <c r="L700" s="170">
        <f>0+táj.2!L700</f>
        <v>0</v>
      </c>
      <c r="M700" s="170">
        <f>0+táj.2!M700</f>
        <v>0</v>
      </c>
      <c r="N700" s="170">
        <f>0+táj.2!N700</f>
        <v>0</v>
      </c>
      <c r="O700" s="170">
        <f>0+táj.2!O700</f>
        <v>0</v>
      </c>
      <c r="P700" s="170">
        <f>25000+táj.2!P700</f>
        <v>25000</v>
      </c>
      <c r="Q700" s="170">
        <f>SUM(G700:P700)</f>
        <v>32535</v>
      </c>
    </row>
    <row r="701" spans="1:17" ht="15.95" customHeight="1" x14ac:dyDescent="0.2">
      <c r="A701" s="229"/>
      <c r="B701" s="229"/>
      <c r="C701" s="217" t="s">
        <v>1245</v>
      </c>
      <c r="D701" s="171" t="s">
        <v>1246</v>
      </c>
      <c r="E701" s="404"/>
      <c r="F701" s="230">
        <v>172923</v>
      </c>
      <c r="G701" s="170">
        <f>0+táj.2!G701</f>
        <v>0</v>
      </c>
      <c r="H701" s="170">
        <f>0+táj.2!H701</f>
        <v>0</v>
      </c>
      <c r="I701" s="170">
        <f>12180+táj.2!I701</f>
        <v>12180</v>
      </c>
      <c r="J701" s="170">
        <f>0+táj.2!J701</f>
        <v>0</v>
      </c>
      <c r="K701" s="170">
        <f>0+táj.2!K701</f>
        <v>0</v>
      </c>
      <c r="L701" s="170">
        <f>6785+táj.2!L701</f>
        <v>6785</v>
      </c>
      <c r="M701" s="170">
        <f>0+táj.2!M701</f>
        <v>0</v>
      </c>
      <c r="N701" s="170">
        <f>0+táj.2!N701</f>
        <v>0</v>
      </c>
      <c r="O701" s="170">
        <f>0+táj.2!O701</f>
        <v>0</v>
      </c>
      <c r="P701" s="170">
        <f>0+táj.2!P701</f>
        <v>0</v>
      </c>
      <c r="Q701" s="170">
        <f>SUM(G701:P701)</f>
        <v>18965</v>
      </c>
    </row>
    <row r="702" spans="1:17" ht="15.95" customHeight="1" x14ac:dyDescent="0.2">
      <c r="A702" s="223"/>
      <c r="B702" s="223"/>
      <c r="C702" s="224"/>
      <c r="D702" s="182" t="s">
        <v>431</v>
      </c>
      <c r="E702" s="226"/>
      <c r="F702" s="227"/>
      <c r="G702" s="227">
        <f t="shared" ref="G702:Q702" si="42">SUM(G690:G701)</f>
        <v>0</v>
      </c>
      <c r="H702" s="227">
        <f t="shared" si="42"/>
        <v>0</v>
      </c>
      <c r="I702" s="227">
        <f t="shared" si="42"/>
        <v>65615</v>
      </c>
      <c r="J702" s="227">
        <f t="shared" si="42"/>
        <v>0</v>
      </c>
      <c r="K702" s="227">
        <f t="shared" si="42"/>
        <v>0</v>
      </c>
      <c r="L702" s="227">
        <f t="shared" si="42"/>
        <v>123555</v>
      </c>
      <c r="M702" s="227">
        <f t="shared" si="42"/>
        <v>1966</v>
      </c>
      <c r="N702" s="227">
        <f t="shared" si="42"/>
        <v>35075</v>
      </c>
      <c r="O702" s="227">
        <f t="shared" si="42"/>
        <v>0</v>
      </c>
      <c r="P702" s="227">
        <f t="shared" si="42"/>
        <v>25000</v>
      </c>
      <c r="Q702" s="227">
        <f t="shared" si="42"/>
        <v>251211</v>
      </c>
    </row>
    <row r="703" spans="1:17" ht="14.1" customHeight="1" x14ac:dyDescent="0.2">
      <c r="A703" s="197">
        <v>1</v>
      </c>
      <c r="B703" s="197">
        <v>18</v>
      </c>
      <c r="C703" s="217"/>
      <c r="D703" s="307" t="s">
        <v>1247</v>
      </c>
      <c r="E703" s="232"/>
      <c r="F703" s="232"/>
      <c r="G703" s="170"/>
      <c r="H703" s="202"/>
      <c r="I703" s="202"/>
      <c r="J703" s="202"/>
      <c r="K703" s="202"/>
      <c r="L703" s="202"/>
      <c r="M703" s="170"/>
      <c r="N703" s="170"/>
      <c r="O703" s="170"/>
      <c r="P703" s="170"/>
      <c r="Q703" s="170"/>
    </row>
    <row r="704" spans="1:17" ht="14.1" customHeight="1" x14ac:dyDescent="0.2">
      <c r="A704" s="197"/>
      <c r="B704" s="197"/>
      <c r="C704" s="217"/>
      <c r="D704" s="314" t="s">
        <v>342</v>
      </c>
      <c r="E704" s="235"/>
      <c r="F704" s="235"/>
      <c r="G704" s="170"/>
      <c r="H704" s="202"/>
      <c r="I704" s="202"/>
      <c r="J704" s="202"/>
      <c r="K704" s="202"/>
      <c r="L704" s="202"/>
      <c r="M704" s="170"/>
      <c r="N704" s="170"/>
      <c r="O704" s="170"/>
      <c r="P704" s="170"/>
      <c r="Q704" s="170"/>
    </row>
    <row r="705" spans="1:17" ht="14.1" customHeight="1" x14ac:dyDescent="0.2">
      <c r="A705" s="197"/>
      <c r="B705" s="197"/>
      <c r="C705" s="217"/>
      <c r="D705" s="314" t="s">
        <v>1248</v>
      </c>
      <c r="E705" s="170">
        <v>2</v>
      </c>
      <c r="F705" s="170">
        <v>181905</v>
      </c>
      <c r="G705" s="170">
        <f>0+táj.2!G705</f>
        <v>0</v>
      </c>
      <c r="H705" s="170">
        <f>0+táj.2!H705</f>
        <v>0</v>
      </c>
      <c r="I705" s="170">
        <f>21276+táj.2!I705</f>
        <v>21276</v>
      </c>
      <c r="J705" s="170">
        <f>0+táj.2!J705</f>
        <v>0</v>
      </c>
      <c r="K705" s="170">
        <f>0+táj.2!K705</f>
        <v>0</v>
      </c>
      <c r="L705" s="170">
        <f>0+táj.2!L705</f>
        <v>0</v>
      </c>
      <c r="M705" s="170">
        <f>0+táj.2!M705</f>
        <v>0</v>
      </c>
      <c r="N705" s="170">
        <f>0+táj.2!N705</f>
        <v>0</v>
      </c>
      <c r="O705" s="170">
        <f>0+táj.2!O705</f>
        <v>0</v>
      </c>
      <c r="P705" s="170">
        <f>0+táj.2!P705</f>
        <v>0</v>
      </c>
      <c r="Q705" s="170">
        <f>SUM(G705:P705)</f>
        <v>21276</v>
      </c>
    </row>
    <row r="706" spans="1:17" ht="27.75" customHeight="1" x14ac:dyDescent="0.2">
      <c r="A706" s="197"/>
      <c r="B706" s="197"/>
      <c r="C706" s="217"/>
      <c r="D706" s="172" t="s">
        <v>1249</v>
      </c>
      <c r="E706" s="170">
        <v>1</v>
      </c>
      <c r="F706" s="170" t="s">
        <v>434</v>
      </c>
      <c r="G706" s="170">
        <f>0+táj.2!G706</f>
        <v>0</v>
      </c>
      <c r="H706" s="170">
        <f>0+táj.2!H706</f>
        <v>0</v>
      </c>
      <c r="I706" s="170">
        <f>31093+táj.2!I706</f>
        <v>30895</v>
      </c>
      <c r="J706" s="170">
        <f>0+táj.2!J706</f>
        <v>0</v>
      </c>
      <c r="K706" s="170">
        <f>0+táj.2!K706</f>
        <v>0</v>
      </c>
      <c r="L706" s="170">
        <f>0+táj.2!L706</f>
        <v>198</v>
      </c>
      <c r="M706" s="170">
        <f>0+táj.2!M706</f>
        <v>0</v>
      </c>
      <c r="N706" s="170">
        <f>0+táj.2!N706</f>
        <v>0</v>
      </c>
      <c r="O706" s="170">
        <f>0+táj.2!O706</f>
        <v>0</v>
      </c>
      <c r="P706" s="170">
        <f>0+táj.2!P706</f>
        <v>0</v>
      </c>
      <c r="Q706" s="170">
        <f>SUM(G706:P706)</f>
        <v>31093</v>
      </c>
    </row>
    <row r="707" spans="1:17" ht="14.1" customHeight="1" x14ac:dyDescent="0.2">
      <c r="A707" s="197"/>
      <c r="B707" s="197"/>
      <c r="C707" s="217"/>
      <c r="D707" s="314" t="s">
        <v>1250</v>
      </c>
      <c r="E707" s="170">
        <v>1</v>
      </c>
      <c r="F707" s="170">
        <v>181906</v>
      </c>
      <c r="G707" s="170">
        <f>0+táj.2!G707</f>
        <v>0</v>
      </c>
      <c r="H707" s="170">
        <f>0+táj.2!H707</f>
        <v>0</v>
      </c>
      <c r="I707" s="170">
        <f>9000+táj.2!I707</f>
        <v>9000</v>
      </c>
      <c r="J707" s="170">
        <f>0+táj.2!J707</f>
        <v>0</v>
      </c>
      <c r="K707" s="170">
        <f>0+táj.2!K707</f>
        <v>0</v>
      </c>
      <c r="L707" s="170">
        <f>0+táj.2!L707</f>
        <v>0</v>
      </c>
      <c r="M707" s="170">
        <f>0+táj.2!M707</f>
        <v>0</v>
      </c>
      <c r="N707" s="170">
        <f>0+táj.2!N707</f>
        <v>0</v>
      </c>
      <c r="O707" s="170">
        <f>0+táj.2!O707</f>
        <v>0</v>
      </c>
      <c r="P707" s="170">
        <f>0+táj.2!P707</f>
        <v>0</v>
      </c>
      <c r="Q707" s="170">
        <f>SUM(G707:P707)</f>
        <v>9000</v>
      </c>
    </row>
    <row r="708" spans="1:17" ht="14.1" customHeight="1" x14ac:dyDescent="0.2">
      <c r="A708" s="197"/>
      <c r="B708" s="197"/>
      <c r="C708" s="217"/>
      <c r="D708" s="333" t="s">
        <v>1251</v>
      </c>
      <c r="E708" s="170">
        <v>1</v>
      </c>
      <c r="F708" s="170">
        <v>182909</v>
      </c>
      <c r="G708" s="170">
        <f>0+táj.2!G708</f>
        <v>0</v>
      </c>
      <c r="H708" s="170">
        <f>0+táj.2!H708</f>
        <v>0</v>
      </c>
      <c r="I708" s="170">
        <f>189+táj.2!I708</f>
        <v>189</v>
      </c>
      <c r="J708" s="170">
        <f>0+táj.2!J708</f>
        <v>0</v>
      </c>
      <c r="K708" s="170">
        <f>0+táj.2!K708</f>
        <v>0</v>
      </c>
      <c r="L708" s="170">
        <f>0+táj.2!L708</f>
        <v>0</v>
      </c>
      <c r="M708" s="170">
        <f>0+táj.2!M708</f>
        <v>0</v>
      </c>
      <c r="N708" s="170">
        <f>0+táj.2!N708</f>
        <v>0</v>
      </c>
      <c r="O708" s="170">
        <f>0+táj.2!O708</f>
        <v>0</v>
      </c>
      <c r="P708" s="170">
        <f>0+táj.2!P708</f>
        <v>0</v>
      </c>
      <c r="Q708" s="170">
        <f>SUM(G708:P708)</f>
        <v>189</v>
      </c>
    </row>
    <row r="709" spans="1:17" ht="15" customHeight="1" x14ac:dyDescent="0.2">
      <c r="A709" s="197"/>
      <c r="B709" s="197"/>
      <c r="C709" s="217"/>
      <c r="D709" s="177" t="s">
        <v>333</v>
      </c>
      <c r="E709" s="241"/>
      <c r="F709" s="241"/>
      <c r="G709" s="170"/>
      <c r="H709" s="170"/>
      <c r="I709" s="170"/>
      <c r="J709" s="170"/>
      <c r="K709" s="170"/>
      <c r="L709" s="170"/>
      <c r="M709" s="170"/>
      <c r="N709" s="170"/>
      <c r="O709" s="170"/>
      <c r="P709" s="170"/>
      <c r="Q709" s="170"/>
    </row>
    <row r="710" spans="1:17" ht="15" customHeight="1" x14ac:dyDescent="0.2">
      <c r="A710" s="197"/>
      <c r="B710" s="197"/>
      <c r="C710" s="217"/>
      <c r="D710" s="314" t="s">
        <v>1252</v>
      </c>
      <c r="E710" s="221">
        <v>1</v>
      </c>
      <c r="F710" s="170">
        <v>221950</v>
      </c>
      <c r="G710" s="170">
        <f>149479+táj.2!G710</f>
        <v>149479</v>
      </c>
      <c r="H710" s="170">
        <f>27014+táj.2!H710</f>
        <v>27014</v>
      </c>
      <c r="I710" s="170">
        <f>1200+táj.2!I710</f>
        <v>1200</v>
      </c>
      <c r="J710" s="170">
        <f>0+táj.2!J710</f>
        <v>0</v>
      </c>
      <c r="K710" s="170">
        <f>0+táj.2!K710</f>
        <v>0</v>
      </c>
      <c r="L710" s="170">
        <f>0+táj.2!L710</f>
        <v>0</v>
      </c>
      <c r="M710" s="170">
        <f>0+táj.2!M710</f>
        <v>0</v>
      </c>
      <c r="N710" s="170">
        <f>0+táj.2!N710</f>
        <v>0</v>
      </c>
      <c r="O710" s="170">
        <f>0+táj.2!O710</f>
        <v>0</v>
      </c>
      <c r="P710" s="170">
        <f>0+táj.2!P710</f>
        <v>0</v>
      </c>
      <c r="Q710" s="411">
        <f>SUM(G710:P710)</f>
        <v>177693</v>
      </c>
    </row>
    <row r="711" spans="1:17" ht="24.95" customHeight="1" x14ac:dyDescent="0.2">
      <c r="A711" s="197"/>
      <c r="B711" s="197"/>
      <c r="C711" s="217"/>
      <c r="D711" s="172" t="s">
        <v>1253</v>
      </c>
      <c r="E711" s="208">
        <v>1</v>
      </c>
      <c r="F711" s="170">
        <v>181907</v>
      </c>
      <c r="G711" s="170">
        <f>0+táj.2!G711</f>
        <v>0</v>
      </c>
      <c r="H711" s="170">
        <f>0+táj.2!H711</f>
        <v>0</v>
      </c>
      <c r="I711" s="170">
        <f>16910+táj.2!I711</f>
        <v>17129</v>
      </c>
      <c r="J711" s="170">
        <f>0+táj.2!J711</f>
        <v>0</v>
      </c>
      <c r="K711" s="170">
        <f>0+táj.2!K711</f>
        <v>0</v>
      </c>
      <c r="L711" s="170">
        <f>0+táj.2!L711</f>
        <v>0</v>
      </c>
      <c r="M711" s="170">
        <f>0+táj.2!M711</f>
        <v>0</v>
      </c>
      <c r="N711" s="170">
        <f>0+táj.2!N711</f>
        <v>0</v>
      </c>
      <c r="O711" s="170">
        <f>0+táj.2!O711</f>
        <v>0</v>
      </c>
      <c r="P711" s="170">
        <f>0+táj.2!P711</f>
        <v>0</v>
      </c>
      <c r="Q711" s="170">
        <f>SUM(G711:P711)</f>
        <v>17129</v>
      </c>
    </row>
    <row r="712" spans="1:17" ht="15.75" customHeight="1" x14ac:dyDescent="0.2">
      <c r="A712" s="197"/>
      <c r="B712" s="197"/>
      <c r="C712" s="217"/>
      <c r="D712" s="314" t="s">
        <v>1254</v>
      </c>
      <c r="E712" s="208"/>
      <c r="F712" s="208"/>
      <c r="G712" s="170"/>
      <c r="H712" s="170"/>
      <c r="I712" s="170"/>
      <c r="J712" s="170"/>
      <c r="K712" s="170"/>
      <c r="L712" s="170"/>
      <c r="M712" s="170"/>
      <c r="N712" s="170"/>
      <c r="O712" s="170"/>
      <c r="P712" s="170"/>
      <c r="Q712" s="170"/>
    </row>
    <row r="713" spans="1:17" ht="12.75" customHeight="1" x14ac:dyDescent="0.2">
      <c r="A713" s="197"/>
      <c r="B713" s="197"/>
      <c r="C713" s="217"/>
      <c r="D713" s="172" t="s">
        <v>1255</v>
      </c>
      <c r="E713" s="208">
        <v>1</v>
      </c>
      <c r="F713" s="170">
        <v>181909</v>
      </c>
      <c r="G713" s="170">
        <f>0+táj.2!G713</f>
        <v>0</v>
      </c>
      <c r="H713" s="170">
        <f>0+táj.2!H713</f>
        <v>0</v>
      </c>
      <c r="I713" s="170">
        <f>2000+táj.2!I713</f>
        <v>2000</v>
      </c>
      <c r="J713" s="170">
        <f>0+táj.2!J713</f>
        <v>0</v>
      </c>
      <c r="K713" s="170">
        <f>500+táj.2!K713</f>
        <v>500</v>
      </c>
      <c r="L713" s="170">
        <f>0+táj.2!L713</f>
        <v>0</v>
      </c>
      <c r="M713" s="170">
        <f>0+táj.2!M713</f>
        <v>0</v>
      </c>
      <c r="N713" s="170">
        <f>0+táj.2!N713</f>
        <v>0</v>
      </c>
      <c r="O713" s="170">
        <f>0+táj.2!O713</f>
        <v>0</v>
      </c>
      <c r="P713" s="170">
        <f>0+táj.2!P713</f>
        <v>0</v>
      </c>
      <c r="Q713" s="170">
        <f>SUM(G713:P713)</f>
        <v>2500</v>
      </c>
    </row>
    <row r="714" spans="1:17" ht="26.25" customHeight="1" x14ac:dyDescent="0.2">
      <c r="A714" s="197"/>
      <c r="B714" s="197"/>
      <c r="C714" s="217"/>
      <c r="D714" s="172" t="s">
        <v>1256</v>
      </c>
      <c r="E714" s="241">
        <v>2</v>
      </c>
      <c r="F714" s="250">
        <v>191142</v>
      </c>
      <c r="G714" s="170">
        <f>0+táj.2!G714</f>
        <v>0</v>
      </c>
      <c r="H714" s="170">
        <f>0+táj.2!H714</f>
        <v>0</v>
      </c>
      <c r="I714" s="170">
        <f>0+táj.2!I714</f>
        <v>0</v>
      </c>
      <c r="J714" s="170">
        <f>0+táj.2!J714</f>
        <v>0</v>
      </c>
      <c r="K714" s="170">
        <f>1000+táj.2!K714</f>
        <v>1000</v>
      </c>
      <c r="L714" s="170">
        <f>0+táj.2!L714</f>
        <v>0</v>
      </c>
      <c r="M714" s="170">
        <f>0+táj.2!M714</f>
        <v>0</v>
      </c>
      <c r="N714" s="170">
        <f>0+táj.2!N714</f>
        <v>0</v>
      </c>
      <c r="O714" s="170">
        <f>0+táj.2!O714</f>
        <v>0</v>
      </c>
      <c r="P714" s="170">
        <f>0+táj.2!P714</f>
        <v>0</v>
      </c>
      <c r="Q714" s="170">
        <f>SUM(G714:P714)</f>
        <v>1000</v>
      </c>
    </row>
    <row r="715" spans="1:17" ht="29.25" customHeight="1" x14ac:dyDescent="0.2">
      <c r="A715" s="197"/>
      <c r="B715" s="197"/>
      <c r="C715" s="217"/>
      <c r="D715" s="172" t="s">
        <v>1257</v>
      </c>
      <c r="E715" s="241">
        <v>2</v>
      </c>
      <c r="F715" s="250">
        <v>191154</v>
      </c>
      <c r="G715" s="170">
        <f>0+táj.2!G715</f>
        <v>0</v>
      </c>
      <c r="H715" s="170">
        <f>0+táj.2!H715</f>
        <v>0</v>
      </c>
      <c r="I715" s="170">
        <f>0+táj.2!I715</f>
        <v>0</v>
      </c>
      <c r="J715" s="170">
        <f>0+táj.2!J715</f>
        <v>0</v>
      </c>
      <c r="K715" s="170">
        <f>3500+táj.2!K715</f>
        <v>3500</v>
      </c>
      <c r="L715" s="170">
        <f>0+táj.2!L715</f>
        <v>0</v>
      </c>
      <c r="M715" s="170">
        <f>0+táj.2!M715</f>
        <v>0</v>
      </c>
      <c r="N715" s="170">
        <f>0+táj.2!N715</f>
        <v>0</v>
      </c>
      <c r="O715" s="170">
        <f>0+táj.2!O715</f>
        <v>0</v>
      </c>
      <c r="P715" s="170">
        <f>0+táj.2!P715</f>
        <v>0</v>
      </c>
      <c r="Q715" s="170">
        <f>SUM(G715:P715)</f>
        <v>3500</v>
      </c>
    </row>
    <row r="716" spans="1:17" ht="25.5" customHeight="1" x14ac:dyDescent="0.2">
      <c r="A716" s="197"/>
      <c r="B716" s="197"/>
      <c r="C716" s="217"/>
      <c r="D716" s="172" t="s">
        <v>1258</v>
      </c>
      <c r="E716" s="241">
        <v>2</v>
      </c>
      <c r="F716" s="250">
        <v>191145</v>
      </c>
      <c r="G716" s="170">
        <f>0+táj.2!G716</f>
        <v>0</v>
      </c>
      <c r="H716" s="170">
        <f>0+táj.2!H716</f>
        <v>0</v>
      </c>
      <c r="I716" s="170">
        <f>0+táj.2!I716</f>
        <v>0</v>
      </c>
      <c r="J716" s="170">
        <f>0+táj.2!J716</f>
        <v>0</v>
      </c>
      <c r="K716" s="170">
        <f>2000+táj.2!K716</f>
        <v>2000</v>
      </c>
      <c r="L716" s="170">
        <f>0+táj.2!L716</f>
        <v>0</v>
      </c>
      <c r="M716" s="170">
        <f>0+táj.2!M716</f>
        <v>0</v>
      </c>
      <c r="N716" s="170">
        <f>0+táj.2!N716</f>
        <v>0</v>
      </c>
      <c r="O716" s="170">
        <f>0+táj.2!O716</f>
        <v>0</v>
      </c>
      <c r="P716" s="170">
        <f>0+táj.2!P716</f>
        <v>0</v>
      </c>
      <c r="Q716" s="170">
        <f>SUM(G716:P716)</f>
        <v>2000</v>
      </c>
    </row>
    <row r="717" spans="1:17" ht="15" customHeight="1" x14ac:dyDescent="0.2">
      <c r="A717" s="197"/>
      <c r="B717" s="197"/>
      <c r="C717" s="217"/>
      <c r="D717" s="172" t="s">
        <v>1259</v>
      </c>
      <c r="E717" s="208"/>
      <c r="F717" s="208"/>
      <c r="G717" s="170"/>
      <c r="H717" s="170"/>
      <c r="I717" s="170"/>
      <c r="J717" s="170"/>
      <c r="K717" s="170"/>
      <c r="L717" s="170"/>
      <c r="M717" s="170"/>
      <c r="N717" s="170"/>
      <c r="O717" s="170"/>
      <c r="P717" s="170"/>
      <c r="Q717" s="170"/>
    </row>
    <row r="718" spans="1:17" ht="15" customHeight="1" x14ac:dyDescent="0.2">
      <c r="A718" s="197"/>
      <c r="B718" s="197"/>
      <c r="C718" s="217"/>
      <c r="D718" s="172" t="s">
        <v>1260</v>
      </c>
      <c r="E718" s="208">
        <v>1</v>
      </c>
      <c r="F718" s="170">
        <v>181902</v>
      </c>
      <c r="G718" s="170">
        <f>0+táj.2!G718</f>
        <v>0</v>
      </c>
      <c r="H718" s="170">
        <f>0+táj.2!H718</f>
        <v>0</v>
      </c>
      <c r="I718" s="170">
        <f>300+táj.2!I718</f>
        <v>300</v>
      </c>
      <c r="J718" s="170">
        <f>0+táj.2!J718</f>
        <v>0</v>
      </c>
      <c r="K718" s="170">
        <f>0+táj.2!K718</f>
        <v>0</v>
      </c>
      <c r="L718" s="170">
        <f>0+táj.2!L718</f>
        <v>0</v>
      </c>
      <c r="M718" s="170">
        <f>0+táj.2!M718</f>
        <v>0</v>
      </c>
      <c r="N718" s="170">
        <f>0+táj.2!N718</f>
        <v>0</v>
      </c>
      <c r="O718" s="170">
        <f>0+táj.2!O718</f>
        <v>0</v>
      </c>
      <c r="P718" s="170">
        <f>0+táj.2!P718</f>
        <v>0</v>
      </c>
      <c r="Q718" s="170">
        <f>SUM(G718:P718)</f>
        <v>300</v>
      </c>
    </row>
    <row r="719" spans="1:17" ht="15" customHeight="1" x14ac:dyDescent="0.2">
      <c r="A719" s="197"/>
      <c r="B719" s="197"/>
      <c r="C719" s="217"/>
      <c r="D719" s="172" t="s">
        <v>1261</v>
      </c>
      <c r="E719" s="208">
        <v>1</v>
      </c>
      <c r="F719" s="170">
        <v>181903</v>
      </c>
      <c r="G719" s="170">
        <f>0+táj.2!G719</f>
        <v>0</v>
      </c>
      <c r="H719" s="170">
        <f>0+táj.2!H719</f>
        <v>0</v>
      </c>
      <c r="I719" s="170">
        <f>100+táj.2!I719</f>
        <v>100</v>
      </c>
      <c r="J719" s="170">
        <f>0+táj.2!J719</f>
        <v>0</v>
      </c>
      <c r="K719" s="170">
        <f>0+táj.2!K719</f>
        <v>0</v>
      </c>
      <c r="L719" s="170">
        <f>0+táj.2!L719</f>
        <v>0</v>
      </c>
      <c r="M719" s="170">
        <f>0+táj.2!M719</f>
        <v>0</v>
      </c>
      <c r="N719" s="170">
        <f>0+táj.2!N719</f>
        <v>0</v>
      </c>
      <c r="O719" s="170">
        <f>0+táj.2!O719</f>
        <v>0</v>
      </c>
      <c r="P719" s="170">
        <f>0+táj.2!P719</f>
        <v>0</v>
      </c>
      <c r="Q719" s="170">
        <f>SUM(G719:P719)</f>
        <v>100</v>
      </c>
    </row>
    <row r="720" spans="1:17" ht="14.1" customHeight="1" x14ac:dyDescent="0.2">
      <c r="A720" s="412"/>
      <c r="B720" s="412"/>
      <c r="C720" s="412"/>
      <c r="D720" s="314" t="s">
        <v>1262</v>
      </c>
      <c r="E720" s="170">
        <v>1</v>
      </c>
      <c r="F720" s="170">
        <v>181904</v>
      </c>
      <c r="G720" s="170">
        <f>0+táj.2!G720</f>
        <v>0</v>
      </c>
      <c r="H720" s="170">
        <f>0+táj.2!H720</f>
        <v>0</v>
      </c>
      <c r="I720" s="170">
        <f>300+táj.2!I720</f>
        <v>300</v>
      </c>
      <c r="J720" s="170">
        <f>0+táj.2!J720</f>
        <v>0</v>
      </c>
      <c r="K720" s="170">
        <f>0+táj.2!K720</f>
        <v>0</v>
      </c>
      <c r="L720" s="170">
        <f>0+táj.2!L720</f>
        <v>0</v>
      </c>
      <c r="M720" s="170">
        <f>0+táj.2!M720</f>
        <v>0</v>
      </c>
      <c r="N720" s="170">
        <f>0+táj.2!N720</f>
        <v>0</v>
      </c>
      <c r="O720" s="170">
        <f>0+táj.2!O720</f>
        <v>0</v>
      </c>
      <c r="P720" s="170">
        <f>0+táj.2!P720</f>
        <v>0</v>
      </c>
      <c r="Q720" s="170">
        <f>SUM(G720:P720)</f>
        <v>300</v>
      </c>
    </row>
    <row r="721" spans="1:17" ht="15" customHeight="1" x14ac:dyDescent="0.2">
      <c r="A721" s="227"/>
      <c r="B721" s="227"/>
      <c r="C721" s="225"/>
      <c r="D721" s="182" t="s">
        <v>1263</v>
      </c>
      <c r="E721" s="226"/>
      <c r="F721" s="226"/>
      <c r="G721" s="317">
        <f t="shared" ref="G721:Q721" si="43">SUM(G705:G720)</f>
        <v>149479</v>
      </c>
      <c r="H721" s="317">
        <f t="shared" si="43"/>
        <v>27014</v>
      </c>
      <c r="I721" s="317">
        <f t="shared" si="43"/>
        <v>82389</v>
      </c>
      <c r="J721" s="317">
        <f t="shared" si="43"/>
        <v>0</v>
      </c>
      <c r="K721" s="317">
        <f t="shared" si="43"/>
        <v>7000</v>
      </c>
      <c r="L721" s="317">
        <f t="shared" si="43"/>
        <v>198</v>
      </c>
      <c r="M721" s="317">
        <f t="shared" si="43"/>
        <v>0</v>
      </c>
      <c r="N721" s="317">
        <f t="shared" si="43"/>
        <v>0</v>
      </c>
      <c r="O721" s="317">
        <f t="shared" si="43"/>
        <v>0</v>
      </c>
      <c r="P721" s="317">
        <f t="shared" si="43"/>
        <v>0</v>
      </c>
      <c r="Q721" s="317">
        <f t="shared" si="43"/>
        <v>266080</v>
      </c>
    </row>
    <row r="722" spans="1:17" ht="15" customHeight="1" x14ac:dyDescent="0.2">
      <c r="A722" s="233"/>
      <c r="B722" s="233"/>
      <c r="C722" s="289"/>
      <c r="D722" s="318" t="s">
        <v>1264</v>
      </c>
      <c r="E722" s="232"/>
      <c r="F722" s="232"/>
      <c r="G722" s="202"/>
      <c r="H722" s="202"/>
      <c r="I722" s="202"/>
      <c r="J722" s="202"/>
      <c r="K722" s="202"/>
      <c r="L722" s="202"/>
      <c r="M722" s="202"/>
      <c r="N722" s="202"/>
      <c r="O722" s="202"/>
      <c r="P722" s="202"/>
      <c r="Q722" s="202"/>
    </row>
    <row r="723" spans="1:17" ht="15" customHeight="1" x14ac:dyDescent="0.2">
      <c r="A723" s="233"/>
      <c r="B723" s="233"/>
      <c r="C723" s="363" t="s">
        <v>125</v>
      </c>
      <c r="D723" s="609" t="s">
        <v>1265</v>
      </c>
      <c r="E723" s="414"/>
      <c r="F723" s="417">
        <v>182911</v>
      </c>
      <c r="G723" s="415">
        <f>0+táj.2!G723</f>
        <v>0</v>
      </c>
      <c r="H723" s="415">
        <f>0+táj.2!H723</f>
        <v>0</v>
      </c>
      <c r="I723" s="415">
        <f>0+táj.2!I723</f>
        <v>0</v>
      </c>
      <c r="J723" s="415">
        <f>0+táj.2!J723</f>
        <v>0</v>
      </c>
      <c r="K723" s="415">
        <f>0+táj.2!K723</f>
        <v>0</v>
      </c>
      <c r="L723" s="415">
        <f>2000+táj.2!L723</f>
        <v>1700</v>
      </c>
      <c r="M723" s="415">
        <f>0+táj.2!M723</f>
        <v>0</v>
      </c>
      <c r="N723" s="415">
        <f>0+táj.2!N723</f>
        <v>0</v>
      </c>
      <c r="O723" s="415">
        <f>0+táj.2!O723</f>
        <v>0</v>
      </c>
      <c r="P723" s="415">
        <f>0+táj.2!P723</f>
        <v>0</v>
      </c>
      <c r="Q723" s="202">
        <f>SUM(L723:P723)</f>
        <v>1700</v>
      </c>
    </row>
    <row r="724" spans="1:17" ht="15" customHeight="1" x14ac:dyDescent="0.2">
      <c r="A724" s="233"/>
      <c r="B724" s="233"/>
      <c r="C724" s="416"/>
      <c r="D724" s="314" t="s">
        <v>502</v>
      </c>
      <c r="E724" s="414"/>
      <c r="F724" s="417"/>
      <c r="G724" s="415"/>
      <c r="H724" s="415"/>
      <c r="I724" s="415"/>
      <c r="J724" s="415"/>
      <c r="K724" s="415"/>
      <c r="L724" s="415"/>
      <c r="M724" s="415"/>
      <c r="N724" s="415"/>
      <c r="O724" s="202"/>
      <c r="P724" s="202"/>
      <c r="Q724" s="202"/>
    </row>
    <row r="725" spans="1:17" ht="15" customHeight="1" x14ac:dyDescent="0.2">
      <c r="A725" s="233"/>
      <c r="B725" s="233"/>
      <c r="C725" s="217" t="s">
        <v>503</v>
      </c>
      <c r="D725" s="322" t="s">
        <v>1266</v>
      </c>
      <c r="E725" s="406"/>
      <c r="F725" s="418">
        <v>182905</v>
      </c>
      <c r="G725" s="415">
        <f>0+táj.2!G725</f>
        <v>0</v>
      </c>
      <c r="H725" s="415">
        <f>0+táj.2!H725</f>
        <v>0</v>
      </c>
      <c r="I725" s="415">
        <f>0+táj.2!I725</f>
        <v>0</v>
      </c>
      <c r="J725" s="415">
        <f>0+táj.2!J725</f>
        <v>0</v>
      </c>
      <c r="K725" s="415">
        <f>0+táj.2!K725</f>
        <v>0</v>
      </c>
      <c r="L725" s="415">
        <f>8065+táj.2!L725</f>
        <v>8065</v>
      </c>
      <c r="M725" s="415">
        <f>0+táj.2!M725</f>
        <v>0</v>
      </c>
      <c r="N725" s="415">
        <f>0+táj.2!N725</f>
        <v>0</v>
      </c>
      <c r="O725" s="415">
        <f>0+táj.2!O725</f>
        <v>0</v>
      </c>
      <c r="P725" s="415">
        <f>0+táj.2!P725</f>
        <v>0</v>
      </c>
      <c r="Q725" s="202">
        <f>SUM(G725:P725)</f>
        <v>8065</v>
      </c>
    </row>
    <row r="726" spans="1:17" ht="15" customHeight="1" x14ac:dyDescent="0.2">
      <c r="A726" s="227"/>
      <c r="B726" s="227"/>
      <c r="C726" s="225"/>
      <c r="D726" s="182" t="s">
        <v>1267</v>
      </c>
      <c r="E726" s="226"/>
      <c r="F726" s="226"/>
      <c r="G726" s="317">
        <f t="shared" ref="G726:Q726" si="44">SUM(G721:G725)</f>
        <v>149479</v>
      </c>
      <c r="H726" s="317">
        <f t="shared" si="44"/>
        <v>27014</v>
      </c>
      <c r="I726" s="317">
        <f t="shared" si="44"/>
        <v>82389</v>
      </c>
      <c r="J726" s="317">
        <f t="shared" si="44"/>
        <v>0</v>
      </c>
      <c r="K726" s="317">
        <f t="shared" si="44"/>
        <v>7000</v>
      </c>
      <c r="L726" s="317">
        <f t="shared" si="44"/>
        <v>9963</v>
      </c>
      <c r="M726" s="317">
        <f t="shared" si="44"/>
        <v>0</v>
      </c>
      <c r="N726" s="317">
        <f t="shared" si="44"/>
        <v>0</v>
      </c>
      <c r="O726" s="317">
        <f t="shared" si="44"/>
        <v>0</v>
      </c>
      <c r="P726" s="317">
        <f t="shared" si="44"/>
        <v>0</v>
      </c>
      <c r="Q726" s="317">
        <f t="shared" si="44"/>
        <v>275845</v>
      </c>
    </row>
    <row r="727" spans="1:17" ht="15" customHeight="1" x14ac:dyDescent="0.2">
      <c r="A727" s="197">
        <v>1</v>
      </c>
      <c r="B727" s="197">
        <v>19</v>
      </c>
      <c r="C727" s="217"/>
      <c r="D727" s="307" t="s">
        <v>1268</v>
      </c>
      <c r="E727" s="230"/>
      <c r="F727" s="230"/>
      <c r="G727" s="170"/>
      <c r="H727" s="202"/>
      <c r="I727" s="202"/>
      <c r="J727" s="202"/>
      <c r="K727" s="202"/>
      <c r="L727" s="202"/>
      <c r="M727" s="170"/>
      <c r="N727" s="170"/>
      <c r="O727" s="170"/>
      <c r="P727" s="170"/>
      <c r="Q727" s="170"/>
    </row>
    <row r="728" spans="1:17" ht="15" customHeight="1" x14ac:dyDescent="0.2">
      <c r="A728" s="197"/>
      <c r="B728" s="197"/>
      <c r="C728" s="217"/>
      <c r="D728" s="325" t="s">
        <v>1269</v>
      </c>
      <c r="E728" s="235"/>
      <c r="F728" s="235"/>
      <c r="G728" s="170"/>
      <c r="H728" s="202"/>
      <c r="I728" s="202"/>
      <c r="J728" s="202"/>
      <c r="K728" s="202"/>
      <c r="L728" s="202"/>
      <c r="M728" s="170"/>
      <c r="N728" s="170"/>
      <c r="O728" s="170"/>
      <c r="P728" s="170"/>
      <c r="Q728" s="170"/>
    </row>
    <row r="729" spans="1:17" ht="15" customHeight="1" x14ac:dyDescent="0.2">
      <c r="A729" s="197"/>
      <c r="B729" s="197"/>
      <c r="C729" s="217"/>
      <c r="D729" s="314" t="s">
        <v>1270</v>
      </c>
      <c r="E729" s="208">
        <v>1</v>
      </c>
      <c r="F729" s="170">
        <v>191101</v>
      </c>
      <c r="G729" s="170">
        <f>0+táj.2!G729</f>
        <v>0</v>
      </c>
      <c r="H729" s="170">
        <f>0+táj.2!H729</f>
        <v>0</v>
      </c>
      <c r="I729" s="170">
        <f>0+táj.2!I729</f>
        <v>0</v>
      </c>
      <c r="J729" s="170">
        <f>0+táj.2!J729</f>
        <v>0</v>
      </c>
      <c r="K729" s="170">
        <f>6000+táj.2!K729</f>
        <v>6000</v>
      </c>
      <c r="L729" s="170">
        <f>0+táj.2!L729</f>
        <v>0</v>
      </c>
      <c r="M729" s="170">
        <f>0+táj.2!M729</f>
        <v>0</v>
      </c>
      <c r="N729" s="170">
        <f>0+táj.2!N729</f>
        <v>0</v>
      </c>
      <c r="O729" s="170">
        <f>0+táj.2!O729</f>
        <v>0</v>
      </c>
      <c r="P729" s="170">
        <f>0+táj.2!P729</f>
        <v>0</v>
      </c>
      <c r="Q729" s="170">
        <f>SUM(G729:P729)</f>
        <v>6000</v>
      </c>
    </row>
    <row r="730" spans="1:17" ht="15" customHeight="1" x14ac:dyDescent="0.2">
      <c r="A730" s="197"/>
      <c r="B730" s="197"/>
      <c r="C730" s="217"/>
      <c r="D730" s="314" t="s">
        <v>1271</v>
      </c>
      <c r="E730" s="208">
        <v>1</v>
      </c>
      <c r="F730" s="170">
        <v>191901</v>
      </c>
      <c r="G730" s="170">
        <f>0+táj.2!G730</f>
        <v>0</v>
      </c>
      <c r="H730" s="170">
        <f>0+táj.2!H730</f>
        <v>0</v>
      </c>
      <c r="I730" s="170">
        <f>0+táj.2!I730</f>
        <v>0</v>
      </c>
      <c r="J730" s="170">
        <f>0+táj.2!J730</f>
        <v>0</v>
      </c>
      <c r="K730" s="170">
        <f>0+táj.2!K730</f>
        <v>0</v>
      </c>
      <c r="L730" s="170">
        <f>0+táj.2!L730</f>
        <v>0</v>
      </c>
      <c r="M730" s="170">
        <f>0+táj.2!M730</f>
        <v>0</v>
      </c>
      <c r="N730" s="170">
        <f>0+táj.2!N730</f>
        <v>0</v>
      </c>
      <c r="O730" s="170">
        <f>0+táj.2!O730</f>
        <v>0</v>
      </c>
      <c r="P730" s="170">
        <f>99786+táj.2!P730</f>
        <v>99786</v>
      </c>
      <c r="Q730" s="170">
        <f>SUM(G730:P730)</f>
        <v>99786</v>
      </c>
    </row>
    <row r="731" spans="1:17" ht="15" customHeight="1" x14ac:dyDescent="0.2">
      <c r="A731" s="197"/>
      <c r="B731" s="197"/>
      <c r="C731" s="217"/>
      <c r="D731" s="314" t="s">
        <v>1272</v>
      </c>
      <c r="E731" s="208">
        <v>1</v>
      </c>
      <c r="F731" s="170">
        <v>191901</v>
      </c>
      <c r="G731" s="170">
        <f>0+táj.2!G731</f>
        <v>0</v>
      </c>
      <c r="H731" s="170">
        <f>0+táj.2!H731</f>
        <v>0</v>
      </c>
      <c r="I731" s="170">
        <f>0+táj.2!I731</f>
        <v>0</v>
      </c>
      <c r="J731" s="170">
        <f>0+táj.2!J731</f>
        <v>0</v>
      </c>
      <c r="K731" s="170">
        <f>0+táj.2!K731</f>
        <v>0</v>
      </c>
      <c r="L731" s="170">
        <f>0+táj.2!L731</f>
        <v>0</v>
      </c>
      <c r="M731" s="170">
        <f>0+táj.2!M731</f>
        <v>0</v>
      </c>
      <c r="N731" s="170">
        <f>0+táj.2!N731</f>
        <v>0</v>
      </c>
      <c r="O731" s="170">
        <f>0+táj.2!O731</f>
        <v>0</v>
      </c>
      <c r="P731" s="170">
        <f>0+táj.2!P731</f>
        <v>0</v>
      </c>
      <c r="Q731" s="170">
        <f>SUM(G731:P731)</f>
        <v>0</v>
      </c>
    </row>
    <row r="732" spans="1:17" ht="15" customHeight="1" x14ac:dyDescent="0.2">
      <c r="A732" s="708"/>
      <c r="B732" s="708"/>
      <c r="C732" s="709"/>
      <c r="D732" s="758" t="s">
        <v>1426</v>
      </c>
      <c r="E732" s="757">
        <v>1</v>
      </c>
      <c r="F732" s="712">
        <v>191901</v>
      </c>
      <c r="G732" s="170">
        <f>0+táj.2!G732</f>
        <v>0</v>
      </c>
      <c r="H732" s="170">
        <f>0+táj.2!H732</f>
        <v>0</v>
      </c>
      <c r="I732" s="170">
        <f>0+táj.2!I732</f>
        <v>0</v>
      </c>
      <c r="J732" s="170">
        <f>0+táj.2!J732</f>
        <v>0</v>
      </c>
      <c r="K732" s="170">
        <f>0+táj.2!K732</f>
        <v>0</v>
      </c>
      <c r="L732" s="170">
        <f>0+táj.2!L732</f>
        <v>0</v>
      </c>
      <c r="M732" s="170">
        <f>0+táj.2!M732</f>
        <v>0</v>
      </c>
      <c r="N732" s="170">
        <f>0+táj.2!N732</f>
        <v>0</v>
      </c>
      <c r="O732" s="170">
        <f>0+táj.2!O732</f>
        <v>0</v>
      </c>
      <c r="P732" s="170">
        <f>1519+táj.2!P732</f>
        <v>1519</v>
      </c>
      <c r="Q732" s="170">
        <f>SUM(G732:P732)</f>
        <v>1519</v>
      </c>
    </row>
    <row r="733" spans="1:17" ht="15" customHeight="1" x14ac:dyDescent="0.2">
      <c r="A733" s="197"/>
      <c r="B733" s="197"/>
      <c r="C733" s="217"/>
      <c r="D733" s="177" t="s">
        <v>333</v>
      </c>
      <c r="E733" s="241"/>
      <c r="F733" s="241"/>
      <c r="G733" s="170"/>
      <c r="H733" s="170"/>
      <c r="I733" s="170"/>
      <c r="J733" s="170"/>
      <c r="K733" s="170"/>
      <c r="L733" s="170"/>
      <c r="M733" s="170"/>
      <c r="N733" s="170"/>
      <c r="O733" s="170"/>
      <c r="P733" s="170"/>
      <c r="Q733" s="170"/>
    </row>
    <row r="734" spans="1:17" ht="15" customHeight="1" x14ac:dyDescent="0.2">
      <c r="A734" s="197"/>
      <c r="B734" s="197"/>
      <c r="C734" s="217"/>
      <c r="D734" s="314" t="s">
        <v>1273</v>
      </c>
      <c r="E734" s="208">
        <v>1</v>
      </c>
      <c r="F734" s="170">
        <v>191102</v>
      </c>
      <c r="G734" s="170">
        <f>0+táj.2!G734</f>
        <v>0</v>
      </c>
      <c r="H734" s="170">
        <f>0+táj.2!H734</f>
        <v>0</v>
      </c>
      <c r="I734" s="170">
        <f>25000+táj.2!I734</f>
        <v>25000</v>
      </c>
      <c r="J734" s="170">
        <f>0+táj.2!J734</f>
        <v>0</v>
      </c>
      <c r="K734" s="170">
        <f>0+táj.2!K734</f>
        <v>0</v>
      </c>
      <c r="L734" s="170">
        <f>0+táj.2!L734</f>
        <v>0</v>
      </c>
      <c r="M734" s="170">
        <f>0+táj.2!M734</f>
        <v>0</v>
      </c>
      <c r="N734" s="170">
        <f>0+táj.2!N734</f>
        <v>0</v>
      </c>
      <c r="O734" s="170">
        <f>0+táj.2!O734</f>
        <v>0</v>
      </c>
      <c r="P734" s="170">
        <f>0+táj.2!P734</f>
        <v>0</v>
      </c>
      <c r="Q734" s="170">
        <f>SUM(G734:P734)</f>
        <v>25000</v>
      </c>
    </row>
    <row r="735" spans="1:17" ht="15" customHeight="1" x14ac:dyDescent="0.2">
      <c r="A735" s="197"/>
      <c r="B735" s="197"/>
      <c r="C735" s="217"/>
      <c r="D735" s="314" t="s">
        <v>1274</v>
      </c>
      <c r="E735" s="170">
        <v>1</v>
      </c>
      <c r="F735" s="170">
        <v>191103</v>
      </c>
      <c r="G735" s="170">
        <f>0+táj.2!G735</f>
        <v>0</v>
      </c>
      <c r="H735" s="170">
        <f>0+táj.2!H735</f>
        <v>0</v>
      </c>
      <c r="I735" s="170">
        <f>284885+táj.2!I735</f>
        <v>303446</v>
      </c>
      <c r="J735" s="170">
        <f>0+táj.2!J735</f>
        <v>0</v>
      </c>
      <c r="K735" s="170">
        <f>0+táj.2!K735</f>
        <v>0</v>
      </c>
      <c r="L735" s="170">
        <f>0+táj.2!L735</f>
        <v>0</v>
      </c>
      <c r="M735" s="170">
        <f>0+táj.2!M735</f>
        <v>0</v>
      </c>
      <c r="N735" s="170">
        <f>0+táj.2!N735</f>
        <v>0</v>
      </c>
      <c r="O735" s="170">
        <f>0+táj.2!O735</f>
        <v>0</v>
      </c>
      <c r="P735" s="170">
        <f>0+táj.2!P735</f>
        <v>0</v>
      </c>
      <c r="Q735" s="170">
        <f>SUM(G735:P735)</f>
        <v>303446</v>
      </c>
    </row>
    <row r="736" spans="1:17" ht="15" customHeight="1" x14ac:dyDescent="0.2">
      <c r="A736" s="197"/>
      <c r="B736" s="197"/>
      <c r="C736" s="217"/>
      <c r="D736" s="314" t="s">
        <v>1275</v>
      </c>
      <c r="E736" s="170">
        <v>1</v>
      </c>
      <c r="F736" s="170">
        <v>191105</v>
      </c>
      <c r="G736" s="170">
        <f>0+táj.2!G736</f>
        <v>0</v>
      </c>
      <c r="H736" s="170">
        <f>0+táj.2!H736</f>
        <v>0</v>
      </c>
      <c r="I736" s="170">
        <f>3600+táj.2!I736</f>
        <v>3600</v>
      </c>
      <c r="J736" s="170">
        <f>0+táj.2!J736</f>
        <v>0</v>
      </c>
      <c r="K736" s="170">
        <f>0+táj.2!K736</f>
        <v>0</v>
      </c>
      <c r="L736" s="170">
        <f>0+táj.2!L736</f>
        <v>0</v>
      </c>
      <c r="M736" s="170">
        <f>0+táj.2!M736</f>
        <v>0</v>
      </c>
      <c r="N736" s="170">
        <f>0+táj.2!N736</f>
        <v>0</v>
      </c>
      <c r="O736" s="170">
        <f>0+táj.2!O736</f>
        <v>0</v>
      </c>
      <c r="P736" s="170">
        <f>0+táj.2!P736</f>
        <v>0</v>
      </c>
      <c r="Q736" s="170">
        <f>SUM(G736:P736)</f>
        <v>3600</v>
      </c>
    </row>
    <row r="737" spans="1:17" ht="15" customHeight="1" x14ac:dyDescent="0.2">
      <c r="A737" s="197"/>
      <c r="B737" s="197"/>
      <c r="C737" s="217"/>
      <c r="D737" s="314" t="s">
        <v>1276</v>
      </c>
      <c r="E737" s="170">
        <v>1</v>
      </c>
      <c r="F737" s="170">
        <v>196901</v>
      </c>
      <c r="G737" s="170">
        <f>0+táj.2!G737</f>
        <v>0</v>
      </c>
      <c r="H737" s="170">
        <f>0+táj.2!H737</f>
        <v>0</v>
      </c>
      <c r="I737" s="170">
        <f>400+táj.2!I737</f>
        <v>400</v>
      </c>
      <c r="J737" s="170">
        <f>0+táj.2!J737</f>
        <v>0</v>
      </c>
      <c r="K737" s="170">
        <f>0+táj.2!K737</f>
        <v>0</v>
      </c>
      <c r="L737" s="170">
        <f>0+táj.2!L737</f>
        <v>0</v>
      </c>
      <c r="M737" s="170">
        <f>0+táj.2!M737</f>
        <v>0</v>
      </c>
      <c r="N737" s="170">
        <f>5000+táj.2!N737</f>
        <v>5000</v>
      </c>
      <c r="O737" s="170">
        <f>0+táj.2!O737</f>
        <v>0</v>
      </c>
      <c r="P737" s="170">
        <f>0+táj.2!P737</f>
        <v>0</v>
      </c>
      <c r="Q737" s="170">
        <f>SUM(G737:P737)</f>
        <v>5400</v>
      </c>
    </row>
    <row r="738" spans="1:17" ht="23.25" customHeight="1" x14ac:dyDescent="0.2">
      <c r="A738" s="862"/>
      <c r="B738" s="862"/>
      <c r="C738" s="856"/>
      <c r="D738" s="871" t="s">
        <v>1484</v>
      </c>
      <c r="E738" s="858">
        <v>2</v>
      </c>
      <c r="F738" s="858">
        <v>191158</v>
      </c>
      <c r="G738" s="170">
        <f>0+táj.2!G738</f>
        <v>0</v>
      </c>
      <c r="H738" s="170">
        <f>0+táj.2!H738</f>
        <v>0</v>
      </c>
      <c r="I738" s="170">
        <f>0+táj.2!I738</f>
        <v>0</v>
      </c>
      <c r="J738" s="170">
        <f>0+táj.2!J738</f>
        <v>0</v>
      </c>
      <c r="K738" s="170">
        <f>0+táj.2!K738</f>
        <v>27000</v>
      </c>
      <c r="L738" s="170">
        <f>0+táj.2!L738</f>
        <v>0</v>
      </c>
      <c r="M738" s="170">
        <f>0+táj.2!M738</f>
        <v>0</v>
      </c>
      <c r="N738" s="170">
        <f>0+táj.2!N738</f>
        <v>0</v>
      </c>
      <c r="O738" s="170">
        <f>0+táj.2!O738</f>
        <v>0</v>
      </c>
      <c r="P738" s="170">
        <f>0+táj.2!P738</f>
        <v>0</v>
      </c>
      <c r="Q738" s="170">
        <f>SUM(G738:P738)</f>
        <v>27000</v>
      </c>
    </row>
    <row r="739" spans="1:17" ht="15" customHeight="1" x14ac:dyDescent="0.2">
      <c r="A739" s="197"/>
      <c r="B739" s="197"/>
      <c r="C739" s="217"/>
      <c r="D739" s="314" t="s">
        <v>342</v>
      </c>
      <c r="E739" s="170"/>
      <c r="F739" s="170"/>
      <c r="G739" s="170"/>
      <c r="H739" s="170"/>
      <c r="I739" s="170"/>
      <c r="J739" s="170"/>
      <c r="K739" s="170"/>
      <c r="L739" s="170"/>
      <c r="M739" s="170"/>
      <c r="N739" s="170"/>
      <c r="O739" s="170"/>
      <c r="P739" s="170"/>
      <c r="Q739" s="170"/>
    </row>
    <row r="740" spans="1:17" ht="15" customHeight="1" x14ac:dyDescent="0.2">
      <c r="A740" s="197"/>
      <c r="B740" s="197"/>
      <c r="C740" s="217"/>
      <c r="D740" s="314" t="s">
        <v>1277</v>
      </c>
      <c r="E740" s="170">
        <v>1</v>
      </c>
      <c r="F740" s="170">
        <v>191104</v>
      </c>
      <c r="G740" s="170">
        <f>0+táj.2!G740</f>
        <v>0</v>
      </c>
      <c r="H740" s="170">
        <f>0+táj.2!H740</f>
        <v>0</v>
      </c>
      <c r="I740" s="170">
        <f>4400+táj.2!I740</f>
        <v>4400</v>
      </c>
      <c r="J740" s="170">
        <f>0+táj.2!J740</f>
        <v>0</v>
      </c>
      <c r="K740" s="170">
        <f>0+táj.2!K740</f>
        <v>0</v>
      </c>
      <c r="L740" s="170">
        <f>0+táj.2!L740</f>
        <v>0</v>
      </c>
      <c r="M740" s="170">
        <f>0+táj.2!M740</f>
        <v>0</v>
      </c>
      <c r="N740" s="170">
        <f>0+táj.2!N740</f>
        <v>0</v>
      </c>
      <c r="O740" s="170">
        <f>0+táj.2!O740</f>
        <v>0</v>
      </c>
      <c r="P740" s="170">
        <f>0+táj.2!P740</f>
        <v>0</v>
      </c>
      <c r="Q740" s="170">
        <f>SUM(G740:P740)</f>
        <v>4400</v>
      </c>
    </row>
    <row r="741" spans="1:17" ht="14.1" customHeight="1" x14ac:dyDescent="0.2">
      <c r="A741" s="197"/>
      <c r="B741" s="197"/>
      <c r="C741" s="217"/>
      <c r="D741" s="419" t="s">
        <v>1278</v>
      </c>
      <c r="E741" s="170"/>
      <c r="F741" s="170"/>
      <c r="G741" s="170"/>
      <c r="H741" s="170"/>
      <c r="I741" s="170"/>
      <c r="J741" s="170"/>
      <c r="K741" s="170"/>
      <c r="L741" s="170"/>
      <c r="M741" s="170"/>
      <c r="N741" s="170"/>
      <c r="O741" s="170"/>
      <c r="P741" s="170"/>
      <c r="Q741" s="170"/>
    </row>
    <row r="742" spans="1:17" ht="14.1" customHeight="1" x14ac:dyDescent="0.2">
      <c r="A742" s="197"/>
      <c r="B742" s="197"/>
      <c r="C742" s="217"/>
      <c r="D742" s="314" t="s">
        <v>1279</v>
      </c>
      <c r="E742" s="170">
        <v>2</v>
      </c>
      <c r="F742" s="170">
        <v>191109</v>
      </c>
      <c r="G742" s="170">
        <f>0+táj.2!G742</f>
        <v>0</v>
      </c>
      <c r="H742" s="170">
        <f>0+táj.2!H742</f>
        <v>0</v>
      </c>
      <c r="I742" s="170">
        <f>0+táj.2!I742</f>
        <v>0</v>
      </c>
      <c r="J742" s="170">
        <f>0+táj.2!J742</f>
        <v>0</v>
      </c>
      <c r="K742" s="170">
        <f>5000+táj.2!K742</f>
        <v>5000</v>
      </c>
      <c r="L742" s="170">
        <f>0+táj.2!L742</f>
        <v>0</v>
      </c>
      <c r="M742" s="170">
        <f>0+táj.2!M742</f>
        <v>0</v>
      </c>
      <c r="N742" s="170">
        <f>0+táj.2!N742</f>
        <v>0</v>
      </c>
      <c r="O742" s="170">
        <f>0+táj.2!O742</f>
        <v>0</v>
      </c>
      <c r="P742" s="170">
        <f>0+táj.2!P742</f>
        <v>0</v>
      </c>
      <c r="Q742" s="170">
        <f>SUM(G742:P742)</f>
        <v>5000</v>
      </c>
    </row>
    <row r="743" spans="1:17" ht="14.1" customHeight="1" x14ac:dyDescent="0.2">
      <c r="A743" s="197"/>
      <c r="B743" s="197"/>
      <c r="C743" s="217"/>
      <c r="D743" s="314" t="s">
        <v>1280</v>
      </c>
      <c r="E743" s="170">
        <v>2</v>
      </c>
      <c r="F743" s="170">
        <v>191159</v>
      </c>
      <c r="G743" s="170">
        <f>0+táj.2!G743</f>
        <v>0</v>
      </c>
      <c r="H743" s="170">
        <f>0+táj.2!H743</f>
        <v>0</v>
      </c>
      <c r="I743" s="170">
        <f>0+táj.2!I743</f>
        <v>0</v>
      </c>
      <c r="J743" s="170">
        <f>0+táj.2!J743</f>
        <v>0</v>
      </c>
      <c r="K743" s="170">
        <f>500+táj.2!K743</f>
        <v>500</v>
      </c>
      <c r="L743" s="170">
        <f>0+táj.2!L743</f>
        <v>0</v>
      </c>
      <c r="M743" s="170">
        <f>0+táj.2!M743</f>
        <v>0</v>
      </c>
      <c r="N743" s="170">
        <f>0+táj.2!N743</f>
        <v>0</v>
      </c>
      <c r="O743" s="170">
        <f>0+táj.2!O743</f>
        <v>0</v>
      </c>
      <c r="P743" s="170">
        <f>0+táj.2!P743</f>
        <v>0</v>
      </c>
      <c r="Q743" s="170">
        <f>SUM(G743:P743)</f>
        <v>500</v>
      </c>
    </row>
    <row r="744" spans="1:17" ht="14.1" customHeight="1" x14ac:dyDescent="0.2">
      <c r="A744" s="197"/>
      <c r="B744" s="197"/>
      <c r="C744" s="217"/>
      <c r="D744" s="314" t="s">
        <v>1281</v>
      </c>
      <c r="E744" s="170"/>
      <c r="F744" s="170"/>
      <c r="G744" s="170"/>
      <c r="H744" s="170"/>
      <c r="I744" s="170"/>
      <c r="J744" s="170"/>
      <c r="K744" s="170"/>
      <c r="L744" s="170"/>
      <c r="M744" s="170"/>
      <c r="N744" s="170"/>
      <c r="O744" s="170"/>
      <c r="P744" s="170"/>
      <c r="Q744" s="170"/>
    </row>
    <row r="745" spans="1:17" ht="14.1" customHeight="1" x14ac:dyDescent="0.2">
      <c r="A745" s="197"/>
      <c r="B745" s="197"/>
      <c r="C745" s="217"/>
      <c r="D745" s="314" t="s">
        <v>1282</v>
      </c>
      <c r="E745" s="170">
        <v>2</v>
      </c>
      <c r="F745" s="170">
        <v>191401</v>
      </c>
      <c r="G745" s="170">
        <f>0+táj.2!G745</f>
        <v>0</v>
      </c>
      <c r="H745" s="170">
        <f>0+táj.2!H745</f>
        <v>0</v>
      </c>
      <c r="I745" s="170">
        <f>0+táj.2!I745</f>
        <v>0</v>
      </c>
      <c r="J745" s="170">
        <f>0+táj.2!J745</f>
        <v>0</v>
      </c>
      <c r="K745" s="170">
        <f>1500+táj.2!K745</f>
        <v>1500</v>
      </c>
      <c r="L745" s="170">
        <f>0+táj.2!L745</f>
        <v>0</v>
      </c>
      <c r="M745" s="170">
        <f>0+táj.2!M745</f>
        <v>0</v>
      </c>
      <c r="N745" s="170">
        <f>0+táj.2!N745</f>
        <v>0</v>
      </c>
      <c r="O745" s="170">
        <f>0+táj.2!O745</f>
        <v>0</v>
      </c>
      <c r="P745" s="170">
        <f>0+táj.2!P745</f>
        <v>0</v>
      </c>
      <c r="Q745" s="170">
        <f>SUM(G745:P745)</f>
        <v>1500</v>
      </c>
    </row>
    <row r="746" spans="1:17" ht="15" customHeight="1" x14ac:dyDescent="0.2">
      <c r="A746" s="197"/>
      <c r="B746" s="197"/>
      <c r="C746" s="217"/>
      <c r="D746" s="177" t="s">
        <v>333</v>
      </c>
      <c r="E746" s="241"/>
      <c r="F746" s="241"/>
      <c r="G746" s="170"/>
      <c r="H746" s="170"/>
      <c r="I746" s="170"/>
      <c r="J746" s="170"/>
      <c r="K746" s="170"/>
      <c r="L746" s="170"/>
      <c r="M746" s="170"/>
      <c r="N746" s="170"/>
      <c r="O746" s="170"/>
      <c r="P746" s="170"/>
      <c r="Q746" s="170"/>
    </row>
    <row r="747" spans="1:17" ht="24" customHeight="1" x14ac:dyDescent="0.2">
      <c r="A747" s="197"/>
      <c r="B747" s="197"/>
      <c r="C747" s="217"/>
      <c r="D747" s="171" t="s">
        <v>1283</v>
      </c>
      <c r="E747" s="208">
        <v>1</v>
      </c>
      <c r="F747" s="170">
        <v>191905</v>
      </c>
      <c r="G747" s="170">
        <f>0+táj.2!G747</f>
        <v>0</v>
      </c>
      <c r="H747" s="170">
        <f>0+táj.2!H747</f>
        <v>0</v>
      </c>
      <c r="I747" s="170">
        <f>0+táj.2!I747</f>
        <v>0</v>
      </c>
      <c r="J747" s="170">
        <f>0+táj.2!J747</f>
        <v>0</v>
      </c>
      <c r="K747" s="170">
        <f>438448+táj.2!K747</f>
        <v>463583</v>
      </c>
      <c r="L747" s="170">
        <f>0+táj.2!L747</f>
        <v>0</v>
      </c>
      <c r="M747" s="170">
        <f>0+táj.2!M747</f>
        <v>0</v>
      </c>
      <c r="N747" s="170">
        <f>0+táj.2!N747</f>
        <v>0</v>
      </c>
      <c r="O747" s="170">
        <f>0+táj.2!O747</f>
        <v>0</v>
      </c>
      <c r="P747" s="170">
        <f>0+táj.2!P747</f>
        <v>0</v>
      </c>
      <c r="Q747" s="170">
        <f>SUM(G747:P747)</f>
        <v>463583</v>
      </c>
    </row>
    <row r="748" spans="1:17" ht="15" customHeight="1" x14ac:dyDescent="0.2">
      <c r="A748" s="197"/>
      <c r="B748" s="197"/>
      <c r="C748" s="217"/>
      <c r="D748" s="177" t="s">
        <v>333</v>
      </c>
      <c r="E748" s="241"/>
      <c r="F748" s="241"/>
      <c r="G748" s="170"/>
      <c r="H748" s="170"/>
      <c r="I748" s="170"/>
      <c r="J748" s="170"/>
      <c r="K748" s="170"/>
      <c r="L748" s="170"/>
      <c r="M748" s="170"/>
      <c r="N748" s="170"/>
      <c r="O748" s="170"/>
      <c r="P748" s="170"/>
      <c r="Q748" s="170"/>
    </row>
    <row r="749" spans="1:17" ht="14.1" customHeight="1" x14ac:dyDescent="0.2">
      <c r="A749" s="197"/>
      <c r="B749" s="197"/>
      <c r="C749" s="217"/>
      <c r="D749" s="314" t="s">
        <v>1284</v>
      </c>
      <c r="E749" s="170">
        <v>1</v>
      </c>
      <c r="F749" s="170">
        <v>191121</v>
      </c>
      <c r="G749" s="170">
        <f>0+táj.2!G749</f>
        <v>0</v>
      </c>
      <c r="H749" s="170">
        <f>0+táj.2!H749</f>
        <v>0</v>
      </c>
      <c r="I749" s="170">
        <f>15912+táj.2!I749</f>
        <v>15912</v>
      </c>
      <c r="J749" s="170">
        <f>0+táj.2!J749</f>
        <v>0</v>
      </c>
      <c r="K749" s="170">
        <f>0+táj.2!K749</f>
        <v>0</v>
      </c>
      <c r="L749" s="170">
        <f>0+táj.2!L749</f>
        <v>0</v>
      </c>
      <c r="M749" s="170">
        <f>0+táj.2!M749</f>
        <v>0</v>
      </c>
      <c r="N749" s="170">
        <f>0+táj.2!N749</f>
        <v>0</v>
      </c>
      <c r="O749" s="170">
        <f>0+táj.2!O749</f>
        <v>0</v>
      </c>
      <c r="P749" s="170">
        <f>0+táj.2!P749</f>
        <v>0</v>
      </c>
      <c r="Q749" s="170">
        <f>SUM(G749:P749)</f>
        <v>15912</v>
      </c>
    </row>
    <row r="750" spans="1:17" ht="24.75" customHeight="1" x14ac:dyDescent="0.2">
      <c r="A750" s="197"/>
      <c r="B750" s="197"/>
      <c r="C750" s="217"/>
      <c r="D750" s="172" t="s">
        <v>440</v>
      </c>
      <c r="E750" s="241"/>
      <c r="F750" s="241"/>
      <c r="G750" s="170"/>
      <c r="H750" s="170"/>
      <c r="I750" s="170"/>
      <c r="J750" s="170"/>
      <c r="K750" s="170"/>
      <c r="L750" s="170"/>
      <c r="M750" s="170"/>
      <c r="N750" s="170"/>
      <c r="O750" s="170"/>
      <c r="P750" s="170"/>
      <c r="Q750" s="170"/>
    </row>
    <row r="751" spans="1:17" ht="30.75" customHeight="1" x14ac:dyDescent="0.2">
      <c r="A751" s="197"/>
      <c r="B751" s="197"/>
      <c r="C751" s="217"/>
      <c r="D751" s="172" t="s">
        <v>1285</v>
      </c>
      <c r="E751" s="241">
        <v>1</v>
      </c>
      <c r="F751" s="250">
        <v>191152</v>
      </c>
      <c r="G751" s="170">
        <f>0+táj.2!G751</f>
        <v>0</v>
      </c>
      <c r="H751" s="170">
        <f>0+táj.2!H751</f>
        <v>0</v>
      </c>
      <c r="I751" s="170">
        <f>25467+táj.2!I751</f>
        <v>25467</v>
      </c>
      <c r="J751" s="170">
        <f>0+táj.2!J751</f>
        <v>0</v>
      </c>
      <c r="K751" s="170">
        <f>0+táj.2!K751</f>
        <v>0</v>
      </c>
      <c r="L751" s="170">
        <f>0+táj.2!L751</f>
        <v>0</v>
      </c>
      <c r="M751" s="170">
        <f>0+táj.2!M751</f>
        <v>0</v>
      </c>
      <c r="N751" s="170">
        <f>0+táj.2!N751</f>
        <v>0</v>
      </c>
      <c r="O751" s="170">
        <f>104052+táj.2!O751</f>
        <v>104052</v>
      </c>
      <c r="P751" s="170">
        <f>0+táj.2!P751</f>
        <v>0</v>
      </c>
      <c r="Q751" s="170">
        <f>SUM(G751:P751)</f>
        <v>129519</v>
      </c>
    </row>
    <row r="752" spans="1:17" ht="27.75" customHeight="1" x14ac:dyDescent="0.2">
      <c r="A752" s="197"/>
      <c r="B752" s="197"/>
      <c r="C752" s="217"/>
      <c r="D752" s="333" t="s">
        <v>1286</v>
      </c>
      <c r="E752" s="241">
        <v>2</v>
      </c>
      <c r="F752" s="250">
        <v>196919</v>
      </c>
      <c r="G752" s="170">
        <f>0+táj.2!G752</f>
        <v>0</v>
      </c>
      <c r="H752" s="170">
        <f>0+táj.2!H752</f>
        <v>0</v>
      </c>
      <c r="I752" s="170">
        <f>12693+táj.2!I752</f>
        <v>12693</v>
      </c>
      <c r="J752" s="170">
        <f>0+táj.2!J752</f>
        <v>0</v>
      </c>
      <c r="K752" s="170">
        <f>0+táj.2!K752</f>
        <v>0</v>
      </c>
      <c r="L752" s="170">
        <f>0+táj.2!L752</f>
        <v>0</v>
      </c>
      <c r="M752" s="170">
        <f>0+táj.2!M752</f>
        <v>0</v>
      </c>
      <c r="N752" s="170">
        <f>0+táj.2!N752</f>
        <v>0</v>
      </c>
      <c r="O752" s="170">
        <f>0+táj.2!O752</f>
        <v>0</v>
      </c>
      <c r="P752" s="170">
        <f>11987307+táj.2!P752</f>
        <v>11987307</v>
      </c>
      <c r="Q752" s="170">
        <f>SUM(G752:P752)</f>
        <v>12000000</v>
      </c>
    </row>
    <row r="753" spans="1:17" ht="15" customHeight="1" x14ac:dyDescent="0.2">
      <c r="A753" s="197"/>
      <c r="B753" s="197"/>
      <c r="C753" s="217"/>
      <c r="D753" s="314" t="s">
        <v>1287</v>
      </c>
      <c r="E753" s="170"/>
      <c r="F753" s="420"/>
      <c r="G753" s="170"/>
      <c r="H753" s="170"/>
      <c r="I753" s="170"/>
      <c r="J753" s="170"/>
      <c r="K753" s="170"/>
      <c r="L753" s="170"/>
      <c r="M753" s="170"/>
      <c r="N753" s="170"/>
      <c r="O753" s="170"/>
      <c r="P753" s="170"/>
      <c r="Q753" s="170"/>
    </row>
    <row r="754" spans="1:17" ht="14.25" customHeight="1" x14ac:dyDescent="0.2">
      <c r="A754" s="197"/>
      <c r="B754" s="197"/>
      <c r="C754" s="217"/>
      <c r="D754" s="314" t="s">
        <v>1288</v>
      </c>
      <c r="E754" s="170">
        <v>2</v>
      </c>
      <c r="F754" s="421" t="s">
        <v>1289</v>
      </c>
      <c r="G754" s="170">
        <f>0+táj.2!G754</f>
        <v>0</v>
      </c>
      <c r="H754" s="170">
        <f>0+táj.2!H754</f>
        <v>0</v>
      </c>
      <c r="I754" s="170">
        <f>0+táj.2!I754</f>
        <v>0</v>
      </c>
      <c r="J754" s="170">
        <f>0+táj.2!J754</f>
        <v>0</v>
      </c>
      <c r="K754" s="170">
        <f>2100+táj.2!K754</f>
        <v>2100</v>
      </c>
      <c r="L754" s="170">
        <f>0+táj.2!L754</f>
        <v>0</v>
      </c>
      <c r="M754" s="170">
        <f>0+táj.2!M754</f>
        <v>0</v>
      </c>
      <c r="N754" s="170">
        <f>0+táj.2!N754</f>
        <v>0</v>
      </c>
      <c r="O754" s="170">
        <f>0+táj.2!O754</f>
        <v>0</v>
      </c>
      <c r="P754" s="170">
        <f>0+táj.2!P754</f>
        <v>0</v>
      </c>
      <c r="Q754" s="170">
        <f>SUM(G754:P754)</f>
        <v>2100</v>
      </c>
    </row>
    <row r="755" spans="1:17" ht="14.1" customHeight="1" x14ac:dyDescent="0.2">
      <c r="A755" s="197"/>
      <c r="B755" s="197"/>
      <c r="C755" s="217"/>
      <c r="D755" s="325" t="s">
        <v>345</v>
      </c>
      <c r="E755" s="208"/>
      <c r="F755" s="208"/>
      <c r="G755" s="170"/>
      <c r="H755" s="170"/>
      <c r="I755" s="170"/>
      <c r="J755" s="170"/>
      <c r="K755" s="170"/>
      <c r="L755" s="170"/>
      <c r="M755" s="170"/>
      <c r="N755" s="170"/>
      <c r="O755" s="170"/>
      <c r="P755" s="170"/>
      <c r="Q755" s="170"/>
    </row>
    <row r="756" spans="1:17" ht="14.1" customHeight="1" x14ac:dyDescent="0.2">
      <c r="A756" s="197"/>
      <c r="B756" s="197"/>
      <c r="C756" s="217"/>
      <c r="D756" s="314" t="s">
        <v>1290</v>
      </c>
      <c r="E756" s="170">
        <v>2</v>
      </c>
      <c r="F756" s="170">
        <v>191801</v>
      </c>
      <c r="G756" s="170">
        <f>0+táj.2!G756</f>
        <v>0</v>
      </c>
      <c r="H756" s="170">
        <f>0+táj.2!H756</f>
        <v>0</v>
      </c>
      <c r="I756" s="170">
        <f>0+táj.2!I756</f>
        <v>0</v>
      </c>
      <c r="J756" s="170">
        <f>0+táj.2!J756</f>
        <v>0</v>
      </c>
      <c r="K756" s="170">
        <f>40000+táj.2!K756</f>
        <v>40000</v>
      </c>
      <c r="L756" s="170">
        <f>0+táj.2!L756</f>
        <v>0</v>
      </c>
      <c r="M756" s="170">
        <f>0+táj.2!M756</f>
        <v>0</v>
      </c>
      <c r="N756" s="170">
        <f>0+táj.2!N756</f>
        <v>0</v>
      </c>
      <c r="O756" s="170">
        <f>0+táj.2!O756</f>
        <v>0</v>
      </c>
      <c r="P756" s="170">
        <f>0+táj.2!P756</f>
        <v>0</v>
      </c>
      <c r="Q756" s="170">
        <f>SUM(G756:P756)</f>
        <v>40000</v>
      </c>
    </row>
    <row r="757" spans="1:17" ht="14.1" customHeight="1" x14ac:dyDescent="0.2">
      <c r="A757" s="197"/>
      <c r="B757" s="197"/>
      <c r="C757" s="217"/>
      <c r="D757" s="314" t="s">
        <v>1457</v>
      </c>
      <c r="E757" s="230"/>
      <c r="F757" s="230"/>
      <c r="G757" s="170"/>
      <c r="H757" s="170"/>
      <c r="I757" s="170"/>
      <c r="J757" s="170"/>
      <c r="K757" s="170"/>
      <c r="L757" s="170"/>
      <c r="M757" s="170"/>
      <c r="N757" s="170"/>
      <c r="O757" s="170"/>
      <c r="P757" s="170"/>
      <c r="Q757" s="170"/>
    </row>
    <row r="758" spans="1:17" ht="24.75" customHeight="1" x14ac:dyDescent="0.2">
      <c r="A758" s="197"/>
      <c r="B758" s="197"/>
      <c r="C758" s="217"/>
      <c r="D758" s="172" t="s">
        <v>1458</v>
      </c>
      <c r="E758" s="230">
        <v>1</v>
      </c>
      <c r="F758" s="607">
        <v>191909</v>
      </c>
      <c r="G758" s="170">
        <f>0+táj.2!G758</f>
        <v>0</v>
      </c>
      <c r="H758" s="170">
        <f>0+táj.2!H758</f>
        <v>0</v>
      </c>
      <c r="I758" s="170">
        <f>0+táj.2!I758</f>
        <v>0</v>
      </c>
      <c r="J758" s="170">
        <f>0+táj.2!J758</f>
        <v>0</v>
      </c>
      <c r="K758" s="170">
        <f>7188+táj.2!K758</f>
        <v>7188</v>
      </c>
      <c r="L758" s="170">
        <f>0+táj.2!L758</f>
        <v>0</v>
      </c>
      <c r="M758" s="170">
        <f>0+táj.2!M758</f>
        <v>0</v>
      </c>
      <c r="N758" s="170">
        <f>0+táj.2!N758</f>
        <v>0</v>
      </c>
      <c r="O758" s="170">
        <f>0+táj.2!O758</f>
        <v>0</v>
      </c>
      <c r="P758" s="170">
        <f>0+táj.2!P758</f>
        <v>0</v>
      </c>
      <c r="Q758" s="170">
        <f>SUM(G758:P758)</f>
        <v>7188</v>
      </c>
    </row>
    <row r="759" spans="1:17" ht="14.1" customHeight="1" x14ac:dyDescent="0.2">
      <c r="A759" s="223"/>
      <c r="B759" s="223"/>
      <c r="C759" s="224"/>
      <c r="D759" s="182" t="s">
        <v>1291</v>
      </c>
      <c r="E759" s="226"/>
      <c r="F759" s="226"/>
      <c r="G759" s="227">
        <f t="shared" ref="G759:Q759" si="45">SUM(G727:G758)</f>
        <v>0</v>
      </c>
      <c r="H759" s="227">
        <f t="shared" si="45"/>
        <v>0</v>
      </c>
      <c r="I759" s="227">
        <f t="shared" si="45"/>
        <v>390918</v>
      </c>
      <c r="J759" s="227">
        <f t="shared" si="45"/>
        <v>0</v>
      </c>
      <c r="K759" s="227">
        <f t="shared" si="45"/>
        <v>552871</v>
      </c>
      <c r="L759" s="227">
        <f t="shared" si="45"/>
        <v>0</v>
      </c>
      <c r="M759" s="227">
        <f t="shared" si="45"/>
        <v>0</v>
      </c>
      <c r="N759" s="227">
        <f t="shared" si="45"/>
        <v>5000</v>
      </c>
      <c r="O759" s="227">
        <f t="shared" si="45"/>
        <v>104052</v>
      </c>
      <c r="P759" s="227">
        <f t="shared" si="45"/>
        <v>12088612</v>
      </c>
      <c r="Q759" s="227">
        <f t="shared" si="45"/>
        <v>13141453</v>
      </c>
    </row>
    <row r="760" spans="1:17" ht="14.1" customHeight="1" x14ac:dyDescent="0.2">
      <c r="A760" s="229"/>
      <c r="B760" s="229"/>
      <c r="C760" s="284"/>
      <c r="D760" s="318" t="s">
        <v>1264</v>
      </c>
      <c r="E760" s="232"/>
      <c r="F760" s="232"/>
      <c r="G760" s="233"/>
      <c r="H760" s="233"/>
      <c r="I760" s="233"/>
      <c r="J760" s="233"/>
      <c r="K760" s="233"/>
      <c r="L760" s="233"/>
      <c r="M760" s="233"/>
      <c r="N760" s="233"/>
      <c r="O760" s="233"/>
      <c r="P760" s="233"/>
      <c r="Q760" s="233"/>
    </row>
    <row r="761" spans="1:17" ht="25.5" customHeight="1" x14ac:dyDescent="0.2">
      <c r="A761" s="229"/>
      <c r="B761" s="229"/>
      <c r="C761" s="284" t="s">
        <v>125</v>
      </c>
      <c r="D761" s="422" t="s">
        <v>1292</v>
      </c>
      <c r="E761" s="386"/>
      <c r="F761" s="423">
        <v>192909</v>
      </c>
      <c r="G761" s="170">
        <f>0+táj.2!G761</f>
        <v>0</v>
      </c>
      <c r="H761" s="170">
        <f>0+táj.2!H761</f>
        <v>0</v>
      </c>
      <c r="I761" s="170">
        <f>0+táj.2!I761</f>
        <v>0</v>
      </c>
      <c r="J761" s="170">
        <f>0+táj.2!J761</f>
        <v>0</v>
      </c>
      <c r="K761" s="170">
        <f>0+táj.2!K761</f>
        <v>0</v>
      </c>
      <c r="L761" s="170">
        <f>0+táj.2!L761</f>
        <v>0</v>
      </c>
      <c r="M761" s="170">
        <f>0+táj.2!M761</f>
        <v>0</v>
      </c>
      <c r="N761" s="170">
        <f>500+táj.2!N761</f>
        <v>1000</v>
      </c>
      <c r="O761" s="170">
        <f>0+táj.2!O761</f>
        <v>0</v>
      </c>
      <c r="P761" s="170">
        <f>0+táj.2!P761</f>
        <v>0</v>
      </c>
      <c r="Q761" s="170">
        <f>SUM(N761:P761)</f>
        <v>1000</v>
      </c>
    </row>
    <row r="762" spans="1:17" ht="14.1" customHeight="1" x14ac:dyDescent="0.2">
      <c r="A762" s="223">
        <v>1</v>
      </c>
      <c r="B762" s="223">
        <v>20</v>
      </c>
      <c r="C762" s="224"/>
      <c r="D762" s="182" t="s">
        <v>462</v>
      </c>
      <c r="E762" s="226"/>
      <c r="F762" s="226"/>
      <c r="G762" s="227">
        <f t="shared" ref="G762:Q762" si="46">SUM(G759:G761)</f>
        <v>0</v>
      </c>
      <c r="H762" s="227">
        <f t="shared" si="46"/>
        <v>0</v>
      </c>
      <c r="I762" s="227">
        <f t="shared" si="46"/>
        <v>390918</v>
      </c>
      <c r="J762" s="227">
        <f t="shared" si="46"/>
        <v>0</v>
      </c>
      <c r="K762" s="227">
        <f t="shared" si="46"/>
        <v>552871</v>
      </c>
      <c r="L762" s="227">
        <f t="shared" si="46"/>
        <v>0</v>
      </c>
      <c r="M762" s="227">
        <f t="shared" si="46"/>
        <v>0</v>
      </c>
      <c r="N762" s="227">
        <f t="shared" si="46"/>
        <v>6000</v>
      </c>
      <c r="O762" s="227">
        <f t="shared" si="46"/>
        <v>104052</v>
      </c>
      <c r="P762" s="227">
        <f t="shared" si="46"/>
        <v>12088612</v>
      </c>
      <c r="Q762" s="227">
        <f t="shared" si="46"/>
        <v>13142453</v>
      </c>
    </row>
    <row r="763" spans="1:17" ht="14.1" customHeight="1" x14ac:dyDescent="0.2">
      <c r="A763" s="229"/>
      <c r="B763" s="229"/>
      <c r="C763" s="284"/>
      <c r="D763" s="307" t="s">
        <v>13</v>
      </c>
      <c r="E763" s="232"/>
      <c r="F763" s="232"/>
      <c r="G763" s="233"/>
      <c r="H763" s="233"/>
      <c r="I763" s="233"/>
      <c r="J763" s="233"/>
      <c r="K763" s="233"/>
      <c r="L763" s="233"/>
      <c r="M763" s="233"/>
      <c r="N763" s="233"/>
      <c r="O763" s="233"/>
      <c r="P763" s="233"/>
      <c r="Q763" s="233"/>
    </row>
    <row r="764" spans="1:17" ht="21.75" customHeight="1" x14ac:dyDescent="0.2">
      <c r="A764" s="229"/>
      <c r="B764" s="229"/>
      <c r="C764" s="284"/>
      <c r="D764" s="424" t="s">
        <v>333</v>
      </c>
      <c r="E764" s="232"/>
      <c r="F764" s="232"/>
      <c r="G764" s="233"/>
      <c r="H764" s="233"/>
      <c r="I764" s="233"/>
      <c r="J764" s="233"/>
      <c r="K764" s="233"/>
      <c r="L764" s="233"/>
      <c r="M764" s="233"/>
      <c r="N764" s="233"/>
      <c r="O764" s="233"/>
      <c r="P764" s="233"/>
      <c r="Q764" s="233"/>
    </row>
    <row r="765" spans="1:17" ht="14.1" customHeight="1" x14ac:dyDescent="0.2">
      <c r="A765" s="223"/>
      <c r="B765" s="223"/>
      <c r="C765" s="224"/>
      <c r="D765" s="182" t="s">
        <v>1293</v>
      </c>
      <c r="E765" s="226"/>
      <c r="F765" s="226"/>
      <c r="G765" s="227"/>
      <c r="H765" s="227"/>
      <c r="I765" s="227"/>
      <c r="J765" s="227"/>
      <c r="K765" s="227"/>
      <c r="L765" s="227"/>
      <c r="M765" s="227"/>
      <c r="N765" s="227"/>
      <c r="O765" s="227"/>
      <c r="P765" s="227"/>
      <c r="Q765" s="227"/>
    </row>
    <row r="766" spans="1:17" ht="14.1" customHeight="1" x14ac:dyDescent="0.2">
      <c r="A766" s="425">
        <v>1</v>
      </c>
      <c r="B766" s="425" t="s">
        <v>1294</v>
      </c>
      <c r="C766" s="426"/>
      <c r="D766" s="427" t="s">
        <v>1295</v>
      </c>
      <c r="E766" s="428"/>
      <c r="F766" s="428"/>
      <c r="G766" s="429"/>
      <c r="H766" s="202"/>
      <c r="I766" s="202"/>
      <c r="J766" s="202"/>
      <c r="K766" s="202"/>
      <c r="L766" s="202"/>
      <c r="M766" s="170"/>
      <c r="N766" s="170"/>
      <c r="O766" s="429"/>
      <c r="P766" s="429"/>
      <c r="Q766" s="429"/>
    </row>
    <row r="767" spans="1:17" ht="14.1" customHeight="1" x14ac:dyDescent="0.2">
      <c r="A767" s="425"/>
      <c r="B767" s="425"/>
      <c r="C767" s="426"/>
      <c r="D767" s="177" t="s">
        <v>333</v>
      </c>
      <c r="E767" s="235"/>
      <c r="F767" s="235"/>
      <c r="G767" s="429"/>
      <c r="H767" s="202"/>
      <c r="I767" s="202"/>
      <c r="J767" s="202"/>
      <c r="K767" s="202"/>
      <c r="L767" s="202"/>
      <c r="M767" s="170"/>
      <c r="N767" s="170"/>
      <c r="O767" s="429"/>
      <c r="P767" s="429"/>
      <c r="Q767" s="429"/>
    </row>
    <row r="768" spans="1:17" ht="14.1" customHeight="1" x14ac:dyDescent="0.2">
      <c r="A768" s="425"/>
      <c r="B768" s="425"/>
      <c r="C768" s="426"/>
      <c r="D768" s="419" t="s">
        <v>1296</v>
      </c>
      <c r="E768" s="411">
        <v>2</v>
      </c>
      <c r="F768" s="411">
        <v>221901</v>
      </c>
      <c r="G768" s="430">
        <f>11000+táj.2!G768</f>
        <v>11000</v>
      </c>
      <c r="H768" s="430">
        <f>5500+táj.2!H768</f>
        <v>5500</v>
      </c>
      <c r="I768" s="430">
        <f>31653+táj.2!I768</f>
        <v>26925</v>
      </c>
      <c r="J768" s="430">
        <f>0+táj.2!J768</f>
        <v>0</v>
      </c>
      <c r="K768" s="430">
        <f>1000+táj.2!K768</f>
        <v>1000</v>
      </c>
      <c r="L768" s="430">
        <f>0+táj.2!L768</f>
        <v>4728</v>
      </c>
      <c r="M768" s="430">
        <f>0+táj.2!M768</f>
        <v>0</v>
      </c>
      <c r="N768" s="430">
        <f>0+táj.2!N768</f>
        <v>0</v>
      </c>
      <c r="O768" s="430">
        <f>0+táj.2!O768</f>
        <v>0</v>
      </c>
      <c r="P768" s="430">
        <f>0+táj.2!P768</f>
        <v>0</v>
      </c>
      <c r="Q768" s="411">
        <f t="shared" ref="Q768:Q778" si="47">SUM(G768:P768)</f>
        <v>49153</v>
      </c>
    </row>
    <row r="769" spans="1:17" ht="14.1" customHeight="1" x14ac:dyDescent="0.2">
      <c r="A769" s="425"/>
      <c r="B769" s="425"/>
      <c r="C769" s="426"/>
      <c r="D769" s="325" t="s">
        <v>1297</v>
      </c>
      <c r="E769" s="221">
        <v>1</v>
      </c>
      <c r="F769" s="170">
        <v>221912</v>
      </c>
      <c r="G769" s="430">
        <f>100+táj.2!G769</f>
        <v>100</v>
      </c>
      <c r="H769" s="430">
        <f>50+táj.2!H769</f>
        <v>50</v>
      </c>
      <c r="I769" s="430">
        <f>3920+táj.2!I769</f>
        <v>3920</v>
      </c>
      <c r="J769" s="430">
        <f>0+táj.2!J769</f>
        <v>0</v>
      </c>
      <c r="K769" s="430">
        <f>3250+táj.2!K769</f>
        <v>3250</v>
      </c>
      <c r="L769" s="430">
        <f>0+táj.2!L769</f>
        <v>0</v>
      </c>
      <c r="M769" s="430">
        <f>0+táj.2!M769</f>
        <v>0</v>
      </c>
      <c r="N769" s="430">
        <f>0+táj.2!N769</f>
        <v>0</v>
      </c>
      <c r="O769" s="430">
        <f>0+táj.2!O769</f>
        <v>0</v>
      </c>
      <c r="P769" s="430">
        <f>0+táj.2!P769</f>
        <v>0</v>
      </c>
      <c r="Q769" s="411">
        <f t="shared" si="47"/>
        <v>7320</v>
      </c>
    </row>
    <row r="770" spans="1:17" ht="14.1" customHeight="1" x14ac:dyDescent="0.2">
      <c r="A770" s="727"/>
      <c r="B770" s="727"/>
      <c r="C770" s="728"/>
      <c r="D770" s="732" t="s">
        <v>1411</v>
      </c>
      <c r="E770" s="733">
        <v>2</v>
      </c>
      <c r="F770" s="606">
        <v>221956</v>
      </c>
      <c r="G770" s="430">
        <f>0+táj.2!G770</f>
        <v>0</v>
      </c>
      <c r="H770" s="430">
        <f>0+táj.2!H770</f>
        <v>0</v>
      </c>
      <c r="I770" s="430">
        <f>7000+táj.2!I770</f>
        <v>7000</v>
      </c>
      <c r="J770" s="430">
        <f>0+táj.2!J770</f>
        <v>0</v>
      </c>
      <c r="K770" s="430">
        <f>0+táj.2!K770</f>
        <v>0</v>
      </c>
      <c r="L770" s="430">
        <f>0+táj.2!L770</f>
        <v>0</v>
      </c>
      <c r="M770" s="430">
        <f>0+táj.2!M770</f>
        <v>0</v>
      </c>
      <c r="N770" s="430">
        <f>0+táj.2!N770</f>
        <v>0</v>
      </c>
      <c r="O770" s="430">
        <f>0+táj.2!O770</f>
        <v>0</v>
      </c>
      <c r="P770" s="430">
        <f>0+táj.2!P770</f>
        <v>0</v>
      </c>
      <c r="Q770" s="411">
        <f t="shared" si="47"/>
        <v>7000</v>
      </c>
    </row>
    <row r="771" spans="1:17" ht="14.1" customHeight="1" x14ac:dyDescent="0.2">
      <c r="A771" s="425"/>
      <c r="B771" s="425"/>
      <c r="C771" s="426"/>
      <c r="D771" s="325" t="s">
        <v>1298</v>
      </c>
      <c r="E771" s="221">
        <v>2</v>
      </c>
      <c r="F771" s="170">
        <v>221916</v>
      </c>
      <c r="G771" s="430">
        <f>0+táj.2!G771</f>
        <v>0</v>
      </c>
      <c r="H771" s="430">
        <f>0+táj.2!H771</f>
        <v>0</v>
      </c>
      <c r="I771" s="430">
        <f>0+táj.2!I771</f>
        <v>0</v>
      </c>
      <c r="J771" s="430">
        <f>0+táj.2!J771</f>
        <v>0</v>
      </c>
      <c r="K771" s="430">
        <f>35000+táj.2!K771</f>
        <v>35000</v>
      </c>
      <c r="L771" s="430">
        <f>0+táj.2!L771</f>
        <v>0</v>
      </c>
      <c r="M771" s="430">
        <f>0+táj.2!M771</f>
        <v>0</v>
      </c>
      <c r="N771" s="430">
        <f>0+táj.2!N771</f>
        <v>0</v>
      </c>
      <c r="O771" s="430">
        <f>0+táj.2!O771</f>
        <v>0</v>
      </c>
      <c r="P771" s="430">
        <f>0+táj.2!P771</f>
        <v>0</v>
      </c>
      <c r="Q771" s="411">
        <f t="shared" si="47"/>
        <v>35000</v>
      </c>
    </row>
    <row r="772" spans="1:17" ht="14.1" customHeight="1" x14ac:dyDescent="0.2">
      <c r="A772" s="425"/>
      <c r="B772" s="425"/>
      <c r="C772" s="426"/>
      <c r="D772" s="314" t="s">
        <v>1299</v>
      </c>
      <c r="E772" s="221">
        <v>2</v>
      </c>
      <c r="F772" s="170">
        <v>221904</v>
      </c>
      <c r="G772" s="430">
        <f>0+táj.2!G772</f>
        <v>0</v>
      </c>
      <c r="H772" s="430">
        <f>0+táj.2!H772</f>
        <v>0</v>
      </c>
      <c r="I772" s="430">
        <f>2000+táj.2!I772</f>
        <v>2000</v>
      </c>
      <c r="J772" s="430">
        <f>0+táj.2!J772</f>
        <v>0</v>
      </c>
      <c r="K772" s="430">
        <f>0+táj.2!K772</f>
        <v>0</v>
      </c>
      <c r="L772" s="430">
        <f>0+táj.2!L772</f>
        <v>0</v>
      </c>
      <c r="M772" s="430">
        <f>0+táj.2!M772</f>
        <v>0</v>
      </c>
      <c r="N772" s="430">
        <f>0+táj.2!N772</f>
        <v>0</v>
      </c>
      <c r="O772" s="430">
        <f>0+táj.2!O772</f>
        <v>0</v>
      </c>
      <c r="P772" s="430">
        <f>0+táj.2!P772</f>
        <v>0</v>
      </c>
      <c r="Q772" s="411">
        <f t="shared" si="47"/>
        <v>2000</v>
      </c>
    </row>
    <row r="773" spans="1:17" ht="14.1" customHeight="1" x14ac:dyDescent="0.2">
      <c r="A773" s="425"/>
      <c r="B773" s="425"/>
      <c r="C773" s="426"/>
      <c r="D773" s="314" t="s">
        <v>1300</v>
      </c>
      <c r="E773" s="170">
        <v>2</v>
      </c>
      <c r="F773" s="170">
        <v>221922</v>
      </c>
      <c r="G773" s="430">
        <f>0+táj.2!G773</f>
        <v>0</v>
      </c>
      <c r="H773" s="430">
        <f>0+táj.2!H773</f>
        <v>0</v>
      </c>
      <c r="I773" s="430">
        <f>7713+táj.2!I773</f>
        <v>7713</v>
      </c>
      <c r="J773" s="430">
        <f>0+táj.2!J773</f>
        <v>0</v>
      </c>
      <c r="K773" s="430">
        <f>0+táj.2!K773</f>
        <v>0</v>
      </c>
      <c r="L773" s="430">
        <f>0+táj.2!L773</f>
        <v>0</v>
      </c>
      <c r="M773" s="430">
        <f>0+táj.2!M773</f>
        <v>0</v>
      </c>
      <c r="N773" s="430">
        <f>0+táj.2!N773</f>
        <v>0</v>
      </c>
      <c r="O773" s="430">
        <f>0+táj.2!O773</f>
        <v>0</v>
      </c>
      <c r="P773" s="430">
        <f>0+táj.2!P773</f>
        <v>0</v>
      </c>
      <c r="Q773" s="411">
        <f t="shared" si="47"/>
        <v>7713</v>
      </c>
    </row>
    <row r="774" spans="1:17" ht="14.1" customHeight="1" x14ac:dyDescent="0.2">
      <c r="A774" s="425"/>
      <c r="B774" s="425"/>
      <c r="C774" s="426"/>
      <c r="D774" s="314" t="s">
        <v>1301</v>
      </c>
      <c r="E774" s="208">
        <v>2</v>
      </c>
      <c r="F774" s="170">
        <v>191139</v>
      </c>
      <c r="G774" s="430">
        <f>0+táj.2!G774</f>
        <v>0</v>
      </c>
      <c r="H774" s="430">
        <f>0+táj.2!H774</f>
        <v>0</v>
      </c>
      <c r="I774" s="430">
        <f>0+táj.2!I774</f>
        <v>0</v>
      </c>
      <c r="J774" s="430">
        <f>0+táj.2!J774</f>
        <v>0</v>
      </c>
      <c r="K774" s="430">
        <f>0+táj.2!K774</f>
        <v>0</v>
      </c>
      <c r="L774" s="430">
        <f>0+táj.2!L774</f>
        <v>0</v>
      </c>
      <c r="M774" s="430">
        <f>0+táj.2!M774</f>
        <v>0</v>
      </c>
      <c r="N774" s="430">
        <f>0+táj.2!N774</f>
        <v>0</v>
      </c>
      <c r="O774" s="430">
        <f>0+táj.2!O774</f>
        <v>0</v>
      </c>
      <c r="P774" s="430">
        <f>0+táj.2!P774</f>
        <v>0</v>
      </c>
      <c r="Q774" s="411">
        <f t="shared" si="47"/>
        <v>0</v>
      </c>
    </row>
    <row r="775" spans="1:17" ht="14.1" customHeight="1" x14ac:dyDescent="0.2">
      <c r="A775" s="425"/>
      <c r="B775" s="425"/>
      <c r="C775" s="426"/>
      <c r="D775" s="314" t="s">
        <v>1302</v>
      </c>
      <c r="E775" s="208">
        <v>2</v>
      </c>
      <c r="F775" s="170">
        <v>221939</v>
      </c>
      <c r="G775" s="430">
        <f>0+táj.2!G775</f>
        <v>0</v>
      </c>
      <c r="H775" s="430">
        <f>0+táj.2!H775</f>
        <v>0</v>
      </c>
      <c r="I775" s="430">
        <f>700+táj.2!I775</f>
        <v>700</v>
      </c>
      <c r="J775" s="430">
        <f>0+táj.2!J775</f>
        <v>0</v>
      </c>
      <c r="K775" s="430">
        <f>900+táj.2!K775</f>
        <v>900</v>
      </c>
      <c r="L775" s="430">
        <f>0+táj.2!L775</f>
        <v>0</v>
      </c>
      <c r="M775" s="430">
        <f>0+táj.2!M775</f>
        <v>0</v>
      </c>
      <c r="N775" s="430">
        <f>0+táj.2!N775</f>
        <v>0</v>
      </c>
      <c r="O775" s="430">
        <f>0+táj.2!O775</f>
        <v>0</v>
      </c>
      <c r="P775" s="430">
        <f>0+táj.2!P775</f>
        <v>0</v>
      </c>
      <c r="Q775" s="411">
        <f t="shared" si="47"/>
        <v>1600</v>
      </c>
    </row>
    <row r="776" spans="1:17" ht="14.1" customHeight="1" x14ac:dyDescent="0.2">
      <c r="A776" s="425"/>
      <c r="B776" s="425"/>
      <c r="C776" s="426"/>
      <c r="D776" s="314" t="s">
        <v>1303</v>
      </c>
      <c r="E776" s="208">
        <v>2</v>
      </c>
      <c r="F776" s="170">
        <v>221927</v>
      </c>
      <c r="G776" s="430">
        <f>0+táj.2!G776</f>
        <v>0</v>
      </c>
      <c r="H776" s="430">
        <f>0+táj.2!H776</f>
        <v>0</v>
      </c>
      <c r="I776" s="430">
        <f>0+táj.2!I776</f>
        <v>0</v>
      </c>
      <c r="J776" s="430">
        <f>0+táj.2!J776</f>
        <v>0</v>
      </c>
      <c r="K776" s="430">
        <f>3010+táj.2!K776</f>
        <v>3010</v>
      </c>
      <c r="L776" s="430">
        <f>0+táj.2!L776</f>
        <v>0</v>
      </c>
      <c r="M776" s="430">
        <f>0+táj.2!M776</f>
        <v>0</v>
      </c>
      <c r="N776" s="430">
        <f>0+táj.2!N776</f>
        <v>0</v>
      </c>
      <c r="O776" s="430">
        <f>0+táj.2!O776</f>
        <v>0</v>
      </c>
      <c r="P776" s="430">
        <f>0+táj.2!P776</f>
        <v>0</v>
      </c>
      <c r="Q776" s="411">
        <f t="shared" si="47"/>
        <v>3010</v>
      </c>
    </row>
    <row r="777" spans="1:17" ht="26.25" customHeight="1" x14ac:dyDescent="0.2">
      <c r="A777" s="425"/>
      <c r="B777" s="425"/>
      <c r="C777" s="426"/>
      <c r="D777" s="398" t="s">
        <v>1304</v>
      </c>
      <c r="E777" s="208">
        <v>2</v>
      </c>
      <c r="F777" s="170">
        <v>221935</v>
      </c>
      <c r="G777" s="430">
        <f>0+táj.2!G777</f>
        <v>0</v>
      </c>
      <c r="H777" s="430">
        <f>0+táj.2!H777</f>
        <v>0</v>
      </c>
      <c r="I777" s="430">
        <f>0+táj.2!I777</f>
        <v>0</v>
      </c>
      <c r="J777" s="430">
        <f>0+táj.2!J777</f>
        <v>0</v>
      </c>
      <c r="K777" s="430">
        <f>32900+táj.2!K777</f>
        <v>32900</v>
      </c>
      <c r="L777" s="430">
        <f>0+táj.2!L777</f>
        <v>0</v>
      </c>
      <c r="M777" s="430">
        <f>0+táj.2!M777</f>
        <v>0</v>
      </c>
      <c r="N777" s="430">
        <f>0+táj.2!N777</f>
        <v>0</v>
      </c>
      <c r="O777" s="430">
        <f>0+táj.2!O777</f>
        <v>0</v>
      </c>
      <c r="P777" s="430">
        <f>0+táj.2!P777</f>
        <v>0</v>
      </c>
      <c r="Q777" s="411">
        <f t="shared" si="47"/>
        <v>32900</v>
      </c>
    </row>
    <row r="778" spans="1:17" ht="14.1" customHeight="1" x14ac:dyDescent="0.2">
      <c r="A778" s="425"/>
      <c r="B778" s="425"/>
      <c r="C778" s="426"/>
      <c r="D778" s="314" t="s">
        <v>1305</v>
      </c>
      <c r="E778" s="170">
        <v>2</v>
      </c>
      <c r="F778" s="170">
        <v>191110</v>
      </c>
      <c r="G778" s="430">
        <f>5500+táj.2!G778</f>
        <v>5500</v>
      </c>
      <c r="H778" s="430">
        <f>4000+táj.2!H778</f>
        <v>4000</v>
      </c>
      <c r="I778" s="430">
        <f>5111+táj.2!I778</f>
        <v>1111</v>
      </c>
      <c r="J778" s="430">
        <f>0+táj.2!J778</f>
        <v>0</v>
      </c>
      <c r="K778" s="430">
        <f>0+táj.2!K778</f>
        <v>0</v>
      </c>
      <c r="L778" s="430">
        <f>0+táj.2!L778</f>
        <v>0</v>
      </c>
      <c r="M778" s="430">
        <f>0+táj.2!M778</f>
        <v>0</v>
      </c>
      <c r="N778" s="430">
        <f>0+táj.2!N778</f>
        <v>0</v>
      </c>
      <c r="O778" s="430">
        <f>0+táj.2!O778</f>
        <v>0</v>
      </c>
      <c r="P778" s="430">
        <f>0+táj.2!P778</f>
        <v>0</v>
      </c>
      <c r="Q778" s="411">
        <f t="shared" si="47"/>
        <v>10611</v>
      </c>
    </row>
    <row r="779" spans="1:17" ht="14.1" customHeight="1" x14ac:dyDescent="0.2">
      <c r="A779" s="425"/>
      <c r="B779" s="425"/>
      <c r="C779" s="426"/>
      <c r="D779" s="314" t="s">
        <v>1306</v>
      </c>
      <c r="E779" s="208"/>
      <c r="F779" s="208"/>
      <c r="G779" s="430"/>
      <c r="H779" s="430"/>
      <c r="I779" s="430"/>
      <c r="J779" s="430"/>
      <c r="K779" s="430"/>
      <c r="L779" s="430"/>
      <c r="M779" s="430"/>
      <c r="N779" s="430"/>
      <c r="O779" s="430"/>
      <c r="P779" s="430"/>
      <c r="Q779" s="411"/>
    </row>
    <row r="780" spans="1:17" ht="14.1" customHeight="1" x14ac:dyDescent="0.2">
      <c r="A780" s="425"/>
      <c r="B780" s="425"/>
      <c r="C780" s="426"/>
      <c r="D780" s="314" t="s">
        <v>1307</v>
      </c>
      <c r="E780" s="170">
        <v>2</v>
      </c>
      <c r="F780" s="170">
        <v>191301</v>
      </c>
      <c r="G780" s="430">
        <f>0+táj.2!G780</f>
        <v>0</v>
      </c>
      <c r="H780" s="430">
        <f>0+táj.2!H780</f>
        <v>0</v>
      </c>
      <c r="I780" s="430">
        <f>0+táj.2!I780</f>
        <v>0</v>
      </c>
      <c r="J780" s="430">
        <f>0+táj.2!J780</f>
        <v>0</v>
      </c>
      <c r="K780" s="430">
        <f>42000+táj.2!K780</f>
        <v>42000</v>
      </c>
      <c r="L780" s="430">
        <f>0+táj.2!L780</f>
        <v>0</v>
      </c>
      <c r="M780" s="430">
        <f>0+táj.2!M780</f>
        <v>0</v>
      </c>
      <c r="N780" s="430">
        <f>0+táj.2!N780</f>
        <v>0</v>
      </c>
      <c r="O780" s="430">
        <f>0+táj.2!O780</f>
        <v>0</v>
      </c>
      <c r="P780" s="430">
        <f>0+táj.2!P780</f>
        <v>0</v>
      </c>
      <c r="Q780" s="411">
        <f>SUM(G780:P780)</f>
        <v>42000</v>
      </c>
    </row>
    <row r="781" spans="1:17" ht="14.1" customHeight="1" x14ac:dyDescent="0.2">
      <c r="A781" s="425"/>
      <c r="B781" s="425"/>
      <c r="C781" s="426"/>
      <c r="D781" s="314" t="s">
        <v>1308</v>
      </c>
      <c r="E781" s="170">
        <v>2</v>
      </c>
      <c r="F781" s="170">
        <v>191302</v>
      </c>
      <c r="G781" s="430">
        <f>0+táj.2!G781</f>
        <v>0</v>
      </c>
      <c r="H781" s="430">
        <f>0+táj.2!H781</f>
        <v>0</v>
      </c>
      <c r="I781" s="430">
        <f>10167+táj.2!I781</f>
        <v>10167</v>
      </c>
      <c r="J781" s="430">
        <f>0+táj.2!J781</f>
        <v>0</v>
      </c>
      <c r="K781" s="430">
        <f>0+táj.2!K781</f>
        <v>0</v>
      </c>
      <c r="L781" s="430">
        <f>0+táj.2!L781</f>
        <v>0</v>
      </c>
      <c r="M781" s="430">
        <f>0+táj.2!M781</f>
        <v>0</v>
      </c>
      <c r="N781" s="430">
        <f>0+táj.2!N781</f>
        <v>0</v>
      </c>
      <c r="O781" s="430">
        <f>0+táj.2!O781</f>
        <v>0</v>
      </c>
      <c r="P781" s="430">
        <f>0+táj.2!P781</f>
        <v>0</v>
      </c>
      <c r="Q781" s="411">
        <f>SUM(G781:P781)</f>
        <v>10167</v>
      </c>
    </row>
    <row r="782" spans="1:17" ht="14.1" customHeight="1" x14ac:dyDescent="0.2">
      <c r="A782" s="425"/>
      <c r="B782" s="425"/>
      <c r="C782" s="426"/>
      <c r="D782" s="328" t="s">
        <v>1309</v>
      </c>
      <c r="E782" s="170">
        <v>2</v>
      </c>
      <c r="F782" s="170">
        <v>191303</v>
      </c>
      <c r="G782" s="430">
        <f>0+táj.2!G782</f>
        <v>0</v>
      </c>
      <c r="H782" s="430">
        <f>0+táj.2!H782</f>
        <v>0</v>
      </c>
      <c r="I782" s="430">
        <f>0+táj.2!I782</f>
        <v>0</v>
      </c>
      <c r="J782" s="430">
        <f>0+táj.2!J782</f>
        <v>0</v>
      </c>
      <c r="K782" s="430">
        <f>0+táj.2!K782</f>
        <v>0</v>
      </c>
      <c r="L782" s="430">
        <f>0+táj.2!L782</f>
        <v>0</v>
      </c>
      <c r="M782" s="430">
        <f>0+táj.2!M782</f>
        <v>0</v>
      </c>
      <c r="N782" s="430">
        <f>0+táj.2!N782</f>
        <v>0</v>
      </c>
      <c r="O782" s="430">
        <f>0+táj.2!O782</f>
        <v>0</v>
      </c>
      <c r="P782" s="430">
        <f>0+táj.2!P782</f>
        <v>0</v>
      </c>
      <c r="Q782" s="411">
        <f>SUM(G782:P782)</f>
        <v>0</v>
      </c>
    </row>
    <row r="783" spans="1:17" ht="14.1" customHeight="1" x14ac:dyDescent="0.2">
      <c r="A783" s="425"/>
      <c r="B783" s="425"/>
      <c r="C783" s="426"/>
      <c r="D783" s="431" t="s">
        <v>356</v>
      </c>
      <c r="E783" s="221"/>
      <c r="F783" s="170"/>
      <c r="G783" s="430"/>
      <c r="H783" s="430"/>
      <c r="I783" s="430"/>
      <c r="J783" s="430"/>
      <c r="K783" s="430"/>
      <c r="L783" s="430"/>
      <c r="M783" s="430"/>
      <c r="N783" s="430"/>
      <c r="O783" s="430"/>
      <c r="P783" s="430"/>
      <c r="Q783" s="411"/>
    </row>
    <row r="784" spans="1:17" ht="14.1" customHeight="1" x14ac:dyDescent="0.2">
      <c r="A784" s="425"/>
      <c r="B784" s="425"/>
      <c r="C784" s="426"/>
      <c r="D784" s="172" t="s">
        <v>1310</v>
      </c>
      <c r="E784" s="280">
        <v>2</v>
      </c>
      <c r="F784" s="250">
        <v>221951</v>
      </c>
      <c r="G784" s="430">
        <f>0+táj.2!G784</f>
        <v>0</v>
      </c>
      <c r="H784" s="430">
        <f>0+táj.2!H784</f>
        <v>0</v>
      </c>
      <c r="I784" s="430">
        <f>1000+táj.2!I784</f>
        <v>829</v>
      </c>
      <c r="J784" s="430">
        <f>0+táj.2!J784</f>
        <v>0</v>
      </c>
      <c r="K784" s="430">
        <f>23518+táj.2!K784</f>
        <v>23353</v>
      </c>
      <c r="L784" s="430">
        <f>0+táj.2!L784</f>
        <v>0</v>
      </c>
      <c r="M784" s="430">
        <f>0+táj.2!M784</f>
        <v>0</v>
      </c>
      <c r="N784" s="430">
        <f>200+táj.2!N784</f>
        <v>1100</v>
      </c>
      <c r="O784" s="430">
        <f>0+táj.2!O784</f>
        <v>0</v>
      </c>
      <c r="P784" s="430">
        <f>0+táj.2!P784</f>
        <v>0</v>
      </c>
      <c r="Q784" s="411">
        <f>SUM(G784:P784)</f>
        <v>25282</v>
      </c>
    </row>
    <row r="785" spans="1:17" ht="14.1" customHeight="1" x14ac:dyDescent="0.2">
      <c r="A785" s="425"/>
      <c r="B785" s="425"/>
      <c r="C785" s="433"/>
      <c r="D785" s="434" t="s">
        <v>1311</v>
      </c>
      <c r="E785" s="221">
        <v>2</v>
      </c>
      <c r="F785" s="170" t="s">
        <v>1312</v>
      </c>
      <c r="G785" s="430">
        <f>0+táj.2!G785</f>
        <v>0</v>
      </c>
      <c r="H785" s="430">
        <f>60+táj.2!H785</f>
        <v>60</v>
      </c>
      <c r="I785" s="430">
        <f>40569+táj.2!I785</f>
        <v>37992</v>
      </c>
      <c r="J785" s="430">
        <f>0+táj.2!J785</f>
        <v>0</v>
      </c>
      <c r="K785" s="430">
        <f>3200+táj.2!K785</f>
        <v>4753</v>
      </c>
      <c r="L785" s="430">
        <f>0+táj.2!L785</f>
        <v>0</v>
      </c>
      <c r="M785" s="430">
        <f>0+táj.2!M785</f>
        <v>0</v>
      </c>
      <c r="N785" s="430">
        <f>50+táj.2!N785</f>
        <v>770</v>
      </c>
      <c r="O785" s="430">
        <f>0+táj.2!O785</f>
        <v>0</v>
      </c>
      <c r="P785" s="430">
        <f>0+táj.2!P785</f>
        <v>0</v>
      </c>
      <c r="Q785" s="411">
        <f>SUM(G785:P785)</f>
        <v>43575</v>
      </c>
    </row>
    <row r="786" spans="1:17" ht="14.1" customHeight="1" x14ac:dyDescent="0.2">
      <c r="A786" s="425"/>
      <c r="B786" s="425"/>
      <c r="C786" s="426"/>
      <c r="D786" s="325" t="s">
        <v>1313</v>
      </c>
      <c r="E786" s="221"/>
      <c r="F786" s="170"/>
      <c r="G786" s="430"/>
      <c r="H786" s="430"/>
      <c r="I786" s="430"/>
      <c r="J786" s="430"/>
      <c r="K786" s="430"/>
      <c r="L786" s="430"/>
      <c r="M786" s="430"/>
      <c r="N786" s="430"/>
      <c r="O786" s="430"/>
      <c r="P786" s="430"/>
      <c r="Q786" s="411"/>
    </row>
    <row r="787" spans="1:17" ht="14.1" customHeight="1" x14ac:dyDescent="0.2">
      <c r="A787" s="425"/>
      <c r="B787" s="425"/>
      <c r="C787" s="426"/>
      <c r="D787" s="325" t="s">
        <v>1314</v>
      </c>
      <c r="E787" s="221">
        <v>2</v>
      </c>
      <c r="F787" s="170">
        <v>221929</v>
      </c>
      <c r="G787" s="430">
        <f>0+táj.2!G787</f>
        <v>0</v>
      </c>
      <c r="H787" s="430">
        <f>0+táj.2!H787</f>
        <v>0</v>
      </c>
      <c r="I787" s="430">
        <f>0+táj.2!I787</f>
        <v>0</v>
      </c>
      <c r="J787" s="430">
        <f>0+táj.2!J787</f>
        <v>0</v>
      </c>
      <c r="K787" s="430">
        <f>13806+táj.2!K787</f>
        <v>13806</v>
      </c>
      <c r="L787" s="430">
        <f>0+táj.2!L787</f>
        <v>0</v>
      </c>
      <c r="M787" s="430">
        <f>0+táj.2!M787</f>
        <v>0</v>
      </c>
      <c r="N787" s="430">
        <f>0+táj.2!N787</f>
        <v>0</v>
      </c>
      <c r="O787" s="430">
        <f>0+táj.2!O787</f>
        <v>0</v>
      </c>
      <c r="P787" s="430">
        <f>0+táj.2!P787</f>
        <v>0</v>
      </c>
      <c r="Q787" s="411">
        <f>SUM(G787:P787)</f>
        <v>13806</v>
      </c>
    </row>
    <row r="788" spans="1:17" ht="14.1" customHeight="1" x14ac:dyDescent="0.2">
      <c r="A788" s="425"/>
      <c r="B788" s="425"/>
      <c r="C788" s="435"/>
      <c r="D788" s="325" t="s">
        <v>1315</v>
      </c>
      <c r="E788" s="221">
        <v>2</v>
      </c>
      <c r="F788" s="170">
        <v>191402</v>
      </c>
      <c r="G788" s="430">
        <f>0+táj.2!G788</f>
        <v>0</v>
      </c>
      <c r="H788" s="430">
        <f>0+táj.2!H788</f>
        <v>0</v>
      </c>
      <c r="I788" s="430">
        <f>0+táj.2!I788</f>
        <v>0</v>
      </c>
      <c r="J788" s="430">
        <f>0+táj.2!J788</f>
        <v>0</v>
      </c>
      <c r="K788" s="430">
        <f>7000+táj.2!K788</f>
        <v>7000</v>
      </c>
      <c r="L788" s="430">
        <f>0+táj.2!L788</f>
        <v>0</v>
      </c>
      <c r="M788" s="430">
        <f>0+táj.2!M788</f>
        <v>0</v>
      </c>
      <c r="N788" s="430">
        <f>0+táj.2!N788</f>
        <v>0</v>
      </c>
      <c r="O788" s="430">
        <f>0+táj.2!O788</f>
        <v>0</v>
      </c>
      <c r="P788" s="430">
        <f>0+táj.2!P788</f>
        <v>0</v>
      </c>
      <c r="Q788" s="411">
        <f>SUM(G788:P788)</f>
        <v>7000</v>
      </c>
    </row>
    <row r="789" spans="1:17" ht="14.1" customHeight="1" x14ac:dyDescent="0.2">
      <c r="A789" s="425"/>
      <c r="B789" s="425"/>
      <c r="C789" s="435"/>
      <c r="D789" s="325" t="s">
        <v>1316</v>
      </c>
      <c r="E789" s="221"/>
      <c r="F789" s="170"/>
      <c r="G789" s="430"/>
      <c r="H789" s="430"/>
      <c r="I789" s="430"/>
      <c r="J789" s="430"/>
      <c r="K789" s="430"/>
      <c r="L789" s="430"/>
      <c r="M789" s="430"/>
      <c r="N789" s="430"/>
      <c r="O789" s="430"/>
      <c r="P789" s="430"/>
      <c r="Q789" s="411"/>
    </row>
    <row r="790" spans="1:17" ht="14.1" customHeight="1" x14ac:dyDescent="0.2">
      <c r="A790" s="425"/>
      <c r="B790" s="425"/>
      <c r="C790" s="435"/>
      <c r="D790" s="325" t="s">
        <v>1317</v>
      </c>
      <c r="E790" s="221">
        <v>1</v>
      </c>
      <c r="F790" s="170">
        <v>221909</v>
      </c>
      <c r="G790" s="430">
        <f>0+táj.2!G790</f>
        <v>0</v>
      </c>
      <c r="H790" s="430">
        <f>0+táj.2!H790</f>
        <v>0</v>
      </c>
      <c r="I790" s="430">
        <f>0+táj.2!I790</f>
        <v>0</v>
      </c>
      <c r="J790" s="430">
        <f>0+táj.2!J790</f>
        <v>0</v>
      </c>
      <c r="K790" s="430">
        <f>17133+táj.2!K790</f>
        <v>17133</v>
      </c>
      <c r="L790" s="430">
        <f>0+táj.2!L790</f>
        <v>0</v>
      </c>
      <c r="M790" s="430">
        <f>0+táj.2!M790</f>
        <v>0</v>
      </c>
      <c r="N790" s="430">
        <f>0+táj.2!N790</f>
        <v>0</v>
      </c>
      <c r="O790" s="430">
        <f>0+táj.2!O790</f>
        <v>0</v>
      </c>
      <c r="P790" s="430">
        <f>0+táj.2!P790</f>
        <v>0</v>
      </c>
      <c r="Q790" s="411">
        <f>SUM(G790:P790)</f>
        <v>17133</v>
      </c>
    </row>
    <row r="791" spans="1:17" ht="14.1" customHeight="1" x14ac:dyDescent="0.2">
      <c r="A791" s="425"/>
      <c r="B791" s="425"/>
      <c r="C791" s="426"/>
      <c r="D791" s="325" t="s">
        <v>1318</v>
      </c>
      <c r="E791" s="221">
        <v>1</v>
      </c>
      <c r="F791" s="170">
        <v>221913</v>
      </c>
      <c r="G791" s="430">
        <f>213+táj.2!G791</f>
        <v>230</v>
      </c>
      <c r="H791" s="430">
        <f>89+táj.2!H791</f>
        <v>96</v>
      </c>
      <c r="I791" s="430">
        <f>20326+táj.2!I791</f>
        <v>20302</v>
      </c>
      <c r="J791" s="430">
        <f>0+táj.2!J791</f>
        <v>0</v>
      </c>
      <c r="K791" s="430">
        <f>0+táj.2!K791</f>
        <v>0</v>
      </c>
      <c r="L791" s="430">
        <f>0+táj.2!L791</f>
        <v>0</v>
      </c>
      <c r="M791" s="430">
        <f>0+táj.2!M791</f>
        <v>0</v>
      </c>
      <c r="N791" s="430">
        <f>0+táj.2!N791</f>
        <v>0</v>
      </c>
      <c r="O791" s="430">
        <f>0+táj.2!O791</f>
        <v>0</v>
      </c>
      <c r="P791" s="430">
        <f>0+táj.2!P791</f>
        <v>0</v>
      </c>
      <c r="Q791" s="411">
        <f>SUM(G791:P791)</f>
        <v>20628</v>
      </c>
    </row>
    <row r="792" spans="1:17" ht="14.1" customHeight="1" x14ac:dyDescent="0.2">
      <c r="A792" s="775"/>
      <c r="B792" s="775"/>
      <c r="C792" s="776"/>
      <c r="D792" s="778" t="s">
        <v>1433</v>
      </c>
      <c r="E792" s="719">
        <v>1</v>
      </c>
      <c r="F792" s="712">
        <v>221962</v>
      </c>
      <c r="G792" s="779">
        <f>0+táj.2!G792</f>
        <v>0</v>
      </c>
      <c r="H792" s="779"/>
      <c r="I792" s="779"/>
      <c r="J792" s="779"/>
      <c r="K792" s="779">
        <f>54000+táj.2!K792</f>
        <v>54000</v>
      </c>
      <c r="L792" s="779"/>
      <c r="M792" s="779"/>
      <c r="N792" s="779"/>
      <c r="O792" s="779"/>
      <c r="P792" s="779"/>
      <c r="Q792" s="780">
        <v>54000</v>
      </c>
    </row>
    <row r="793" spans="1:17" ht="24.95" customHeight="1" x14ac:dyDescent="0.2">
      <c r="A793" s="425"/>
      <c r="B793" s="425"/>
      <c r="C793" s="426"/>
      <c r="D793" s="169" t="s">
        <v>1319</v>
      </c>
      <c r="E793" s="221">
        <v>2</v>
      </c>
      <c r="F793" s="170">
        <v>221914</v>
      </c>
      <c r="G793" s="430">
        <f>0+táj.2!G793</f>
        <v>0</v>
      </c>
      <c r="H793" s="430">
        <f>0+táj.2!H793</f>
        <v>0</v>
      </c>
      <c r="I793" s="430">
        <f>0+táj.2!I793</f>
        <v>0</v>
      </c>
      <c r="J793" s="430">
        <f>0+táj.2!J793</f>
        <v>0</v>
      </c>
      <c r="K793" s="430">
        <f>1500+táj.2!K793</f>
        <v>1500</v>
      </c>
      <c r="L793" s="430">
        <f>0+táj.2!L793</f>
        <v>0</v>
      </c>
      <c r="M793" s="430">
        <f>0+táj.2!M793</f>
        <v>0</v>
      </c>
      <c r="N793" s="430">
        <f>0+táj.2!N793</f>
        <v>0</v>
      </c>
      <c r="O793" s="430">
        <f>0+táj.2!O793</f>
        <v>0</v>
      </c>
      <c r="P793" s="430">
        <f>0+táj.2!P793</f>
        <v>0</v>
      </c>
      <c r="Q793" s="411">
        <f>SUM(G793:P793)</f>
        <v>1500</v>
      </c>
    </row>
    <row r="794" spans="1:17" ht="24.95" customHeight="1" x14ac:dyDescent="0.2">
      <c r="A794" s="425"/>
      <c r="B794" s="425"/>
      <c r="C794" s="426"/>
      <c r="D794" s="171" t="s">
        <v>1320</v>
      </c>
      <c r="E794" s="221">
        <v>2</v>
      </c>
      <c r="F794" s="230">
        <v>221955</v>
      </c>
      <c r="G794" s="430">
        <f>0+táj.2!G794</f>
        <v>0</v>
      </c>
      <c r="H794" s="430">
        <f>0+táj.2!H794</f>
        <v>0</v>
      </c>
      <c r="I794" s="430">
        <f>23654+táj.2!I794</f>
        <v>23654</v>
      </c>
      <c r="J794" s="430">
        <f>0+táj.2!J794</f>
        <v>0</v>
      </c>
      <c r="K794" s="430">
        <f>0+táj.2!K794</f>
        <v>0</v>
      </c>
      <c r="L794" s="430">
        <f>0+táj.2!L794</f>
        <v>0</v>
      </c>
      <c r="M794" s="430">
        <f>0+táj.2!M794</f>
        <v>0</v>
      </c>
      <c r="N794" s="430">
        <f>0+táj.2!N794</f>
        <v>0</v>
      </c>
      <c r="O794" s="430">
        <f>0+táj.2!O794</f>
        <v>0</v>
      </c>
      <c r="P794" s="430">
        <f>0+táj.2!P794</f>
        <v>0</v>
      </c>
      <c r="Q794" s="411">
        <f>SUM(G794:P794)</f>
        <v>23654</v>
      </c>
    </row>
    <row r="795" spans="1:17" ht="16.5" customHeight="1" x14ac:dyDescent="0.2">
      <c r="A795" s="425"/>
      <c r="B795" s="425"/>
      <c r="C795" s="426"/>
      <c r="D795" s="314" t="s">
        <v>1321</v>
      </c>
      <c r="E795" s="208"/>
      <c r="F795" s="208"/>
      <c r="G795" s="430"/>
      <c r="H795" s="430"/>
      <c r="I795" s="430"/>
      <c r="J795" s="430"/>
      <c r="K795" s="430"/>
      <c r="L795" s="430"/>
      <c r="M795" s="430"/>
      <c r="N795" s="430"/>
      <c r="O795" s="430"/>
      <c r="P795" s="430"/>
      <c r="Q795" s="170"/>
    </row>
    <row r="796" spans="1:17" ht="14.25" customHeight="1" x14ac:dyDescent="0.2">
      <c r="A796" s="425"/>
      <c r="B796" s="425"/>
      <c r="C796" s="426"/>
      <c r="D796" s="314" t="s">
        <v>1322</v>
      </c>
      <c r="E796" s="170">
        <v>2</v>
      </c>
      <c r="F796" s="170">
        <v>191151</v>
      </c>
      <c r="G796" s="430">
        <f>0+táj.2!G796</f>
        <v>0</v>
      </c>
      <c r="H796" s="430">
        <f>0+táj.2!H796</f>
        <v>0</v>
      </c>
      <c r="I796" s="430">
        <f>0+táj.2!I796</f>
        <v>0</v>
      </c>
      <c r="J796" s="430">
        <f>0+táj.2!J796</f>
        <v>0</v>
      </c>
      <c r="K796" s="430">
        <f>70000+táj.2!K796</f>
        <v>70000</v>
      </c>
      <c r="L796" s="430">
        <f>0+táj.2!L796</f>
        <v>0</v>
      </c>
      <c r="M796" s="430">
        <f>0+táj.2!M796</f>
        <v>0</v>
      </c>
      <c r="N796" s="430">
        <f>0+táj.2!N796</f>
        <v>0</v>
      </c>
      <c r="O796" s="430">
        <f>0+táj.2!O796</f>
        <v>0</v>
      </c>
      <c r="P796" s="430">
        <f>0+táj.2!P796</f>
        <v>0</v>
      </c>
      <c r="Q796" s="170">
        <f>SUM(G796:P796)</f>
        <v>70000</v>
      </c>
    </row>
    <row r="797" spans="1:17" ht="15.95" customHeight="1" x14ac:dyDescent="0.2">
      <c r="A797" s="425"/>
      <c r="B797" s="425"/>
      <c r="C797" s="426"/>
      <c r="D797" s="314" t="s">
        <v>528</v>
      </c>
      <c r="E797" s="221"/>
      <c r="F797" s="230"/>
      <c r="G797" s="430"/>
      <c r="H797" s="430"/>
      <c r="I797" s="430"/>
      <c r="J797" s="430"/>
      <c r="K797" s="430"/>
      <c r="L797" s="430"/>
      <c r="M797" s="430"/>
      <c r="N797" s="430"/>
      <c r="O797" s="430"/>
      <c r="P797" s="430"/>
      <c r="Q797" s="411"/>
    </row>
    <row r="798" spans="1:17" ht="24" customHeight="1" x14ac:dyDescent="0.2">
      <c r="A798" s="425"/>
      <c r="B798" s="425"/>
      <c r="C798" s="426"/>
      <c r="D798" s="172" t="s">
        <v>1360</v>
      </c>
      <c r="E798" s="221">
        <v>2</v>
      </c>
      <c r="F798" s="230">
        <v>221942</v>
      </c>
      <c r="G798" s="430">
        <f>0+táj.2!G798</f>
        <v>0</v>
      </c>
      <c r="H798" s="430">
        <f>0+táj.2!H798</f>
        <v>0</v>
      </c>
      <c r="I798" s="430">
        <f>10000+táj.2!I798</f>
        <v>0</v>
      </c>
      <c r="J798" s="430">
        <f>0+táj.2!J798</f>
        <v>0</v>
      </c>
      <c r="K798" s="430">
        <f>0+táj.2!K798</f>
        <v>0</v>
      </c>
      <c r="L798" s="430">
        <f>0+táj.2!L798</f>
        <v>0</v>
      </c>
      <c r="M798" s="430">
        <f>0+táj.2!M798</f>
        <v>0</v>
      </c>
      <c r="N798" s="430">
        <f>0+táj.2!N798</f>
        <v>0</v>
      </c>
      <c r="O798" s="430">
        <f>0+táj.2!O798</f>
        <v>0</v>
      </c>
      <c r="P798" s="430">
        <f>0+táj.2!P798</f>
        <v>0</v>
      </c>
      <c r="Q798" s="411">
        <f t="shared" ref="Q798:Q811" si="48">SUM(G798:P798)</f>
        <v>0</v>
      </c>
    </row>
    <row r="799" spans="1:17" ht="18.75" customHeight="1" x14ac:dyDescent="0.2">
      <c r="A799" s="425"/>
      <c r="B799" s="425"/>
      <c r="C799" s="426"/>
      <c r="D799" s="172" t="s">
        <v>1371</v>
      </c>
      <c r="E799" s="221">
        <v>2</v>
      </c>
      <c r="F799" s="607">
        <v>221961</v>
      </c>
      <c r="G799" s="430">
        <f>0+táj.2!G799</f>
        <v>0</v>
      </c>
      <c r="H799" s="430">
        <f>0+táj.2!H799</f>
        <v>0</v>
      </c>
      <c r="I799" s="430">
        <f>0+táj.2!I799</f>
        <v>6500</v>
      </c>
      <c r="J799" s="430">
        <f>0+táj.2!J799</f>
        <v>0</v>
      </c>
      <c r="K799" s="430">
        <f>0+táj.2!K799</f>
        <v>0</v>
      </c>
      <c r="L799" s="430">
        <f>0+táj.2!L799</f>
        <v>0</v>
      </c>
      <c r="M799" s="430">
        <f>0+táj.2!M799</f>
        <v>0</v>
      </c>
      <c r="N799" s="430">
        <f>0+táj.2!N799</f>
        <v>0</v>
      </c>
      <c r="O799" s="430">
        <f>0+táj.2!O799</f>
        <v>0</v>
      </c>
      <c r="P799" s="430">
        <f>0+táj.2!P799</f>
        <v>0</v>
      </c>
      <c r="Q799" s="411">
        <f t="shared" si="48"/>
        <v>6500</v>
      </c>
    </row>
    <row r="800" spans="1:17" ht="24" customHeight="1" x14ac:dyDescent="0.2">
      <c r="A800" s="425"/>
      <c r="B800" s="425"/>
      <c r="C800" s="426"/>
      <c r="D800" s="172" t="s">
        <v>1323</v>
      </c>
      <c r="E800" s="221">
        <v>2</v>
      </c>
      <c r="F800" s="230">
        <v>221910</v>
      </c>
      <c r="G800" s="430">
        <f>0+táj.2!G800</f>
        <v>0</v>
      </c>
      <c r="H800" s="430">
        <f>0+táj.2!H800</f>
        <v>0</v>
      </c>
      <c r="I800" s="430">
        <f>0+táj.2!I800</f>
        <v>0</v>
      </c>
      <c r="J800" s="430">
        <f>0+táj.2!J800</f>
        <v>0</v>
      </c>
      <c r="K800" s="430">
        <f>0+táj.2!K800</f>
        <v>0</v>
      </c>
      <c r="L800" s="430">
        <f>0+táj.2!L800</f>
        <v>0</v>
      </c>
      <c r="M800" s="430">
        <f>0+táj.2!M800</f>
        <v>0</v>
      </c>
      <c r="N800" s="430">
        <f>0+táj.2!N800</f>
        <v>0</v>
      </c>
      <c r="O800" s="430">
        <f>0+táj.2!O800</f>
        <v>0</v>
      </c>
      <c r="P800" s="430">
        <f>0+táj.2!P800</f>
        <v>0</v>
      </c>
      <c r="Q800" s="411">
        <f t="shared" si="48"/>
        <v>0</v>
      </c>
    </row>
    <row r="801" spans="1:17" ht="18" customHeight="1" x14ac:dyDescent="0.2">
      <c r="A801" s="907"/>
      <c r="B801" s="907"/>
      <c r="C801" s="908"/>
      <c r="D801" s="909" t="s">
        <v>1492</v>
      </c>
      <c r="E801" s="850">
        <v>2</v>
      </c>
      <c r="F801" s="861">
        <v>221911</v>
      </c>
      <c r="G801" s="430">
        <f>0+táj.2!G801</f>
        <v>0</v>
      </c>
      <c r="H801" s="430">
        <f>0+táj.2!H801</f>
        <v>0</v>
      </c>
      <c r="I801" s="430">
        <f>0+táj.2!I801</f>
        <v>4000</v>
      </c>
      <c r="J801" s="430">
        <f>0+táj.2!J801</f>
        <v>0</v>
      </c>
      <c r="K801" s="430">
        <f>0+táj.2!K801</f>
        <v>0</v>
      </c>
      <c r="L801" s="430">
        <f>0+táj.2!L801</f>
        <v>0</v>
      </c>
      <c r="M801" s="430">
        <f>0+táj.2!M801</f>
        <v>0</v>
      </c>
      <c r="N801" s="430">
        <f>0+táj.2!N801</f>
        <v>0</v>
      </c>
      <c r="O801" s="430">
        <f>0+táj.2!O801</f>
        <v>0</v>
      </c>
      <c r="P801" s="430">
        <f>0+táj.2!P801</f>
        <v>0</v>
      </c>
      <c r="Q801" s="411">
        <f t="shared" si="48"/>
        <v>4000</v>
      </c>
    </row>
    <row r="802" spans="1:17" ht="38.25" x14ac:dyDescent="0.2">
      <c r="A802" s="425"/>
      <c r="B802" s="425"/>
      <c r="C802" s="426"/>
      <c r="D802" s="245" t="s">
        <v>1324</v>
      </c>
      <c r="E802" s="221">
        <v>2</v>
      </c>
      <c r="F802" s="230">
        <v>221919</v>
      </c>
      <c r="G802" s="430">
        <f>0+táj.2!G802</f>
        <v>0</v>
      </c>
      <c r="H802" s="430">
        <f>0+táj.2!H802</f>
        <v>0</v>
      </c>
      <c r="I802" s="430">
        <f>0+táj.2!I802</f>
        <v>0</v>
      </c>
      <c r="J802" s="430">
        <f>0+táj.2!J802</f>
        <v>0</v>
      </c>
      <c r="K802" s="430">
        <f>500+táj.2!K802</f>
        <v>500</v>
      </c>
      <c r="L802" s="430">
        <f>0+táj.2!L802</f>
        <v>0</v>
      </c>
      <c r="M802" s="430">
        <f>0+táj.2!M802</f>
        <v>0</v>
      </c>
      <c r="N802" s="430">
        <f>0+táj.2!N802</f>
        <v>0</v>
      </c>
      <c r="O802" s="430">
        <f>0+táj.2!O802</f>
        <v>0</v>
      </c>
      <c r="P802" s="430">
        <f>0+táj.2!P802</f>
        <v>0</v>
      </c>
      <c r="Q802" s="411">
        <f t="shared" si="48"/>
        <v>500</v>
      </c>
    </row>
    <row r="803" spans="1:17" ht="29.25" customHeight="1" x14ac:dyDescent="0.2">
      <c r="A803" s="425"/>
      <c r="B803" s="425"/>
      <c r="C803" s="426"/>
      <c r="D803" s="245" t="s">
        <v>1325</v>
      </c>
      <c r="E803" s="221">
        <v>2</v>
      </c>
      <c r="F803" s="230">
        <v>221938</v>
      </c>
      <c r="G803" s="430">
        <f>0+táj.2!G803</f>
        <v>0</v>
      </c>
      <c r="H803" s="430">
        <f>0+táj.2!H803</f>
        <v>0</v>
      </c>
      <c r="I803" s="430">
        <f>0+táj.2!I803</f>
        <v>0</v>
      </c>
      <c r="J803" s="430">
        <f>0+táj.2!J803</f>
        <v>0</v>
      </c>
      <c r="K803" s="430">
        <f>0+táj.2!K803</f>
        <v>0</v>
      </c>
      <c r="L803" s="430">
        <f>0+táj.2!L803</f>
        <v>0</v>
      </c>
      <c r="M803" s="430">
        <f>0+táj.2!M803</f>
        <v>0</v>
      </c>
      <c r="N803" s="430">
        <f>0+táj.2!N803</f>
        <v>0</v>
      </c>
      <c r="O803" s="430">
        <f>0+táj.2!O803</f>
        <v>0</v>
      </c>
      <c r="P803" s="430">
        <f>0+táj.2!P803</f>
        <v>0</v>
      </c>
      <c r="Q803" s="411">
        <f t="shared" si="48"/>
        <v>0</v>
      </c>
    </row>
    <row r="804" spans="1:17" ht="16.5" customHeight="1" x14ac:dyDescent="0.2">
      <c r="A804" s="425"/>
      <c r="B804" s="425"/>
      <c r="C804" s="426"/>
      <c r="D804" s="275" t="s">
        <v>1392</v>
      </c>
      <c r="E804" s="176">
        <v>2</v>
      </c>
      <c r="F804" s="170">
        <v>121518</v>
      </c>
      <c r="G804" s="430">
        <f>0+táj.2!G804</f>
        <v>0</v>
      </c>
      <c r="H804" s="430">
        <f>0+táj.2!H804</f>
        <v>0</v>
      </c>
      <c r="I804" s="430">
        <f>0+táj.2!I804</f>
        <v>0</v>
      </c>
      <c r="J804" s="430">
        <f>0+táj.2!J804</f>
        <v>0</v>
      </c>
      <c r="K804" s="430">
        <f>500+táj.2!K804</f>
        <v>1300</v>
      </c>
      <c r="L804" s="430">
        <f>0+táj.2!L804</f>
        <v>0</v>
      </c>
      <c r="M804" s="430">
        <f>0+táj.2!M804</f>
        <v>0</v>
      </c>
      <c r="N804" s="430">
        <f>0+táj.2!N804</f>
        <v>0</v>
      </c>
      <c r="O804" s="430">
        <f>0+táj.2!O804</f>
        <v>0</v>
      </c>
      <c r="P804" s="430">
        <f>0+táj.2!P804</f>
        <v>0</v>
      </c>
      <c r="Q804" s="411">
        <f t="shared" si="48"/>
        <v>1300</v>
      </c>
    </row>
    <row r="805" spans="1:17" ht="15" customHeight="1" x14ac:dyDescent="0.2">
      <c r="A805" s="425"/>
      <c r="B805" s="425"/>
      <c r="C805" s="426"/>
      <c r="D805" s="169" t="s">
        <v>1326</v>
      </c>
      <c r="E805" s="221">
        <v>2</v>
      </c>
      <c r="F805" s="230">
        <v>221931</v>
      </c>
      <c r="G805" s="430">
        <f>0+táj.2!G805</f>
        <v>0</v>
      </c>
      <c r="H805" s="430">
        <f>0+táj.2!H805</f>
        <v>0</v>
      </c>
      <c r="I805" s="430">
        <f>0+táj.2!I805</f>
        <v>0</v>
      </c>
      <c r="J805" s="430">
        <f>0+táj.2!J805</f>
        <v>0</v>
      </c>
      <c r="K805" s="430">
        <f>1000+táj.2!K805</f>
        <v>1000</v>
      </c>
      <c r="L805" s="430">
        <f>0+táj.2!L805</f>
        <v>0</v>
      </c>
      <c r="M805" s="430">
        <f>0+táj.2!M805</f>
        <v>0</v>
      </c>
      <c r="N805" s="430">
        <f>0+táj.2!N805</f>
        <v>0</v>
      </c>
      <c r="O805" s="430">
        <f>0+táj.2!O805</f>
        <v>0</v>
      </c>
      <c r="P805" s="430">
        <f>0+táj.2!P805</f>
        <v>0</v>
      </c>
      <c r="Q805" s="411">
        <f t="shared" si="48"/>
        <v>1000</v>
      </c>
    </row>
    <row r="806" spans="1:17" ht="26.25" customHeight="1" x14ac:dyDescent="0.2">
      <c r="A806" s="425"/>
      <c r="B806" s="425"/>
      <c r="C806" s="426"/>
      <c r="D806" s="169" t="s">
        <v>1327</v>
      </c>
      <c r="E806" s="221">
        <v>2</v>
      </c>
      <c r="F806" s="230">
        <v>221957</v>
      </c>
      <c r="G806" s="430">
        <f>0+táj.2!G806</f>
        <v>0</v>
      </c>
      <c r="H806" s="430">
        <f>0+táj.2!H806</f>
        <v>0</v>
      </c>
      <c r="I806" s="430">
        <f>0+táj.2!I806</f>
        <v>0</v>
      </c>
      <c r="J806" s="430">
        <f>0+táj.2!J806</f>
        <v>0</v>
      </c>
      <c r="K806" s="430">
        <f>300+táj.2!K806</f>
        <v>300</v>
      </c>
      <c r="L806" s="430">
        <f>0+táj.2!L806</f>
        <v>0</v>
      </c>
      <c r="M806" s="430">
        <f>0+táj.2!M806</f>
        <v>0</v>
      </c>
      <c r="N806" s="430">
        <f>0+táj.2!N806</f>
        <v>0</v>
      </c>
      <c r="O806" s="430">
        <f>0+táj.2!O806</f>
        <v>0</v>
      </c>
      <c r="P806" s="430">
        <f>0+táj.2!P806</f>
        <v>0</v>
      </c>
      <c r="Q806" s="411">
        <f t="shared" si="48"/>
        <v>300</v>
      </c>
    </row>
    <row r="807" spans="1:17" ht="25.5" customHeight="1" x14ac:dyDescent="0.2">
      <c r="A807" s="425"/>
      <c r="B807" s="425"/>
      <c r="C807" s="426"/>
      <c r="D807" s="245" t="s">
        <v>1395</v>
      </c>
      <c r="E807" s="221">
        <v>2</v>
      </c>
      <c r="F807" s="230">
        <v>221915</v>
      </c>
      <c r="G807" s="430">
        <f>0+táj.2!G807</f>
        <v>0</v>
      </c>
      <c r="H807" s="430">
        <f>0+táj.2!H807</f>
        <v>0</v>
      </c>
      <c r="I807" s="430">
        <f>0+táj.2!I807</f>
        <v>0</v>
      </c>
      <c r="J807" s="430">
        <f>0+táj.2!J807</f>
        <v>0</v>
      </c>
      <c r="K807" s="430">
        <f>2500+táj.2!K807</f>
        <v>0</v>
      </c>
      <c r="L807" s="430">
        <f>0+táj.2!L807</f>
        <v>0</v>
      </c>
      <c r="M807" s="430">
        <f>0+táj.2!M807</f>
        <v>0</v>
      </c>
      <c r="N807" s="430">
        <f>0+táj.2!N807</f>
        <v>0</v>
      </c>
      <c r="O807" s="430">
        <f>0+táj.2!O807</f>
        <v>0</v>
      </c>
      <c r="P807" s="430">
        <f>0+táj.2!P807</f>
        <v>0</v>
      </c>
      <c r="Q807" s="411">
        <f t="shared" si="48"/>
        <v>0</v>
      </c>
    </row>
    <row r="808" spans="1:17" ht="19.5" customHeight="1" x14ac:dyDescent="0.2">
      <c r="A808" s="425"/>
      <c r="B808" s="425"/>
      <c r="C808" s="426"/>
      <c r="D808" s="245" t="s">
        <v>1328</v>
      </c>
      <c r="E808" s="221">
        <v>2</v>
      </c>
      <c r="F808" s="230">
        <v>221958</v>
      </c>
      <c r="G808" s="430">
        <f>0+táj.2!G808</f>
        <v>0</v>
      </c>
      <c r="H808" s="430">
        <f>0+táj.2!H808</f>
        <v>0</v>
      </c>
      <c r="I808" s="430">
        <f>0+táj.2!I808</f>
        <v>0</v>
      </c>
      <c r="J808" s="430">
        <f>0+táj.2!J808</f>
        <v>0</v>
      </c>
      <c r="K808" s="430">
        <f>0+táj.2!K808</f>
        <v>0</v>
      </c>
      <c r="L808" s="430">
        <f>0+táj.2!L808</f>
        <v>0</v>
      </c>
      <c r="M808" s="430">
        <f>0+táj.2!M808</f>
        <v>0</v>
      </c>
      <c r="N808" s="430">
        <f>0+táj.2!N808</f>
        <v>0</v>
      </c>
      <c r="O808" s="430">
        <f>0+táj.2!O808</f>
        <v>0</v>
      </c>
      <c r="P808" s="430">
        <f>0+táj.2!P808</f>
        <v>0</v>
      </c>
      <c r="Q808" s="411">
        <f t="shared" si="48"/>
        <v>0</v>
      </c>
    </row>
    <row r="809" spans="1:17" ht="19.5" customHeight="1" x14ac:dyDescent="0.2">
      <c r="A809" s="425"/>
      <c r="B809" s="425"/>
      <c r="C809" s="426"/>
      <c r="D809" s="245" t="s">
        <v>1393</v>
      </c>
      <c r="E809" s="221">
        <v>2</v>
      </c>
      <c r="F809" s="230">
        <v>221944</v>
      </c>
      <c r="G809" s="430">
        <f>0+táj.2!G809</f>
        <v>0</v>
      </c>
      <c r="H809" s="430">
        <f>0+táj.2!H809</f>
        <v>0</v>
      </c>
      <c r="I809" s="430">
        <f>0+táj.2!I809</f>
        <v>0</v>
      </c>
      <c r="J809" s="430">
        <f>0+táj.2!J809</f>
        <v>0</v>
      </c>
      <c r="K809" s="430">
        <f>0+táj.2!K809</f>
        <v>0</v>
      </c>
      <c r="L809" s="430">
        <f>0+táj.2!L809</f>
        <v>0</v>
      </c>
      <c r="M809" s="430">
        <f>0+táj.2!M809</f>
        <v>0</v>
      </c>
      <c r="N809" s="430">
        <f>0+táj.2!N809</f>
        <v>0</v>
      </c>
      <c r="O809" s="430">
        <f>0+táj.2!O809</f>
        <v>0</v>
      </c>
      <c r="P809" s="430">
        <f>0+táj.2!P809</f>
        <v>0</v>
      </c>
      <c r="Q809" s="411">
        <f t="shared" si="48"/>
        <v>0</v>
      </c>
    </row>
    <row r="810" spans="1:17" ht="25.5" customHeight="1" x14ac:dyDescent="0.2">
      <c r="A810" s="425"/>
      <c r="B810" s="425"/>
      <c r="C810" s="426"/>
      <c r="D810" s="309" t="s">
        <v>1329</v>
      </c>
      <c r="E810" s="221">
        <v>2</v>
      </c>
      <c r="F810" s="230">
        <v>221959</v>
      </c>
      <c r="G810" s="430">
        <f>0+táj.2!G810</f>
        <v>0</v>
      </c>
      <c r="H810" s="430">
        <f>0+táj.2!H810</f>
        <v>0</v>
      </c>
      <c r="I810" s="430">
        <f>0+táj.2!I810</f>
        <v>0</v>
      </c>
      <c r="J810" s="430">
        <f>0+táj.2!J810</f>
        <v>0</v>
      </c>
      <c r="K810" s="430">
        <f>500+táj.2!K810</f>
        <v>500</v>
      </c>
      <c r="L810" s="430">
        <f>0+táj.2!L810</f>
        <v>0</v>
      </c>
      <c r="M810" s="430">
        <f>0+táj.2!M810</f>
        <v>0</v>
      </c>
      <c r="N810" s="430">
        <f>0+táj.2!N810</f>
        <v>0</v>
      </c>
      <c r="O810" s="430">
        <f>0+táj.2!O810</f>
        <v>0</v>
      </c>
      <c r="P810" s="430">
        <f>0+táj.2!P810</f>
        <v>0</v>
      </c>
      <c r="Q810" s="411">
        <f t="shared" si="48"/>
        <v>500</v>
      </c>
    </row>
    <row r="811" spans="1:17" ht="18.75" customHeight="1" x14ac:dyDescent="0.2">
      <c r="A811" s="425"/>
      <c r="B811" s="425"/>
      <c r="C811" s="426"/>
      <c r="D811" s="309" t="s">
        <v>1330</v>
      </c>
      <c r="E811" s="221">
        <v>2</v>
      </c>
      <c r="F811" s="230">
        <v>221960</v>
      </c>
      <c r="G811" s="430">
        <f>0+táj.2!G811</f>
        <v>0</v>
      </c>
      <c r="H811" s="430">
        <f>0+táj.2!H811</f>
        <v>0</v>
      </c>
      <c r="I811" s="430">
        <f>0+táj.2!I811</f>
        <v>0</v>
      </c>
      <c r="J811" s="430">
        <f>0+táj.2!J811</f>
        <v>0</v>
      </c>
      <c r="K811" s="430">
        <f>2500+táj.2!K811</f>
        <v>2500</v>
      </c>
      <c r="L811" s="430">
        <f>0+táj.2!L811</f>
        <v>0</v>
      </c>
      <c r="M811" s="430">
        <f>0+táj.2!M811</f>
        <v>0</v>
      </c>
      <c r="N811" s="430">
        <f>0+táj.2!N811</f>
        <v>0</v>
      </c>
      <c r="O811" s="430">
        <f>0+táj.2!O811</f>
        <v>0</v>
      </c>
      <c r="P811" s="430">
        <f>0+táj.2!P811</f>
        <v>0</v>
      </c>
      <c r="Q811" s="411">
        <f t="shared" si="48"/>
        <v>2500</v>
      </c>
    </row>
    <row r="812" spans="1:17" ht="14.1" customHeight="1" x14ac:dyDescent="0.2">
      <c r="A812" s="223"/>
      <c r="B812" s="223"/>
      <c r="C812" s="224"/>
      <c r="D812" s="339" t="s">
        <v>1331</v>
      </c>
      <c r="E812" s="436"/>
      <c r="F812" s="226"/>
      <c r="G812" s="437">
        <f t="shared" ref="G812:Q812" si="49">SUM(G768:G811)</f>
        <v>16830</v>
      </c>
      <c r="H812" s="437">
        <f t="shared" si="49"/>
        <v>9706</v>
      </c>
      <c r="I812" s="437">
        <f t="shared" si="49"/>
        <v>152813</v>
      </c>
      <c r="J812" s="437">
        <f t="shared" si="49"/>
        <v>0</v>
      </c>
      <c r="K812" s="437">
        <f t="shared" si="49"/>
        <v>315705</v>
      </c>
      <c r="L812" s="437">
        <f t="shared" si="49"/>
        <v>4728</v>
      </c>
      <c r="M812" s="437">
        <f t="shared" si="49"/>
        <v>0</v>
      </c>
      <c r="N812" s="437">
        <f t="shared" si="49"/>
        <v>1870</v>
      </c>
      <c r="O812" s="437">
        <f t="shared" si="49"/>
        <v>0</v>
      </c>
      <c r="P812" s="437">
        <f t="shared" si="49"/>
        <v>0</v>
      </c>
      <c r="Q812" s="437">
        <f t="shared" si="49"/>
        <v>501652</v>
      </c>
    </row>
    <row r="813" spans="1:17" ht="14.1" customHeight="1" x14ac:dyDescent="0.2">
      <c r="A813" s="229"/>
      <c r="B813" s="229"/>
      <c r="C813" s="229"/>
      <c r="D813" s="438" t="s">
        <v>1332</v>
      </c>
      <c r="E813" s="404"/>
      <c r="F813" s="232"/>
      <c r="G813" s="287"/>
      <c r="H813" s="287"/>
      <c r="I813" s="287"/>
      <c r="J813" s="287"/>
      <c r="K813" s="287"/>
      <c r="L813" s="287"/>
      <c r="M813" s="287"/>
      <c r="N813" s="287"/>
      <c r="O813" s="287"/>
      <c r="P813" s="287"/>
      <c r="Q813" s="287"/>
    </row>
    <row r="814" spans="1:17" ht="15" customHeight="1" x14ac:dyDescent="0.2">
      <c r="A814" s="229"/>
      <c r="B814" s="229"/>
      <c r="C814" s="284" t="s">
        <v>125</v>
      </c>
      <c r="D814" s="245" t="s">
        <v>1369</v>
      </c>
      <c r="E814" s="293"/>
      <c r="F814" s="230">
        <v>222923</v>
      </c>
      <c r="G814" s="221">
        <f>0+táj.2!G814</f>
        <v>0</v>
      </c>
      <c r="H814" s="221">
        <f>0+táj.2!H814</f>
        <v>0</v>
      </c>
      <c r="I814" s="221">
        <f>27000+táj.2!I814</f>
        <v>27000</v>
      </c>
      <c r="J814" s="221">
        <f>0+táj.2!J814</f>
        <v>0</v>
      </c>
      <c r="K814" s="221">
        <f>0+táj.2!K814</f>
        <v>0</v>
      </c>
      <c r="L814" s="221">
        <f>10000+táj.2!L814</f>
        <v>10000</v>
      </c>
      <c r="M814" s="221">
        <f>0+táj.2!M814</f>
        <v>0</v>
      </c>
      <c r="N814" s="221">
        <f>0+táj.2!N814</f>
        <v>0</v>
      </c>
      <c r="O814" s="221">
        <f>0+táj.2!O814</f>
        <v>0</v>
      </c>
      <c r="P814" s="221">
        <f>0+táj.2!P814</f>
        <v>0</v>
      </c>
      <c r="Q814" s="221">
        <f>SUM(I814:P814)</f>
        <v>37000</v>
      </c>
    </row>
    <row r="815" spans="1:17" ht="21" customHeight="1" x14ac:dyDescent="0.2">
      <c r="A815" s="229"/>
      <c r="B815" s="229"/>
      <c r="C815" s="284" t="s">
        <v>124</v>
      </c>
      <c r="D815" s="245" t="s">
        <v>1333</v>
      </c>
      <c r="E815" s="293"/>
      <c r="F815" s="230">
        <v>222924</v>
      </c>
      <c r="G815" s="221">
        <f>0+táj.2!G815</f>
        <v>0</v>
      </c>
      <c r="H815" s="221">
        <f>0+táj.2!H815</f>
        <v>0</v>
      </c>
      <c r="I815" s="221">
        <f>0+táj.2!I815</f>
        <v>0</v>
      </c>
      <c r="J815" s="221">
        <f>0+táj.2!J815</f>
        <v>0</v>
      </c>
      <c r="K815" s="221">
        <f>0+táj.2!K815</f>
        <v>0</v>
      </c>
      <c r="L815" s="221">
        <f>0+táj.2!L815</f>
        <v>0</v>
      </c>
      <c r="M815" s="221">
        <f>0+táj.2!M815</f>
        <v>0</v>
      </c>
      <c r="N815" s="221">
        <f>4000+táj.2!N815</f>
        <v>0</v>
      </c>
      <c r="O815" s="221">
        <f>0+táj.2!O815</f>
        <v>0</v>
      </c>
      <c r="P815" s="221">
        <f>0+táj.2!P815</f>
        <v>0</v>
      </c>
      <c r="Q815" s="221">
        <f>SUM(I815:P815)</f>
        <v>0</v>
      </c>
    </row>
    <row r="816" spans="1:17" ht="14.1" customHeight="1" x14ac:dyDescent="0.2">
      <c r="A816" s="229"/>
      <c r="B816" s="229"/>
      <c r="C816" s="229"/>
      <c r="D816" s="314" t="s">
        <v>502</v>
      </c>
      <c r="E816" s="404"/>
      <c r="F816" s="232"/>
      <c r="G816" s="221"/>
      <c r="H816" s="221"/>
      <c r="I816" s="221"/>
      <c r="J816" s="221"/>
      <c r="K816" s="221"/>
      <c r="L816" s="221"/>
      <c r="M816" s="221"/>
      <c r="N816" s="221"/>
      <c r="O816" s="221"/>
      <c r="P816" s="221"/>
      <c r="Q816" s="221"/>
    </row>
    <row r="817" spans="1:17" ht="25.5" customHeight="1" x14ac:dyDescent="0.2">
      <c r="A817" s="229"/>
      <c r="B817" s="229"/>
      <c r="C817" s="363" t="s">
        <v>1334</v>
      </c>
      <c r="D817" s="171" t="s">
        <v>1335</v>
      </c>
      <c r="E817" s="404"/>
      <c r="F817" s="213">
        <v>222902</v>
      </c>
      <c r="G817" s="221">
        <f>0+táj.2!G817</f>
        <v>0</v>
      </c>
      <c r="H817" s="221">
        <f>0+táj.2!H817</f>
        <v>0</v>
      </c>
      <c r="I817" s="221">
        <f>0+táj.2!I817</f>
        <v>0</v>
      </c>
      <c r="J817" s="221">
        <f>0+táj.2!J817</f>
        <v>0</v>
      </c>
      <c r="K817" s="221">
        <f>0+táj.2!K817</f>
        <v>0</v>
      </c>
      <c r="L817" s="221">
        <f>2743+táj.2!L817</f>
        <v>2743</v>
      </c>
      <c r="M817" s="221">
        <f>0+táj.2!M817</f>
        <v>0</v>
      </c>
      <c r="N817" s="221">
        <f>0+táj.2!N817</f>
        <v>0</v>
      </c>
      <c r="O817" s="221">
        <f>0+táj.2!O817</f>
        <v>0</v>
      </c>
      <c r="P817" s="221">
        <f>0+táj.2!P817</f>
        <v>0</v>
      </c>
      <c r="Q817" s="221">
        <f>SUM(L817:P817)</f>
        <v>2743</v>
      </c>
    </row>
    <row r="818" spans="1:17" ht="18" customHeight="1" x14ac:dyDescent="0.2">
      <c r="A818" s="229"/>
      <c r="B818" s="229"/>
      <c r="C818" s="363" t="s">
        <v>1334</v>
      </c>
      <c r="D818" s="245" t="s">
        <v>1336</v>
      </c>
      <c r="E818" s="293"/>
      <c r="F818" s="230">
        <v>222922</v>
      </c>
      <c r="G818" s="221">
        <f>0+táj.2!G818</f>
        <v>0</v>
      </c>
      <c r="H818" s="221">
        <f>0+táj.2!H818</f>
        <v>0</v>
      </c>
      <c r="I818" s="221">
        <f>0+táj.2!I818</f>
        <v>0</v>
      </c>
      <c r="J818" s="221">
        <f>0+táj.2!J818</f>
        <v>0</v>
      </c>
      <c r="K818" s="221">
        <f>0+táj.2!K818</f>
        <v>0</v>
      </c>
      <c r="L818" s="221">
        <f>3000+táj.2!L818</f>
        <v>3000</v>
      </c>
      <c r="M818" s="221">
        <f>0+táj.2!M818</f>
        <v>0</v>
      </c>
      <c r="N818" s="221">
        <f>0+táj.2!N818</f>
        <v>0</v>
      </c>
      <c r="O818" s="221">
        <f>0+táj.2!O818</f>
        <v>0</v>
      </c>
      <c r="P818" s="221">
        <f>0+táj.2!P818</f>
        <v>0</v>
      </c>
      <c r="Q818" s="221">
        <f>SUM(L818:P818)</f>
        <v>3000</v>
      </c>
    </row>
    <row r="819" spans="1:17" ht="18" customHeight="1" x14ac:dyDescent="0.2">
      <c r="A819" s="229"/>
      <c r="B819" s="229"/>
      <c r="C819" s="363" t="s">
        <v>1334</v>
      </c>
      <c r="D819" s="439" t="s">
        <v>1337</v>
      </c>
      <c r="E819" s="348"/>
      <c r="F819" s="440">
        <v>222904</v>
      </c>
      <c r="G819" s="221">
        <f>0+táj.2!G819</f>
        <v>0</v>
      </c>
      <c r="H819" s="221">
        <f>0+táj.2!H819</f>
        <v>0</v>
      </c>
      <c r="I819" s="221">
        <f>0+táj.2!I819</f>
        <v>0</v>
      </c>
      <c r="J819" s="221">
        <f>0+táj.2!J819</f>
        <v>0</v>
      </c>
      <c r="K819" s="221">
        <f>0+táj.2!K819</f>
        <v>0</v>
      </c>
      <c r="L819" s="221">
        <f>0+táj.2!L819</f>
        <v>0</v>
      </c>
      <c r="M819" s="221">
        <f>0+táj.2!M819</f>
        <v>0</v>
      </c>
      <c r="N819" s="221">
        <f>2100+táj.2!N819</f>
        <v>2100</v>
      </c>
      <c r="O819" s="221">
        <f>0+táj.2!O819</f>
        <v>0</v>
      </c>
      <c r="P819" s="221">
        <f>0+táj.2!P819</f>
        <v>0</v>
      </c>
      <c r="Q819" s="221">
        <f>SUM(G819:P819)</f>
        <v>2100</v>
      </c>
    </row>
    <row r="820" spans="1:17" ht="18" customHeight="1" x14ac:dyDescent="0.2">
      <c r="A820" s="223"/>
      <c r="B820" s="223"/>
      <c r="C820" s="224"/>
      <c r="D820" s="182" t="s">
        <v>1338</v>
      </c>
      <c r="E820" s="436"/>
      <c r="F820" s="226"/>
      <c r="G820" s="437">
        <f t="shared" ref="G820:Q820" si="50">SUM(G812:G819)</f>
        <v>16830</v>
      </c>
      <c r="H820" s="437">
        <f t="shared" si="50"/>
        <v>9706</v>
      </c>
      <c r="I820" s="437">
        <f t="shared" si="50"/>
        <v>179813</v>
      </c>
      <c r="J820" s="437">
        <f t="shared" si="50"/>
        <v>0</v>
      </c>
      <c r="K820" s="437">
        <f t="shared" si="50"/>
        <v>315705</v>
      </c>
      <c r="L820" s="437">
        <f t="shared" si="50"/>
        <v>20471</v>
      </c>
      <c r="M820" s="437">
        <f t="shared" si="50"/>
        <v>0</v>
      </c>
      <c r="N820" s="437">
        <f t="shared" si="50"/>
        <v>3970</v>
      </c>
      <c r="O820" s="437">
        <f t="shared" si="50"/>
        <v>0</v>
      </c>
      <c r="P820" s="437">
        <f t="shared" si="50"/>
        <v>0</v>
      </c>
      <c r="Q820" s="437">
        <f t="shared" si="50"/>
        <v>546495</v>
      </c>
    </row>
    <row r="821" spans="1:17" ht="18" customHeight="1" x14ac:dyDescent="0.2">
      <c r="A821" s="229">
        <v>1</v>
      </c>
      <c r="B821" s="229">
        <v>30</v>
      </c>
      <c r="C821" s="284"/>
      <c r="D821" s="307" t="s">
        <v>1339</v>
      </c>
      <c r="E821" s="230"/>
      <c r="F821" s="230"/>
      <c r="G821" s="170"/>
      <c r="H821" s="202"/>
      <c r="I821" s="202"/>
      <c r="J821" s="202"/>
      <c r="K821" s="202"/>
      <c r="L821" s="202"/>
      <c r="M821" s="170"/>
      <c r="N821" s="170"/>
      <c r="O821" s="170"/>
      <c r="P821" s="170"/>
      <c r="Q821" s="170"/>
    </row>
    <row r="822" spans="1:17" ht="18" customHeight="1" x14ac:dyDescent="0.2">
      <c r="A822" s="229"/>
      <c r="B822" s="229">
        <v>31</v>
      </c>
      <c r="C822" s="284"/>
      <c r="D822" s="307" t="s">
        <v>1340</v>
      </c>
      <c r="E822" s="170">
        <v>1</v>
      </c>
      <c r="F822" s="230">
        <v>311901</v>
      </c>
      <c r="G822" s="221">
        <f>0+táj.2!G822</f>
        <v>0</v>
      </c>
      <c r="H822" s="221">
        <f>0+táj.2!H822</f>
        <v>0</v>
      </c>
      <c r="I822" s="221">
        <f>0+táj.2!I822</f>
        <v>0</v>
      </c>
      <c r="J822" s="221">
        <f>0+táj.2!J822</f>
        <v>0</v>
      </c>
      <c r="K822" s="221">
        <f>5000+táj.2!K822</f>
        <v>3000</v>
      </c>
      <c r="L822" s="221">
        <f>0+táj.2!L822</f>
        <v>0</v>
      </c>
      <c r="M822" s="221">
        <f>0+táj.2!M822</f>
        <v>0</v>
      </c>
      <c r="N822" s="221">
        <f>0+táj.2!N822</f>
        <v>0</v>
      </c>
      <c r="O822" s="221">
        <f>0+táj.2!O822</f>
        <v>0</v>
      </c>
      <c r="P822" s="221">
        <f>0+táj.2!P822</f>
        <v>0</v>
      </c>
      <c r="Q822" s="170">
        <f>SUM(K822:P822)</f>
        <v>3000</v>
      </c>
    </row>
    <row r="823" spans="1:17" ht="18" customHeight="1" x14ac:dyDescent="0.2">
      <c r="A823" s="197"/>
      <c r="B823" s="197">
        <v>32</v>
      </c>
      <c r="C823" s="217"/>
      <c r="D823" s="307" t="s">
        <v>1341</v>
      </c>
      <c r="E823" s="170"/>
      <c r="F823" s="230"/>
      <c r="G823" s="221"/>
      <c r="H823" s="202"/>
      <c r="I823" s="202"/>
      <c r="J823" s="202"/>
      <c r="K823" s="202"/>
      <c r="L823" s="202"/>
      <c r="M823" s="221"/>
      <c r="N823" s="221"/>
      <c r="O823" s="170"/>
      <c r="P823" s="170"/>
      <c r="Q823" s="170"/>
    </row>
    <row r="824" spans="1:17" ht="18" customHeight="1" x14ac:dyDescent="0.2">
      <c r="A824" s="197"/>
      <c r="B824" s="197"/>
      <c r="C824" s="217"/>
      <c r="D824" s="314" t="s">
        <v>1394</v>
      </c>
      <c r="E824" s="170">
        <v>1</v>
      </c>
      <c r="F824" s="170">
        <v>321907</v>
      </c>
      <c r="G824" s="221">
        <f>0+táj.2!G824</f>
        <v>0</v>
      </c>
      <c r="H824" s="221">
        <f>0+táj.2!H824</f>
        <v>0</v>
      </c>
      <c r="I824" s="221">
        <f>0+táj.2!I824</f>
        <v>0</v>
      </c>
      <c r="J824" s="221">
        <f>0+táj.2!J824</f>
        <v>0</v>
      </c>
      <c r="K824" s="221">
        <f>35000+táj.2!K824</f>
        <v>0</v>
      </c>
      <c r="L824" s="221">
        <f>0+táj.2!L824</f>
        <v>0</v>
      </c>
      <c r="M824" s="221">
        <f>0+táj.2!M824</f>
        <v>0</v>
      </c>
      <c r="N824" s="221">
        <f>0+táj.2!N824</f>
        <v>0</v>
      </c>
      <c r="O824" s="221">
        <f>0+táj.2!O824</f>
        <v>0</v>
      </c>
      <c r="P824" s="221">
        <f>0+táj.2!P824</f>
        <v>0</v>
      </c>
      <c r="Q824" s="170">
        <f t="shared" ref="Q824:Q830" si="51">SUM(K824:P824)</f>
        <v>0</v>
      </c>
    </row>
    <row r="825" spans="1:17" ht="15.75" customHeight="1" x14ac:dyDescent="0.2">
      <c r="A825" s="441"/>
      <c r="B825" s="441"/>
      <c r="C825" s="441"/>
      <c r="D825" s="442" t="s">
        <v>1342</v>
      </c>
      <c r="E825" s="443">
        <v>1</v>
      </c>
      <c r="F825" s="444">
        <v>321903</v>
      </c>
      <c r="G825" s="221">
        <f>0+táj.2!G825</f>
        <v>0</v>
      </c>
      <c r="H825" s="221">
        <f>0+táj.2!H825</f>
        <v>0</v>
      </c>
      <c r="I825" s="221">
        <f>0+táj.2!I825</f>
        <v>0</v>
      </c>
      <c r="J825" s="221">
        <f>0+táj.2!J825</f>
        <v>0</v>
      </c>
      <c r="K825" s="221">
        <f>149569+táj.2!K825</f>
        <v>156240</v>
      </c>
      <c r="L825" s="221">
        <f>0+táj.2!L825</f>
        <v>0</v>
      </c>
      <c r="M825" s="221">
        <f>0+táj.2!M825</f>
        <v>0</v>
      </c>
      <c r="N825" s="221">
        <f>0+táj.2!N825</f>
        <v>0</v>
      </c>
      <c r="O825" s="221">
        <f>0+táj.2!O825</f>
        <v>0</v>
      </c>
      <c r="P825" s="221">
        <f>0+táj.2!P825</f>
        <v>0</v>
      </c>
      <c r="Q825" s="170">
        <f t="shared" si="51"/>
        <v>156240</v>
      </c>
    </row>
    <row r="826" spans="1:17" ht="18" customHeight="1" x14ac:dyDescent="0.2">
      <c r="A826" s="197"/>
      <c r="B826" s="197"/>
      <c r="C826" s="217"/>
      <c r="D826" s="314" t="s">
        <v>1343</v>
      </c>
      <c r="E826" s="208">
        <v>1</v>
      </c>
      <c r="F826" s="170">
        <v>321908</v>
      </c>
      <c r="G826" s="221">
        <f>0+táj.2!G826</f>
        <v>0</v>
      </c>
      <c r="H826" s="221">
        <f>0+táj.2!H826</f>
        <v>0</v>
      </c>
      <c r="I826" s="221">
        <f>0+táj.2!I826</f>
        <v>0</v>
      </c>
      <c r="J826" s="221">
        <f>0+táj.2!J826</f>
        <v>0</v>
      </c>
      <c r="K826" s="221">
        <f>11554+táj.2!K826</f>
        <v>8588</v>
      </c>
      <c r="L826" s="221">
        <f>0+táj.2!L826</f>
        <v>0</v>
      </c>
      <c r="M826" s="221">
        <f>0+táj.2!M826</f>
        <v>0</v>
      </c>
      <c r="N826" s="221">
        <f>0+táj.2!N826</f>
        <v>0</v>
      </c>
      <c r="O826" s="221">
        <f>0+táj.2!O826</f>
        <v>0</v>
      </c>
      <c r="P826" s="221">
        <f>0+táj.2!P826</f>
        <v>0</v>
      </c>
      <c r="Q826" s="170">
        <f t="shared" si="51"/>
        <v>8588</v>
      </c>
    </row>
    <row r="827" spans="1:17" ht="18" customHeight="1" x14ac:dyDescent="0.2">
      <c r="A827" s="197"/>
      <c r="B827" s="197"/>
      <c r="C827" s="217"/>
      <c r="D827" s="398" t="s">
        <v>1344</v>
      </c>
      <c r="E827" s="241">
        <v>1</v>
      </c>
      <c r="F827" s="250">
        <v>321933</v>
      </c>
      <c r="G827" s="221">
        <f>0+táj.2!G827</f>
        <v>0</v>
      </c>
      <c r="H827" s="221">
        <f>0+táj.2!H827</f>
        <v>0</v>
      </c>
      <c r="I827" s="221">
        <f>0+táj.2!I827</f>
        <v>0</v>
      </c>
      <c r="J827" s="221">
        <f>0+táj.2!J827</f>
        <v>0</v>
      </c>
      <c r="K827" s="221">
        <f>223444+táj.2!K827</f>
        <v>154370</v>
      </c>
      <c r="L827" s="221">
        <f>0+táj.2!L827</f>
        <v>0</v>
      </c>
      <c r="M827" s="221">
        <f>0+táj.2!M827</f>
        <v>0</v>
      </c>
      <c r="N827" s="221">
        <f>0+táj.2!N827</f>
        <v>0</v>
      </c>
      <c r="O827" s="221">
        <f>0+táj.2!O827</f>
        <v>0</v>
      </c>
      <c r="P827" s="221">
        <f>0+táj.2!P827</f>
        <v>0</v>
      </c>
      <c r="Q827" s="170">
        <f t="shared" si="51"/>
        <v>154370</v>
      </c>
    </row>
    <row r="828" spans="1:17" ht="18" customHeight="1" x14ac:dyDescent="0.2">
      <c r="A828" s="197"/>
      <c r="B828" s="197"/>
      <c r="C828" s="217"/>
      <c r="D828" s="446" t="s">
        <v>1345</v>
      </c>
      <c r="E828" s="241">
        <v>1</v>
      </c>
      <c r="F828" s="250">
        <v>321934</v>
      </c>
      <c r="G828" s="221">
        <f>0+táj.2!G828</f>
        <v>0</v>
      </c>
      <c r="H828" s="221">
        <f>0+táj.2!H828</f>
        <v>0</v>
      </c>
      <c r="I828" s="221">
        <f>0+táj.2!I828</f>
        <v>0</v>
      </c>
      <c r="J828" s="221">
        <f>0+táj.2!J828</f>
        <v>0</v>
      </c>
      <c r="K828" s="221">
        <f>1771+táj.2!K828</f>
        <v>1771</v>
      </c>
      <c r="L828" s="221">
        <f>0+táj.2!L828</f>
        <v>0</v>
      </c>
      <c r="M828" s="221">
        <f>0+táj.2!M828</f>
        <v>0</v>
      </c>
      <c r="N828" s="221">
        <f>0+táj.2!N828</f>
        <v>0</v>
      </c>
      <c r="O828" s="221">
        <f>0+táj.2!O828</f>
        <v>0</v>
      </c>
      <c r="P828" s="221">
        <f>0+táj.2!P828</f>
        <v>0</v>
      </c>
      <c r="Q828" s="170">
        <f t="shared" si="51"/>
        <v>1771</v>
      </c>
    </row>
    <row r="829" spans="1:17" ht="18" customHeight="1" x14ac:dyDescent="0.2">
      <c r="A829" s="197"/>
      <c r="B829" s="197"/>
      <c r="C829" s="217"/>
      <c r="D829" s="171" t="s">
        <v>1346</v>
      </c>
      <c r="E829" s="241">
        <v>1</v>
      </c>
      <c r="F829" s="250">
        <v>321911</v>
      </c>
      <c r="G829" s="221">
        <f>0+táj.2!G829</f>
        <v>0</v>
      </c>
      <c r="H829" s="221">
        <f>0+táj.2!H829</f>
        <v>0</v>
      </c>
      <c r="I829" s="221">
        <f>0+táj.2!I829</f>
        <v>0</v>
      </c>
      <c r="J829" s="221">
        <f>0+táj.2!J829</f>
        <v>0</v>
      </c>
      <c r="K829" s="221">
        <f>531802+táj.2!K829</f>
        <v>623529</v>
      </c>
      <c r="L829" s="221">
        <f>0+táj.2!L829</f>
        <v>0</v>
      </c>
      <c r="M829" s="221">
        <f>0+táj.2!M829</f>
        <v>0</v>
      </c>
      <c r="N829" s="221">
        <f>0+táj.2!N829</f>
        <v>0</v>
      </c>
      <c r="O829" s="221">
        <f>0+táj.2!O829</f>
        <v>0</v>
      </c>
      <c r="P829" s="221">
        <f>0+táj.2!P829</f>
        <v>0</v>
      </c>
      <c r="Q829" s="170">
        <f t="shared" si="51"/>
        <v>623529</v>
      </c>
    </row>
    <row r="830" spans="1:17" ht="18" customHeight="1" x14ac:dyDescent="0.2">
      <c r="A830" s="197"/>
      <c r="B830" s="197"/>
      <c r="C830" s="217"/>
      <c r="D830" s="172" t="s">
        <v>1347</v>
      </c>
      <c r="E830" s="241">
        <v>1</v>
      </c>
      <c r="F830" s="250">
        <v>321909</v>
      </c>
      <c r="G830" s="221">
        <f>0+táj.2!G830</f>
        <v>0</v>
      </c>
      <c r="H830" s="221">
        <f>0+táj.2!H830</f>
        <v>0</v>
      </c>
      <c r="I830" s="221">
        <f>0+táj.2!I830</f>
        <v>0</v>
      </c>
      <c r="J830" s="221">
        <f>0+táj.2!J830</f>
        <v>0</v>
      </c>
      <c r="K830" s="221">
        <f>45000+táj.2!K830</f>
        <v>45000</v>
      </c>
      <c r="L830" s="221">
        <f>0+táj.2!L830</f>
        <v>0</v>
      </c>
      <c r="M830" s="221">
        <f>0+táj.2!M830</f>
        <v>0</v>
      </c>
      <c r="N830" s="221">
        <f>0+táj.2!N830</f>
        <v>0</v>
      </c>
      <c r="O830" s="221">
        <f>0+táj.2!O830</f>
        <v>0</v>
      </c>
      <c r="P830" s="221">
        <f>0+táj.2!P830</f>
        <v>0</v>
      </c>
      <c r="Q830" s="170">
        <f t="shared" si="51"/>
        <v>45000</v>
      </c>
    </row>
    <row r="831" spans="1:17" ht="18" customHeight="1" x14ac:dyDescent="0.2">
      <c r="A831" s="197"/>
      <c r="B831" s="197"/>
      <c r="C831" s="217"/>
      <c r="D831" s="318" t="s">
        <v>1348</v>
      </c>
      <c r="E831" s="170"/>
      <c r="F831" s="170"/>
      <c r="G831" s="221"/>
      <c r="H831" s="202"/>
      <c r="I831" s="202"/>
      <c r="J831" s="202"/>
      <c r="K831" s="202"/>
      <c r="L831" s="202"/>
      <c r="M831" s="170"/>
      <c r="N831" s="170"/>
      <c r="O831" s="170"/>
      <c r="P831" s="170"/>
      <c r="Q831" s="170"/>
    </row>
    <row r="832" spans="1:17" ht="18" customHeight="1" x14ac:dyDescent="0.2">
      <c r="A832" s="197"/>
      <c r="B832" s="197"/>
      <c r="C832" s="217" t="s">
        <v>125</v>
      </c>
      <c r="D832" s="447" t="s">
        <v>1349</v>
      </c>
      <c r="E832" s="170">
        <v>1</v>
      </c>
      <c r="F832" s="170">
        <v>324902</v>
      </c>
      <c r="G832" s="221">
        <f>0+táj.2!G832</f>
        <v>0</v>
      </c>
      <c r="H832" s="221">
        <f>0+táj.2!H832</f>
        <v>0</v>
      </c>
      <c r="I832" s="221">
        <f>0+táj.2!I832</f>
        <v>0</v>
      </c>
      <c r="J832" s="221">
        <f>0+táj.2!J832</f>
        <v>0</v>
      </c>
      <c r="K832" s="221">
        <f>0+táj.2!K832</f>
        <v>0</v>
      </c>
      <c r="L832" s="221">
        <f>0+táj.2!L832</f>
        <v>0</v>
      </c>
      <c r="M832" s="221">
        <f>3766+táj.2!M832</f>
        <v>8186</v>
      </c>
      <c r="N832" s="221">
        <f>0+táj.2!N832</f>
        <v>0</v>
      </c>
      <c r="O832" s="221">
        <f>0+táj.2!O832</f>
        <v>0</v>
      </c>
      <c r="P832" s="221">
        <f>0+táj.2!P832</f>
        <v>0</v>
      </c>
      <c r="Q832" s="170">
        <f>SUM(K832:P832)</f>
        <v>8186</v>
      </c>
    </row>
    <row r="833" spans="1:17" ht="24" customHeight="1" x14ac:dyDescent="0.2">
      <c r="A833" s="197"/>
      <c r="B833" s="197"/>
      <c r="C833" s="217" t="s">
        <v>124</v>
      </c>
      <c r="D833" s="448" t="s">
        <v>1350</v>
      </c>
      <c r="E833" s="170">
        <v>1</v>
      </c>
      <c r="F833" s="230">
        <v>322904</v>
      </c>
      <c r="G833" s="221">
        <f>0+táj.2!G833</f>
        <v>0</v>
      </c>
      <c r="H833" s="221">
        <f>0+táj.2!H833</f>
        <v>0</v>
      </c>
      <c r="I833" s="221">
        <f>0+táj.2!I833</f>
        <v>0</v>
      </c>
      <c r="J833" s="221">
        <f>0+táj.2!J833</f>
        <v>0</v>
      </c>
      <c r="K833" s="221">
        <f>0+táj.2!K833</f>
        <v>0</v>
      </c>
      <c r="L833" s="221">
        <f>10420+táj.2!L833</f>
        <v>10420</v>
      </c>
      <c r="M833" s="221">
        <f>0+táj.2!M833</f>
        <v>0</v>
      </c>
      <c r="N833" s="221">
        <f>0+táj.2!N833</f>
        <v>0</v>
      </c>
      <c r="O833" s="221">
        <f>0+táj.2!O833</f>
        <v>0</v>
      </c>
      <c r="P833" s="221">
        <f>0+táj.2!P833</f>
        <v>0</v>
      </c>
      <c r="Q833" s="170">
        <f>SUM(K833:P833)</f>
        <v>10420</v>
      </c>
    </row>
    <row r="834" spans="1:17" ht="15.95" customHeight="1" x14ac:dyDescent="0.2">
      <c r="A834" s="223"/>
      <c r="B834" s="223"/>
      <c r="C834" s="224"/>
      <c r="D834" s="182" t="s">
        <v>1351</v>
      </c>
      <c r="E834" s="226"/>
      <c r="F834" s="449"/>
      <c r="G834" s="450">
        <f t="shared" ref="G834:Q834" si="52">SUM(G822:G833)</f>
        <v>0</v>
      </c>
      <c r="H834" s="450">
        <f t="shared" si="52"/>
        <v>0</v>
      </c>
      <c r="I834" s="450">
        <f t="shared" si="52"/>
        <v>0</v>
      </c>
      <c r="J834" s="450">
        <f t="shared" si="52"/>
        <v>0</v>
      </c>
      <c r="K834" s="450">
        <f t="shared" si="52"/>
        <v>992498</v>
      </c>
      <c r="L834" s="450">
        <f t="shared" si="52"/>
        <v>10420</v>
      </c>
      <c r="M834" s="450">
        <f t="shared" si="52"/>
        <v>8186</v>
      </c>
      <c r="N834" s="450">
        <f t="shared" si="52"/>
        <v>0</v>
      </c>
      <c r="O834" s="450">
        <f t="shared" si="52"/>
        <v>0</v>
      </c>
      <c r="P834" s="450">
        <f t="shared" si="52"/>
        <v>0</v>
      </c>
      <c r="Q834" s="450">
        <f t="shared" si="52"/>
        <v>1011104</v>
      </c>
    </row>
    <row r="835" spans="1:17" ht="21.75" customHeight="1" x14ac:dyDescent="0.2">
      <c r="A835" s="223"/>
      <c r="B835" s="223"/>
      <c r="C835" s="224"/>
      <c r="D835" s="183" t="s">
        <v>1352</v>
      </c>
      <c r="E835" s="451"/>
      <c r="F835" s="452"/>
      <c r="G835" s="453">
        <f t="shared" ref="G835:Q835" si="53">SUM(G45+G222+G234+G478+G677+G702+G726+G762+G820+G834+G765)</f>
        <v>231670</v>
      </c>
      <c r="H835" s="453">
        <f t="shared" si="53"/>
        <v>56951</v>
      </c>
      <c r="I835" s="453">
        <f t="shared" si="53"/>
        <v>9028605</v>
      </c>
      <c r="J835" s="453">
        <f t="shared" si="53"/>
        <v>94330</v>
      </c>
      <c r="K835" s="453">
        <f t="shared" si="53"/>
        <v>3294867</v>
      </c>
      <c r="L835" s="453">
        <f t="shared" si="53"/>
        <v>27495965</v>
      </c>
      <c r="M835" s="453">
        <f t="shared" si="53"/>
        <v>5329687</v>
      </c>
      <c r="N835" s="453">
        <f t="shared" si="53"/>
        <v>236434</v>
      </c>
      <c r="O835" s="453">
        <f t="shared" si="53"/>
        <v>104052</v>
      </c>
      <c r="P835" s="453">
        <f t="shared" si="53"/>
        <v>12113612</v>
      </c>
      <c r="Q835" s="453">
        <f t="shared" si="53"/>
        <v>57986173</v>
      </c>
    </row>
    <row r="836" spans="1:17" ht="15.95" customHeight="1" x14ac:dyDescent="0.2">
      <c r="A836" s="197"/>
      <c r="B836" s="197"/>
      <c r="C836" s="197"/>
      <c r="D836" s="454" t="s">
        <v>237</v>
      </c>
      <c r="E836" s="230"/>
      <c r="F836" s="455"/>
      <c r="G836" s="456">
        <f>'8'!E21</f>
        <v>4400612</v>
      </c>
      <c r="H836" s="456">
        <f>'8'!F21</f>
        <v>829736</v>
      </c>
      <c r="I836" s="456">
        <f>'8'!G21</f>
        <v>2532258</v>
      </c>
      <c r="J836" s="456">
        <f>'8'!H21</f>
        <v>5188</v>
      </c>
      <c r="K836" s="456">
        <f>'8'!I21</f>
        <v>190227</v>
      </c>
      <c r="L836" s="456">
        <f>'8'!J21</f>
        <v>208807</v>
      </c>
      <c r="M836" s="456">
        <f>'8'!K21</f>
        <v>54286</v>
      </c>
      <c r="N836" s="456">
        <f>'8'!L21</f>
        <v>0</v>
      </c>
      <c r="O836" s="456"/>
      <c r="P836" s="456"/>
      <c r="Q836" s="456">
        <f>SUM(G836:P836)</f>
        <v>8221114</v>
      </c>
    </row>
    <row r="837" spans="1:17" ht="15.95" customHeight="1" x14ac:dyDescent="0.2">
      <c r="A837" s="223"/>
      <c r="B837" s="223"/>
      <c r="C837" s="224"/>
      <c r="D837" s="182" t="s">
        <v>227</v>
      </c>
      <c r="E837" s="369"/>
      <c r="F837" s="457"/>
      <c r="G837" s="44">
        <f t="shared" ref="G837:Q837" si="54">SUM(G835:G836)</f>
        <v>4632282</v>
      </c>
      <c r="H837" s="44">
        <f t="shared" si="54"/>
        <v>886687</v>
      </c>
      <c r="I837" s="44">
        <f t="shared" si="54"/>
        <v>11560863</v>
      </c>
      <c r="J837" s="44">
        <f t="shared" si="54"/>
        <v>99518</v>
      </c>
      <c r="K837" s="44">
        <f t="shared" si="54"/>
        <v>3485094</v>
      </c>
      <c r="L837" s="44">
        <f t="shared" si="54"/>
        <v>27704772</v>
      </c>
      <c r="M837" s="44">
        <f t="shared" si="54"/>
        <v>5383973</v>
      </c>
      <c r="N837" s="44">
        <f t="shared" si="54"/>
        <v>236434</v>
      </c>
      <c r="O837" s="44">
        <f t="shared" si="54"/>
        <v>104052</v>
      </c>
      <c r="P837" s="44">
        <f t="shared" si="54"/>
        <v>12113612</v>
      </c>
      <c r="Q837" s="44">
        <f t="shared" si="54"/>
        <v>66207287</v>
      </c>
    </row>
    <row r="839" spans="1:17" ht="12.75" customHeight="1" x14ac:dyDescent="0.2">
      <c r="N839" s="948"/>
      <c r="O839" s="948"/>
      <c r="P839" s="948"/>
      <c r="Q839" s="459"/>
    </row>
  </sheetData>
  <sheetProtection selectLockedCells="1" selectUnlockedCells="1"/>
  <mergeCells count="10">
    <mergeCell ref="G1:N1"/>
    <mergeCell ref="O1:P1"/>
    <mergeCell ref="Q1:Q2"/>
    <mergeCell ref="N839:P839"/>
    <mergeCell ref="A1:A2"/>
    <mergeCell ref="B1:B2"/>
    <mergeCell ref="C1:C2"/>
    <mergeCell ref="D1:D2"/>
    <mergeCell ref="E1:E2"/>
    <mergeCell ref="F1:F2"/>
  </mergeCells>
  <phoneticPr fontId="107" type="noConversion"/>
  <printOptions horizontalCentered="1" verticalCentered="1"/>
  <pageMargins left="3.937007874015748E-2" right="3.937007874015748E-2" top="0.6692913385826772" bottom="0.70866141732283472" header="0.23622047244094491" footer="0.11811023622047245"/>
  <pageSetup paperSize="9" scale="69" orientation="landscape" r:id="rId1"/>
  <headerFooter alignWithMargins="0">
    <oddHeader>&amp;C&amp;"Times New Roman CE,Félkövér dőlt"ZALAEGERSZEG MEGYEI JOGÚ VÁROS ÖNKORMÁNYZATA
KIADÁSI ELŐIRÁNYZATAI
2020. ÉVBEN
&amp;R&amp;"Times New Roman CE,Félkövér dőlt"6.a melléklet
Adatok ezer Ft-ban</oddHeader>
    <oddFooter>&amp;LFeladat jellege:
1=kötelező
2=önként vállalt
&amp;C&amp;P. oldal&amp;Ra *-gal jelzett célok  hitel felvételével valósíthatók meg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29"/>
  <sheetViews>
    <sheetView workbookViewId="0">
      <pane ySplit="2" topLeftCell="A12" activePane="bottomLeft" state="frozen"/>
      <selection pane="bottomLeft" activeCell="B24" sqref="B24"/>
    </sheetView>
  </sheetViews>
  <sheetFormatPr defaultRowHeight="12.75" x14ac:dyDescent="0.2"/>
  <cols>
    <col min="1" max="1" width="3.33203125" style="109" customWidth="1"/>
    <col min="2" max="2" width="39.6640625" style="109" customWidth="1"/>
    <col min="3" max="3" width="11.6640625" style="109" customWidth="1"/>
    <col min="4" max="4" width="12" style="109" customWidth="1"/>
    <col min="5" max="6" width="12.33203125" style="109" customWidth="1"/>
    <col min="7" max="7" width="7.6640625" style="109" customWidth="1"/>
    <col min="8" max="8" width="10.33203125" style="109" customWidth="1"/>
    <col min="9" max="9" width="12" style="109" customWidth="1"/>
    <col min="10" max="11" width="12.33203125" style="109" customWidth="1"/>
    <col min="12" max="12" width="12.83203125" style="109" customWidth="1"/>
    <col min="13" max="13" width="14.83203125" style="109" customWidth="1"/>
    <col min="14" max="14" width="12" style="109" customWidth="1"/>
    <col min="15" max="15" width="11.5" style="109" customWidth="1"/>
    <col min="16" max="16384" width="9.33203125" style="109"/>
  </cols>
  <sheetData>
    <row r="1" spans="1:15" ht="12.75" customHeight="1" x14ac:dyDescent="0.2">
      <c r="A1" s="932" t="s">
        <v>122</v>
      </c>
      <c r="B1" s="933" t="s">
        <v>176</v>
      </c>
      <c r="C1" s="960" t="s">
        <v>331</v>
      </c>
      <c r="D1" s="960" t="s">
        <v>1383</v>
      </c>
      <c r="E1" s="959" t="s">
        <v>183</v>
      </c>
      <c r="F1" s="959"/>
      <c r="G1" s="959"/>
      <c r="H1" s="959"/>
      <c r="I1" s="959"/>
      <c r="J1" s="959"/>
      <c r="K1" s="959"/>
      <c r="L1" s="959" t="s">
        <v>254</v>
      </c>
      <c r="M1" s="959"/>
      <c r="N1" s="959"/>
      <c r="O1" s="957" t="s">
        <v>256</v>
      </c>
    </row>
    <row r="2" spans="1:15" s="110" customFormat="1" ht="78" customHeight="1" x14ac:dyDescent="0.2">
      <c r="A2" s="932"/>
      <c r="B2" s="933"/>
      <c r="C2" s="961"/>
      <c r="D2" s="961"/>
      <c r="E2" s="116" t="s">
        <v>23</v>
      </c>
      <c r="F2" s="116" t="s">
        <v>24</v>
      </c>
      <c r="G2" s="97" t="s">
        <v>25</v>
      </c>
      <c r="H2" s="116" t="s">
        <v>250</v>
      </c>
      <c r="I2" s="97" t="s">
        <v>251</v>
      </c>
      <c r="J2" s="97" t="s">
        <v>252</v>
      </c>
      <c r="K2" s="97" t="s">
        <v>253</v>
      </c>
      <c r="L2" s="97" t="s">
        <v>185</v>
      </c>
      <c r="M2" s="97" t="s">
        <v>128</v>
      </c>
      <c r="N2" s="97" t="s">
        <v>187</v>
      </c>
      <c r="O2" s="958"/>
    </row>
    <row r="3" spans="1:15" ht="17.100000000000001" customHeight="1" x14ac:dyDescent="0.2">
      <c r="A3" s="117" t="s">
        <v>124</v>
      </c>
      <c r="B3" s="118" t="s">
        <v>178</v>
      </c>
      <c r="C3" s="658">
        <v>1665275</v>
      </c>
      <c r="D3" s="658">
        <f>41959+táj.3!M3</f>
        <v>55587</v>
      </c>
      <c r="E3" s="119">
        <f>3705+táj.3!C3</f>
        <v>3705</v>
      </c>
      <c r="F3" s="119">
        <f>0+táj.3!D3</f>
        <v>0</v>
      </c>
      <c r="G3" s="119">
        <f>0+táj.3!E3</f>
        <v>0</v>
      </c>
      <c r="H3" s="119">
        <f>19946+táj.3!F3</f>
        <v>20283</v>
      </c>
      <c r="I3" s="119">
        <f>51+táj.3!G3</f>
        <v>51</v>
      </c>
      <c r="J3" s="119">
        <f>0+táj.3!H3</f>
        <v>0</v>
      </c>
      <c r="K3" s="119">
        <f>0+táj.3!I3</f>
        <v>0</v>
      </c>
      <c r="L3" s="119">
        <f>84221+táj.3!J3</f>
        <v>84221</v>
      </c>
      <c r="M3" s="119">
        <f>1599311+táj.3!K3</f>
        <v>1612602</v>
      </c>
      <c r="N3" s="119">
        <f>0+táj.3!L3</f>
        <v>0</v>
      </c>
      <c r="O3" s="119">
        <f t="shared" ref="O3:O20" si="0">SUM(E3:N3)</f>
        <v>1720862</v>
      </c>
    </row>
    <row r="4" spans="1:15" ht="17.100000000000001" customHeight="1" x14ac:dyDescent="0.2">
      <c r="A4" s="117" t="s">
        <v>126</v>
      </c>
      <c r="B4" s="118" t="s">
        <v>171</v>
      </c>
      <c r="C4" s="658">
        <v>1001336</v>
      </c>
      <c r="D4" s="658">
        <f>-10887+táj.3!M4</f>
        <v>-107480</v>
      </c>
      <c r="E4" s="119">
        <f>4360+táj.3!C4</f>
        <v>6660</v>
      </c>
      <c r="F4" s="119">
        <f>0+táj.3!D4</f>
        <v>100</v>
      </c>
      <c r="G4" s="119">
        <f>0+táj.3!E4</f>
        <v>0</v>
      </c>
      <c r="H4" s="119">
        <f>470893+táj.3!F4</f>
        <v>370893</v>
      </c>
      <c r="I4" s="119">
        <f>0+táj.3!G4</f>
        <v>780</v>
      </c>
      <c r="J4" s="119">
        <f>0+táj.3!H4</f>
        <v>200</v>
      </c>
      <c r="K4" s="119">
        <f>0+táj.3!I4</f>
        <v>0</v>
      </c>
      <c r="L4" s="119">
        <f>72932+táj.3!J4</f>
        <v>72932</v>
      </c>
      <c r="M4" s="119">
        <f>442264+táj.3!K4</f>
        <v>442291</v>
      </c>
      <c r="N4" s="119">
        <f>0+táj.3!L4</f>
        <v>0</v>
      </c>
      <c r="O4" s="119">
        <f t="shared" si="0"/>
        <v>893856</v>
      </c>
    </row>
    <row r="5" spans="1:15" ht="17.100000000000001" customHeight="1" x14ac:dyDescent="0.2">
      <c r="A5" s="117" t="s">
        <v>127</v>
      </c>
      <c r="B5" s="118" t="s">
        <v>204</v>
      </c>
      <c r="C5" s="658">
        <v>623845</v>
      </c>
      <c r="D5" s="658">
        <f>1055+táj.3!M5</f>
        <v>8288</v>
      </c>
      <c r="E5" s="119">
        <f>1310+táj.3!C5</f>
        <v>1310</v>
      </c>
      <c r="F5" s="119">
        <f>1800+táj.3!D5</f>
        <v>1800</v>
      </c>
      <c r="G5" s="119">
        <f>0+táj.3!E5</f>
        <v>0</v>
      </c>
      <c r="H5" s="119">
        <f>64996+táj.3!F5</f>
        <v>66566</v>
      </c>
      <c r="I5" s="119">
        <f>0+táj.3!G5</f>
        <v>0</v>
      </c>
      <c r="J5" s="119">
        <f>0+táj.3!H5</f>
        <v>0</v>
      </c>
      <c r="K5" s="119">
        <f>0+táj.3!I5</f>
        <v>0</v>
      </c>
      <c r="L5" s="119">
        <f>52402+táj.3!J5</f>
        <v>52402</v>
      </c>
      <c r="M5" s="119">
        <f>504392+táj.3!K5</f>
        <v>510055</v>
      </c>
      <c r="N5" s="119">
        <f>0+táj.3!L5</f>
        <v>0</v>
      </c>
      <c r="O5" s="119">
        <f t="shared" si="0"/>
        <v>632133</v>
      </c>
    </row>
    <row r="6" spans="1:15" ht="24" customHeight="1" x14ac:dyDescent="0.2">
      <c r="A6" s="117" t="s">
        <v>115</v>
      </c>
      <c r="B6" s="120" t="s">
        <v>239</v>
      </c>
      <c r="C6" s="659">
        <v>448613</v>
      </c>
      <c r="D6" s="658">
        <f>111456+táj.3!M6</f>
        <v>113512</v>
      </c>
      <c r="E6" s="119">
        <f>398231+táj.3!C6</f>
        <v>398231</v>
      </c>
      <c r="F6" s="119">
        <f>240+táj.3!D6</f>
        <v>240</v>
      </c>
      <c r="G6" s="119">
        <f>0+táj.3!E6</f>
        <v>0</v>
      </c>
      <c r="H6" s="119">
        <f>0+táj.3!F6</f>
        <v>1000</v>
      </c>
      <c r="I6" s="119">
        <f>0+táj.3!G6</f>
        <v>0</v>
      </c>
      <c r="J6" s="119">
        <f>0+táj.3!H6</f>
        <v>0</v>
      </c>
      <c r="K6" s="119">
        <f>0+táj.3!I6</f>
        <v>0</v>
      </c>
      <c r="L6" s="119">
        <f>56471+táj.3!J6</f>
        <v>56471</v>
      </c>
      <c r="M6" s="119">
        <f>105127+táj.3!K6</f>
        <v>106183</v>
      </c>
      <c r="N6" s="119">
        <f>0+táj.3!L6</f>
        <v>0</v>
      </c>
      <c r="O6" s="119">
        <f t="shared" si="0"/>
        <v>562125</v>
      </c>
    </row>
    <row r="7" spans="1:15" ht="24" customHeight="1" x14ac:dyDescent="0.2">
      <c r="A7" s="117" t="s">
        <v>114</v>
      </c>
      <c r="B7" s="120" t="s">
        <v>240</v>
      </c>
      <c r="C7" s="659">
        <v>220399</v>
      </c>
      <c r="D7" s="658">
        <f>42307+táj.3!M7</f>
        <v>56223</v>
      </c>
      <c r="E7" s="119">
        <f>1000+táj.3!C7</f>
        <v>1000</v>
      </c>
      <c r="F7" s="119">
        <f>0+táj.3!D7</f>
        <v>100</v>
      </c>
      <c r="G7" s="119">
        <f>0+táj.3!E7</f>
        <v>0</v>
      </c>
      <c r="H7" s="119">
        <f>0+táj.3!F7</f>
        <v>0</v>
      </c>
      <c r="I7" s="119">
        <f>0+táj.3!G7</f>
        <v>0</v>
      </c>
      <c r="J7" s="119">
        <f>0+táj.3!H7</f>
        <v>0</v>
      </c>
      <c r="K7" s="119">
        <f>0+táj.3!I7</f>
        <v>0</v>
      </c>
      <c r="L7" s="119">
        <f>35682+táj.3!J7</f>
        <v>35682</v>
      </c>
      <c r="M7" s="119">
        <f>226024+táj.3!K7</f>
        <v>239840</v>
      </c>
      <c r="N7" s="119">
        <f>0+táj.3!L7</f>
        <v>0</v>
      </c>
      <c r="O7" s="119">
        <f t="shared" si="0"/>
        <v>276622</v>
      </c>
    </row>
    <row r="8" spans="1:15" ht="17.100000000000001" customHeight="1" x14ac:dyDescent="0.2">
      <c r="A8" s="117" t="s">
        <v>116</v>
      </c>
      <c r="B8" s="121" t="s">
        <v>205</v>
      </c>
      <c r="C8" s="660">
        <v>357792</v>
      </c>
      <c r="D8" s="658">
        <f>-10960+táj.3!M8</f>
        <v>-3388</v>
      </c>
      <c r="E8" s="119">
        <f>5657+táj.3!C8</f>
        <v>1908</v>
      </c>
      <c r="F8" s="119">
        <f>770+táj.3!D8</f>
        <v>770</v>
      </c>
      <c r="G8" s="119">
        <f>0+táj.3!E8</f>
        <v>0</v>
      </c>
      <c r="H8" s="119">
        <f>11638+táj.3!F8</f>
        <v>12671</v>
      </c>
      <c r="I8" s="119">
        <f>0+táj.3!G8</f>
        <v>0</v>
      </c>
      <c r="J8" s="119">
        <f>0+táj.3!H8</f>
        <v>0</v>
      </c>
      <c r="K8" s="119">
        <f>0+táj.3!I8</f>
        <v>0</v>
      </c>
      <c r="L8" s="119">
        <f>17280+táj.3!J8</f>
        <v>17280</v>
      </c>
      <c r="M8" s="119">
        <f>311487+táj.3!K8</f>
        <v>321775</v>
      </c>
      <c r="N8" s="119">
        <f>0+táj.3!L8</f>
        <v>0</v>
      </c>
      <c r="O8" s="119">
        <f t="shared" si="0"/>
        <v>354404</v>
      </c>
    </row>
    <row r="9" spans="1:15" ht="17.100000000000001" customHeight="1" x14ac:dyDescent="0.2">
      <c r="A9" s="117" t="s">
        <v>117</v>
      </c>
      <c r="B9" s="121" t="s">
        <v>206</v>
      </c>
      <c r="C9" s="660">
        <v>335626</v>
      </c>
      <c r="D9" s="658">
        <f>-18246+táj.3!M9</f>
        <v>-15648</v>
      </c>
      <c r="E9" s="119">
        <f>9797+táj.3!C9</f>
        <v>1191</v>
      </c>
      <c r="F9" s="119">
        <f>0+táj.3!D9</f>
        <v>0</v>
      </c>
      <c r="G9" s="119">
        <f>0+táj.3!E9</f>
        <v>0</v>
      </c>
      <c r="H9" s="119">
        <f>14294+táj.3!F9</f>
        <v>13232</v>
      </c>
      <c r="I9" s="119">
        <f>0+táj.3!G9</f>
        <v>0</v>
      </c>
      <c r="J9" s="119">
        <f>0+táj.3!H9</f>
        <v>0</v>
      </c>
      <c r="K9" s="119">
        <f>0+táj.3!I9</f>
        <v>0</v>
      </c>
      <c r="L9" s="119">
        <f>21362+táj.3!J9</f>
        <v>21362</v>
      </c>
      <c r="M9" s="119">
        <f>271927+táj.3!K9</f>
        <v>284193</v>
      </c>
      <c r="N9" s="119">
        <f>0+táj.3!L9</f>
        <v>0</v>
      </c>
      <c r="O9" s="119">
        <f t="shared" si="0"/>
        <v>319978</v>
      </c>
    </row>
    <row r="10" spans="1:15" ht="17.100000000000001" customHeight="1" x14ac:dyDescent="0.2">
      <c r="A10" s="117" t="s">
        <v>118</v>
      </c>
      <c r="B10" s="121" t="s">
        <v>207</v>
      </c>
      <c r="C10" s="660">
        <v>380243</v>
      </c>
      <c r="D10" s="658">
        <f>-7269+táj.3!M10</f>
        <v>-3807</v>
      </c>
      <c r="E10" s="119">
        <f>6773+táj.3!C10</f>
        <v>1078</v>
      </c>
      <c r="F10" s="119">
        <f>1300+táj.3!D10</f>
        <v>1300</v>
      </c>
      <c r="G10" s="119">
        <f>0+táj.3!E10</f>
        <v>0</v>
      </c>
      <c r="H10" s="119">
        <f>18904+táj.3!F10</f>
        <v>17118</v>
      </c>
      <c r="I10" s="119">
        <f>0+táj.3!G10</f>
        <v>0</v>
      </c>
      <c r="J10" s="119">
        <f>0+táj.3!H10</f>
        <v>0</v>
      </c>
      <c r="K10" s="119">
        <f>0+táj.3!I10</f>
        <v>0</v>
      </c>
      <c r="L10" s="119">
        <f>18477+táj.3!J10</f>
        <v>18477</v>
      </c>
      <c r="M10" s="119">
        <f>327520+táj.3!K10</f>
        <v>338463</v>
      </c>
      <c r="N10" s="119">
        <f>0+táj.3!L10</f>
        <v>0</v>
      </c>
      <c r="O10" s="119">
        <f t="shared" si="0"/>
        <v>376436</v>
      </c>
    </row>
    <row r="11" spans="1:15" ht="17.100000000000001" customHeight="1" x14ac:dyDescent="0.2">
      <c r="A11" s="117" t="s">
        <v>33</v>
      </c>
      <c r="B11" s="121" t="s">
        <v>208</v>
      </c>
      <c r="C11" s="660">
        <v>341686</v>
      </c>
      <c r="D11" s="658">
        <f>-10516+táj.3!M11</f>
        <v>-4694</v>
      </c>
      <c r="E11" s="119">
        <f>10251+táj.3!C11</f>
        <v>2275</v>
      </c>
      <c r="F11" s="119">
        <f>650+táj.3!D11</f>
        <v>650</v>
      </c>
      <c r="G11" s="119">
        <f>0+táj.3!E11</f>
        <v>0</v>
      </c>
      <c r="H11" s="119">
        <f>12061+táj.3!F11</f>
        <v>12316</v>
      </c>
      <c r="I11" s="119">
        <f>0+táj.3!G11</f>
        <v>0</v>
      </c>
      <c r="J11" s="119">
        <f>0+táj.3!H11</f>
        <v>0</v>
      </c>
      <c r="K11" s="119">
        <f>0+táj.3!I11</f>
        <v>0</v>
      </c>
      <c r="L11" s="119">
        <f>15191+táj.3!J11</f>
        <v>15191</v>
      </c>
      <c r="M11" s="119">
        <f>293017+táj.3!K11</f>
        <v>306560</v>
      </c>
      <c r="N11" s="119">
        <f>0+táj.3!L11</f>
        <v>0</v>
      </c>
      <c r="O11" s="119">
        <f t="shared" si="0"/>
        <v>336992</v>
      </c>
    </row>
    <row r="12" spans="1:15" ht="18" customHeight="1" x14ac:dyDescent="0.2">
      <c r="A12" s="117" t="s">
        <v>34</v>
      </c>
      <c r="B12" s="122" t="s">
        <v>241</v>
      </c>
      <c r="C12" s="456">
        <v>53217</v>
      </c>
      <c r="D12" s="658">
        <f>600+táj.3!M12</f>
        <v>612</v>
      </c>
      <c r="E12" s="119">
        <f>12491+táj.3!C12</f>
        <v>12491</v>
      </c>
      <c r="F12" s="119">
        <f>0+táj.3!D12</f>
        <v>0</v>
      </c>
      <c r="G12" s="119">
        <f>0+táj.3!E12</f>
        <v>0</v>
      </c>
      <c r="H12" s="119">
        <f>1+táj.3!F12</f>
        <v>1</v>
      </c>
      <c r="I12" s="119">
        <f>0+táj.3!G12</f>
        <v>0</v>
      </c>
      <c r="J12" s="119">
        <f>0+táj.3!H12</f>
        <v>0</v>
      </c>
      <c r="K12" s="119">
        <f>0+táj.3!I12</f>
        <v>0</v>
      </c>
      <c r="L12" s="119">
        <f>1061+táj.3!J12</f>
        <v>1061</v>
      </c>
      <c r="M12" s="119">
        <f>40264+táj.3!K12</f>
        <v>40276</v>
      </c>
      <c r="N12" s="119">
        <f>0+táj.3!L12</f>
        <v>0</v>
      </c>
      <c r="O12" s="119">
        <f t="shared" si="0"/>
        <v>53829</v>
      </c>
    </row>
    <row r="13" spans="1:15" ht="17.100000000000001" customHeight="1" x14ac:dyDescent="0.2">
      <c r="A13" s="117" t="s">
        <v>35</v>
      </c>
      <c r="B13" s="123" t="s">
        <v>201</v>
      </c>
      <c r="C13" s="661">
        <v>484066</v>
      </c>
      <c r="D13" s="658">
        <f>37961+táj.3!M13</f>
        <v>69379</v>
      </c>
      <c r="E13" s="119">
        <f>169117+táj.3!C13</f>
        <v>193342</v>
      </c>
      <c r="F13" s="119">
        <f>0+táj.3!D13</f>
        <v>100</v>
      </c>
      <c r="G13" s="119">
        <f>0+táj.3!E13</f>
        <v>0</v>
      </c>
      <c r="H13" s="119">
        <f>77000+táj.3!F13</f>
        <v>77000</v>
      </c>
      <c r="I13" s="119">
        <f>0+táj.3!G13</f>
        <v>0</v>
      </c>
      <c r="J13" s="119">
        <f>100+táj.3!H13</f>
        <v>100</v>
      </c>
      <c r="K13" s="119">
        <f>0+táj.3!I13</f>
        <v>0</v>
      </c>
      <c r="L13" s="119">
        <f>49223+táj.3!J13</f>
        <v>49223</v>
      </c>
      <c r="M13" s="119">
        <f>226587+táj.3!K13</f>
        <v>233680</v>
      </c>
      <c r="N13" s="119">
        <f>0+táj.3!L13</f>
        <v>0</v>
      </c>
      <c r="O13" s="119">
        <f t="shared" si="0"/>
        <v>553445</v>
      </c>
    </row>
    <row r="14" spans="1:15" ht="27" customHeight="1" x14ac:dyDescent="0.2">
      <c r="A14" s="117" t="s">
        <v>36</v>
      </c>
      <c r="B14" s="120" t="s">
        <v>209</v>
      </c>
      <c r="C14" s="659">
        <v>20958</v>
      </c>
      <c r="D14" s="658">
        <f>2772+táj.3!M14</f>
        <v>3772</v>
      </c>
      <c r="E14" s="119">
        <f>2000+táj.3!C14</f>
        <v>3000</v>
      </c>
      <c r="F14" s="119">
        <f>0+táj.3!D14</f>
        <v>0</v>
      </c>
      <c r="G14" s="119">
        <f>0+táj.3!E14</f>
        <v>0</v>
      </c>
      <c r="H14" s="119">
        <f>900+táj.3!F14</f>
        <v>900</v>
      </c>
      <c r="I14" s="119">
        <f>0+táj.3!G14</f>
        <v>0</v>
      </c>
      <c r="J14" s="119">
        <f>0+táj.3!H14</f>
        <v>0</v>
      </c>
      <c r="K14" s="119">
        <f>0+táj.3!I14</f>
        <v>0</v>
      </c>
      <c r="L14" s="119">
        <f>1872+táj.3!J14</f>
        <v>1872</v>
      </c>
      <c r="M14" s="119">
        <f>18958+táj.3!K14</f>
        <v>18958</v>
      </c>
      <c r="N14" s="119">
        <f>0+táj.3!L14</f>
        <v>0</v>
      </c>
      <c r="O14" s="119">
        <f t="shared" si="0"/>
        <v>24730</v>
      </c>
    </row>
    <row r="15" spans="1:15" ht="17.100000000000001" customHeight="1" x14ac:dyDescent="0.2">
      <c r="A15" s="117" t="s">
        <v>37</v>
      </c>
      <c r="B15" s="121" t="s">
        <v>202</v>
      </c>
      <c r="C15" s="660">
        <v>418501</v>
      </c>
      <c r="D15" s="658">
        <f>28271+táj.3!M15</f>
        <v>59240</v>
      </c>
      <c r="E15" s="119">
        <f>3214+táj.3!C15</f>
        <v>30214</v>
      </c>
      <c r="F15" s="119">
        <f>0+táj.3!D15</f>
        <v>0</v>
      </c>
      <c r="G15" s="119">
        <f>0+táj.3!E15</f>
        <v>0</v>
      </c>
      <c r="H15" s="119">
        <f>28000+táj.3!F15</f>
        <v>28000</v>
      </c>
      <c r="I15" s="119">
        <f>0+táj.3!G15</f>
        <v>0</v>
      </c>
      <c r="J15" s="119">
        <f>0+táj.3!H15</f>
        <v>0</v>
      </c>
      <c r="K15" s="119">
        <f>0+táj.3!I15</f>
        <v>0</v>
      </c>
      <c r="L15" s="119">
        <f>20596+táj.3!J15</f>
        <v>20596</v>
      </c>
      <c r="M15" s="119">
        <f>394962+táj.3!K15</f>
        <v>398931</v>
      </c>
      <c r="N15" s="119">
        <f>0+táj.3!L15</f>
        <v>0</v>
      </c>
      <c r="O15" s="119">
        <f t="shared" si="0"/>
        <v>477741</v>
      </c>
    </row>
    <row r="16" spans="1:15" ht="17.100000000000001" customHeight="1" x14ac:dyDescent="0.2">
      <c r="A16" s="117" t="s">
        <v>38</v>
      </c>
      <c r="B16" s="121" t="s">
        <v>203</v>
      </c>
      <c r="C16" s="660">
        <v>359221</v>
      </c>
      <c r="D16" s="658">
        <f>74746+táj.3!M16</f>
        <v>116896</v>
      </c>
      <c r="E16" s="119">
        <f>10123+táj.3!C16</f>
        <v>13586</v>
      </c>
      <c r="F16" s="119">
        <f>0+táj.3!D16</f>
        <v>400</v>
      </c>
      <c r="G16" s="119">
        <f>0+táj.3!E16</f>
        <v>0</v>
      </c>
      <c r="H16" s="119">
        <f>209979+táj.3!F16</f>
        <v>242958</v>
      </c>
      <c r="I16" s="119">
        <f>0+táj.3!G16</f>
        <v>0</v>
      </c>
      <c r="J16" s="119">
        <f>150+táj.3!H16</f>
        <v>150</v>
      </c>
      <c r="K16" s="119">
        <f>0+táj.3!I16</f>
        <v>650</v>
      </c>
      <c r="L16" s="119">
        <f>18662+táj.3!J16</f>
        <v>18662</v>
      </c>
      <c r="M16" s="119">
        <f>195053+táj.3!K16</f>
        <v>199711</v>
      </c>
      <c r="N16" s="119">
        <f>0+táj.3!L16</f>
        <v>0</v>
      </c>
      <c r="O16" s="119">
        <f t="shared" si="0"/>
        <v>476117</v>
      </c>
    </row>
    <row r="17" spans="1:15" ht="17.100000000000001" customHeight="1" x14ac:dyDescent="0.2">
      <c r="A17" s="117" t="s">
        <v>119</v>
      </c>
      <c r="B17" s="121" t="s">
        <v>210</v>
      </c>
      <c r="C17" s="660">
        <v>754770</v>
      </c>
      <c r="D17" s="658">
        <f>-70767+táj.3!M17</f>
        <v>-12627</v>
      </c>
      <c r="E17" s="119">
        <f>288500+táj.3!C17</f>
        <v>340500</v>
      </c>
      <c r="F17" s="119">
        <f>0+táj.3!D17</f>
        <v>100</v>
      </c>
      <c r="G17" s="119">
        <f>0+táj.3!E17</f>
        <v>0</v>
      </c>
      <c r="H17" s="119">
        <f>143517+táj.3!F17</f>
        <v>143517</v>
      </c>
      <c r="I17" s="119">
        <f>0+táj.3!G17</f>
        <v>0</v>
      </c>
      <c r="J17" s="119">
        <f>0+táj.3!H17</f>
        <v>0</v>
      </c>
      <c r="K17" s="119">
        <f>0+táj.3!I17</f>
        <v>0</v>
      </c>
      <c r="L17" s="119">
        <f>56502+táj.3!J17</f>
        <v>56502</v>
      </c>
      <c r="M17" s="119">
        <f>195484+táj.3!K17</f>
        <v>201524</v>
      </c>
      <c r="N17" s="119">
        <f>0+táj.3!L17</f>
        <v>0</v>
      </c>
      <c r="O17" s="119">
        <f t="shared" si="0"/>
        <v>742143</v>
      </c>
    </row>
    <row r="18" spans="1:15" ht="17.100000000000001" customHeight="1" x14ac:dyDescent="0.2">
      <c r="A18" s="117" t="s">
        <v>39</v>
      </c>
      <c r="B18" s="121" t="s">
        <v>211</v>
      </c>
      <c r="C18" s="660">
        <v>136750</v>
      </c>
      <c r="D18" s="658">
        <f>-3584+táj.3!M18</f>
        <v>8107</v>
      </c>
      <c r="E18" s="119">
        <f>65000+táj.3!C18</f>
        <v>75800</v>
      </c>
      <c r="F18" s="119">
        <f>0+táj.3!D18</f>
        <v>0</v>
      </c>
      <c r="G18" s="119">
        <f>0+táj.3!E18</f>
        <v>0</v>
      </c>
      <c r="H18" s="119">
        <f>18415+táj.3!F18</f>
        <v>18415</v>
      </c>
      <c r="I18" s="119">
        <f>0+táj.3!G18</f>
        <v>0</v>
      </c>
      <c r="J18" s="119">
        <f>0+táj.3!H18</f>
        <v>0</v>
      </c>
      <c r="K18" s="119">
        <f>0+táj.3!I18</f>
        <v>0</v>
      </c>
      <c r="L18" s="119">
        <f>13066+táj.3!J18</f>
        <v>13066</v>
      </c>
      <c r="M18" s="119">
        <f>36685+táj.3!K18</f>
        <v>37576</v>
      </c>
      <c r="N18" s="119">
        <f>0+táj.3!L18</f>
        <v>0</v>
      </c>
      <c r="O18" s="119">
        <f t="shared" si="0"/>
        <v>144857</v>
      </c>
    </row>
    <row r="19" spans="1:15" ht="17.100000000000001" customHeight="1" x14ac:dyDescent="0.2">
      <c r="A19" s="117" t="s">
        <v>40</v>
      </c>
      <c r="B19" s="121" t="s">
        <v>243</v>
      </c>
      <c r="C19" s="660">
        <v>145282</v>
      </c>
      <c r="D19" s="658">
        <f>16840+táj.3!M19</f>
        <v>21397</v>
      </c>
      <c r="E19" s="119">
        <f>0+táj.3!C19</f>
        <v>0</v>
      </c>
      <c r="F19" s="119">
        <f>0+táj.3!D19</f>
        <v>0</v>
      </c>
      <c r="G19" s="119">
        <f>0+táj.3!E19</f>
        <v>0</v>
      </c>
      <c r="H19" s="119">
        <f>70311+táj.3!F19</f>
        <v>70311</v>
      </c>
      <c r="I19" s="119">
        <f>0+táj.3!G19</f>
        <v>0</v>
      </c>
      <c r="J19" s="119">
        <f>0+táj.3!H19</f>
        <v>0</v>
      </c>
      <c r="K19" s="119">
        <f>0+táj.3!I19</f>
        <v>0</v>
      </c>
      <c r="L19" s="119">
        <f>29821+táj.3!J19</f>
        <v>29821</v>
      </c>
      <c r="M19" s="119">
        <f>61990+táj.3!K19</f>
        <v>66547</v>
      </c>
      <c r="N19" s="119">
        <f>0+táj.3!L19</f>
        <v>0</v>
      </c>
      <c r="O19" s="119">
        <f t="shared" si="0"/>
        <v>166679</v>
      </c>
    </row>
    <row r="20" spans="1:15" ht="17.100000000000001" customHeight="1" x14ac:dyDescent="0.2">
      <c r="A20" s="117" t="s">
        <v>242</v>
      </c>
      <c r="B20" s="121" t="s">
        <v>248</v>
      </c>
      <c r="C20" s="660">
        <v>108439</v>
      </c>
      <c r="D20" s="658">
        <f>-274+táj.3!M20</f>
        <v>-274</v>
      </c>
      <c r="E20" s="119">
        <f>350+táj.3!C20</f>
        <v>350</v>
      </c>
      <c r="F20" s="119">
        <f>0+táj.3!D20</f>
        <v>0</v>
      </c>
      <c r="G20" s="119">
        <f>0+táj.3!E20</f>
        <v>0</v>
      </c>
      <c r="H20" s="119">
        <f>101439+táj.3!F20</f>
        <v>101439</v>
      </c>
      <c r="I20" s="119">
        <f>0+táj.3!G20</f>
        <v>0</v>
      </c>
      <c r="J20" s="119">
        <f>0+táj.3!H20</f>
        <v>0</v>
      </c>
      <c r="K20" s="119">
        <f>0+táj.3!I20</f>
        <v>0</v>
      </c>
      <c r="L20" s="119">
        <f>6376+táj.3!J20</f>
        <v>6376</v>
      </c>
      <c r="M20" s="119">
        <f>0+táj.3!K20</f>
        <v>0</v>
      </c>
      <c r="N20" s="119">
        <f>0+táj.3!L20</f>
        <v>0</v>
      </c>
      <c r="O20" s="119">
        <f t="shared" si="0"/>
        <v>108165</v>
      </c>
    </row>
    <row r="21" spans="1:15" ht="14.25" customHeight="1" x14ac:dyDescent="0.2">
      <c r="A21" s="124"/>
      <c r="B21" s="125" t="s">
        <v>22</v>
      </c>
      <c r="C21" s="662">
        <f t="shared" ref="C21:O21" si="1">SUM(C3:C20)</f>
        <v>7856019</v>
      </c>
      <c r="D21" s="662">
        <f t="shared" si="1"/>
        <v>365095</v>
      </c>
      <c r="E21" s="126">
        <f t="shared" si="1"/>
        <v>1086641</v>
      </c>
      <c r="F21" s="126">
        <f t="shared" si="1"/>
        <v>5560</v>
      </c>
      <c r="G21" s="126">
        <f t="shared" si="1"/>
        <v>0</v>
      </c>
      <c r="H21" s="126">
        <f t="shared" si="1"/>
        <v>1196620</v>
      </c>
      <c r="I21" s="126">
        <f t="shared" si="1"/>
        <v>831</v>
      </c>
      <c r="J21" s="126">
        <f t="shared" si="1"/>
        <v>450</v>
      </c>
      <c r="K21" s="126">
        <f t="shared" si="1"/>
        <v>650</v>
      </c>
      <c r="L21" s="126">
        <f t="shared" si="1"/>
        <v>571197</v>
      </c>
      <c r="M21" s="126">
        <f t="shared" si="1"/>
        <v>5359165</v>
      </c>
      <c r="N21" s="126">
        <f t="shared" si="1"/>
        <v>0</v>
      </c>
      <c r="O21" s="126">
        <f t="shared" si="1"/>
        <v>8221114</v>
      </c>
    </row>
    <row r="22" spans="1:15" ht="14.1" customHeight="1" x14ac:dyDescent="0.2">
      <c r="E22" s="111"/>
      <c r="F22" s="111"/>
      <c r="G22" s="111"/>
      <c r="H22" s="111"/>
      <c r="I22" s="111"/>
      <c r="J22" s="111"/>
      <c r="K22" s="111"/>
      <c r="L22" s="111"/>
      <c r="M22" s="111"/>
    </row>
    <row r="23" spans="1:15" ht="14.1" customHeight="1" x14ac:dyDescent="0.2">
      <c r="E23" s="111"/>
      <c r="F23" s="111"/>
      <c r="G23" s="111"/>
      <c r="H23" s="111"/>
      <c r="I23" s="111"/>
      <c r="J23" s="111"/>
      <c r="K23" s="111"/>
      <c r="L23" s="111"/>
      <c r="M23" s="111"/>
    </row>
    <row r="24" spans="1:15" ht="14.1" customHeight="1" x14ac:dyDescent="0.2">
      <c r="E24" s="111"/>
      <c r="F24" s="111"/>
      <c r="G24" s="111"/>
      <c r="H24" s="111"/>
      <c r="I24" s="111"/>
      <c r="J24" s="111"/>
      <c r="K24" s="111"/>
      <c r="L24" s="111"/>
      <c r="M24" s="127"/>
    </row>
    <row r="25" spans="1:15" ht="14.1" customHeight="1" x14ac:dyDescent="0.2">
      <c r="E25" s="111"/>
      <c r="F25" s="111"/>
      <c r="G25" s="111"/>
      <c r="H25" s="111"/>
      <c r="I25" s="111"/>
      <c r="J25" s="111"/>
      <c r="K25" s="111"/>
      <c r="L25" s="111"/>
      <c r="M25" s="127"/>
    </row>
    <row r="26" spans="1:15" ht="14.1" customHeight="1" x14ac:dyDescent="0.2">
      <c r="E26" s="111"/>
      <c r="F26" s="111"/>
      <c r="G26" s="111"/>
      <c r="H26" s="111"/>
      <c r="I26" s="111"/>
      <c r="J26" s="111"/>
      <c r="K26" s="111"/>
      <c r="L26" s="111"/>
      <c r="M26" s="111"/>
    </row>
    <row r="27" spans="1:15" ht="14.1" customHeight="1" x14ac:dyDescent="0.2"/>
    <row r="28" spans="1:15" ht="14.1" customHeight="1" x14ac:dyDescent="0.2"/>
    <row r="29" spans="1:15" ht="14.1" customHeight="1" x14ac:dyDescent="0.2"/>
  </sheetData>
  <mergeCells count="7">
    <mergeCell ref="O1:O2"/>
    <mergeCell ref="A1:A2"/>
    <mergeCell ref="B1:B2"/>
    <mergeCell ref="E1:K1"/>
    <mergeCell ref="L1:N1"/>
    <mergeCell ref="C1:C2"/>
    <mergeCell ref="D1:D2"/>
  </mergeCells>
  <phoneticPr fontId="0" type="noConversion"/>
  <printOptions horizontalCentered="1"/>
  <pageMargins left="0.19685039370078741" right="0.19685039370078741" top="1.6141732283464567" bottom="0.98425196850393704" header="0.86614173228346458" footer="0.51181102362204722"/>
  <pageSetup paperSize="9" scale="81" orientation="landscape" horizontalDpi="300" verticalDpi="300" r:id="rId1"/>
  <headerFooter alignWithMargins="0">
    <oddHeader>&amp;C&amp;"Times New Roman,Félkövér dőlt"ZALAEGERSZEG  MEGYEI JOGÚ VÁROS ÖNKORMÁNYZATA ÁLTAL IRÁNYÍTOTT KÖLTSÉGVETÉSI SZERVEK
  2020. ÉVI  BEVÉTELI ELŐIRÁNYZATAI&amp;R&amp;"Times New Roman,Félkövér dőlt"7. melléklet
Adatok: ezer 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10</vt:i4>
      </vt:variant>
    </vt:vector>
  </HeadingPairs>
  <TitlesOfParts>
    <vt:vector size="25" baseType="lpstr">
      <vt:lpstr>1</vt:lpstr>
      <vt:lpstr>2</vt:lpstr>
      <vt:lpstr>3</vt:lpstr>
      <vt:lpstr>4</vt:lpstr>
      <vt:lpstr>5</vt:lpstr>
      <vt:lpstr>5.a</vt:lpstr>
      <vt:lpstr>6</vt:lpstr>
      <vt:lpstr>6.a</vt:lpstr>
      <vt:lpstr>7</vt:lpstr>
      <vt:lpstr>8</vt:lpstr>
      <vt:lpstr>9</vt:lpstr>
      <vt:lpstr>táj.1</vt:lpstr>
      <vt:lpstr>táj.2</vt:lpstr>
      <vt:lpstr>táj.3</vt:lpstr>
      <vt:lpstr>táj.4</vt:lpstr>
      <vt:lpstr>'3'!Nyomtatási_cím</vt:lpstr>
      <vt:lpstr>'5.a'!Nyomtatási_cím</vt:lpstr>
      <vt:lpstr>'6.a'!Nyomtatási_cím</vt:lpstr>
      <vt:lpstr>táj.1!Nyomtatási_cím</vt:lpstr>
      <vt:lpstr>táj.2!Nyomtatási_cím</vt:lpstr>
      <vt:lpstr>'3'!Nyomtatási_terület</vt:lpstr>
      <vt:lpstr>'5.a'!Nyomtatási_terület</vt:lpstr>
      <vt:lpstr>'6.a'!Nyomtatási_terület</vt:lpstr>
      <vt:lpstr>táj.1!Nyomtatási_terület</vt:lpstr>
      <vt:lpstr>táj.2!Nyomtatási_terület</vt:lpstr>
    </vt:vector>
  </TitlesOfParts>
  <Company>ZMJV PH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Közgazdasági Osztály</dc:creator>
  <cp:lastModifiedBy>Galos</cp:lastModifiedBy>
  <cp:lastPrinted>2020-09-03T13:42:52Z</cp:lastPrinted>
  <dcterms:created xsi:type="dcterms:W3CDTF">2002-12-30T13:12:46Z</dcterms:created>
  <dcterms:modified xsi:type="dcterms:W3CDTF">2020-09-03T14:14:30Z</dcterms:modified>
</cp:coreProperties>
</file>