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95" windowWidth="12120" windowHeight="2340" tabRatio="803" activeTab="3"/>
  </bookViews>
  <sheets>
    <sheet name="önként2017." sheetId="1" r:id="rId1"/>
    <sheet name="kötelező2017." sheetId="2" r:id="rId2"/>
    <sheet name="önként2017.felh." sheetId="3" r:id="rId3"/>
    <sheet name="kötelező2017.felh." sheetId="4" r:id="rId4"/>
  </sheets>
  <definedNames>
    <definedName name="Excel_BuiltIn_Print_Area_321">#REF!</definedName>
    <definedName name="Excel_BuiltIn_Print_Area_331">#REF!</definedName>
    <definedName name="Excel_BuiltIn_Print_Area_6">#REF!</definedName>
    <definedName name="_xlnm.Print_Area" localSheetId="1">'kötelező2017.'!$A$1:$M$44</definedName>
    <definedName name="_xlnm.Print_Area" localSheetId="3">'kötelező2017.felh.'!$A$1:$M$21</definedName>
    <definedName name="_xlnm.Print_Area" localSheetId="0">'önként2017.'!$A$1:$L$32</definedName>
    <definedName name="_xlnm.Print_Area" localSheetId="2">'önként2017.felh.'!$A$1:$L$25</definedName>
  </definedNames>
  <calcPr fullCalcOnLoad="1"/>
</workbook>
</file>

<file path=xl/sharedStrings.xml><?xml version="1.0" encoding="utf-8"?>
<sst xmlns="http://schemas.openxmlformats.org/spreadsheetml/2006/main" count="162" uniqueCount="97">
  <si>
    <t>ezer Ft-ban</t>
  </si>
  <si>
    <t>Általános tartalék</t>
  </si>
  <si>
    <t>Életkezdési támogatás</t>
  </si>
  <si>
    <t>Megnevezés</t>
  </si>
  <si>
    <t>Települési igazgatási</t>
  </si>
  <si>
    <t>Szociális és gyermekjóléti ellátások (segélyek)</t>
  </si>
  <si>
    <t>Közművelődési, tevékenység</t>
  </si>
  <si>
    <t>Bölcsődei ellátás</t>
  </si>
  <si>
    <t>Időskorúak nappali ellátása</t>
  </si>
  <si>
    <t>Házi szociális gondozás</t>
  </si>
  <si>
    <t>Bentlakásos és átm.elh.nyújtó int. ellátás</t>
  </si>
  <si>
    <t>Szociális étkeztetés</t>
  </si>
  <si>
    <t>Közcélú foglalkoztatás</t>
  </si>
  <si>
    <t>Családsegítő és gyermekjóléti szolgálat</t>
  </si>
  <si>
    <t>Közösségi ellátás</t>
  </si>
  <si>
    <t>Háziorvosi szolgálat</t>
  </si>
  <si>
    <t>Park és zöldterület fenntartás</t>
  </si>
  <si>
    <t>Útfenntartás</t>
  </si>
  <si>
    <t>Egyéb település üzemeltetés</t>
  </si>
  <si>
    <t>Vagyonhasznosítás és kezelés</t>
  </si>
  <si>
    <t>Összesen:</t>
  </si>
  <si>
    <t>Működési célú támogatás</t>
  </si>
  <si>
    <t>Vagyongazd.összefüggő műk.kiadások</t>
  </si>
  <si>
    <t>Egynapos sebészet</t>
  </si>
  <si>
    <t>Képalkotó diag.szolg.</t>
  </si>
  <si>
    <t>Eü.laboratóriumi szolgáltatás</t>
  </si>
  <si>
    <t>Működési célú tartalék</t>
  </si>
  <si>
    <t>Szociális bolt engedm.elsz.</t>
  </si>
  <si>
    <t>Szociális és gyermekjóléti fa.</t>
  </si>
  <si>
    <t>Fogorvosi szolgálat gyermek(heti óra )</t>
  </si>
  <si>
    <t>Ügyeleti szolgálat (óra)</t>
  </si>
  <si>
    <t>Ifjúságeü.ellátás</t>
  </si>
  <si>
    <t>Közoktatási feladatok működési kiadásai</t>
  </si>
  <si>
    <t>3.számú melléklet</t>
  </si>
  <si>
    <t>4. számú melléklet</t>
  </si>
  <si>
    <t>Védőnők</t>
  </si>
  <si>
    <t>Járóbeteg szakellátás (napi óra)</t>
  </si>
  <si>
    <t>Foglalkozás-eü. ellátás (napi óra)</t>
  </si>
  <si>
    <t>Gondozók (napi óra)</t>
  </si>
  <si>
    <t>Települési igazgatás</t>
  </si>
  <si>
    <t>Nemzetiségi önkormányzatok támogatása</t>
  </si>
  <si>
    <t>2 Blesz összesen</t>
  </si>
  <si>
    <t>1 Önkormányzat összesen</t>
  </si>
  <si>
    <t>4 Polgármesteri Hivatal összesen</t>
  </si>
  <si>
    <t>5001 Egyesített bölcsődék</t>
  </si>
  <si>
    <t>5002 Egyesített Szociális Intézmény</t>
  </si>
  <si>
    <t>2 BLESZ összesen</t>
  </si>
  <si>
    <t>5003 Játékkal-mesével Óvoda</t>
  </si>
  <si>
    <t>5004 Tesz-vesz Óvoda</t>
  </si>
  <si>
    <t>5005 Bástya Óvoda</t>
  </si>
  <si>
    <t>5006 Balaton Óvoda</t>
  </si>
  <si>
    <t>Pénz-         maradvány fedezete %</t>
  </si>
  <si>
    <t>Állategészségügyi feladatok</t>
  </si>
  <si>
    <t>Közterület felügyeleti kiadások</t>
  </si>
  <si>
    <t>Parkolási feladatok</t>
  </si>
  <si>
    <t>3 Önálló Közterület-felügyelet összesen</t>
  </si>
  <si>
    <t>Parkolási tevékenység tárgyévi kiadásai</t>
  </si>
  <si>
    <t>Képviselő-testület kiadásai</t>
  </si>
  <si>
    <t>Jelzőrendszeres házi segítségnyújtás</t>
  </si>
  <si>
    <t>Polgármesteri Hivatal</t>
  </si>
  <si>
    <t>Államigazgatási feladatok</t>
  </si>
  <si>
    <t>Önkorm.műk.kapcs.kiad.</t>
  </si>
  <si>
    <t>Önkorm.műk. kapcs. kiadások</t>
  </si>
  <si>
    <t>Kv.         maradvány</t>
  </si>
  <si>
    <t>Egészségügyi és Szoc. Biz. Kiad.</t>
  </si>
  <si>
    <t>Kulturális és tanácsnoki keret kiad.</t>
  </si>
  <si>
    <t xml:space="preserve">Állami támogatás </t>
  </si>
  <si>
    <t xml:space="preserve">Állami támogatás fedezete % </t>
  </si>
  <si>
    <t>Állami támogatás</t>
  </si>
  <si>
    <t>Intézm. bevételek fedezete %</t>
  </si>
  <si>
    <t>Saját intézményi bevételek</t>
  </si>
  <si>
    <t xml:space="preserve">Kiadási előirányzat 100% </t>
  </si>
  <si>
    <t>OEP fin. +átvett pe.</t>
  </si>
  <si>
    <t>Átvett pe.       fedezete %</t>
  </si>
  <si>
    <t>Önkorm. Hozzájárulás</t>
  </si>
  <si>
    <t>Önkormányzati hozzájárulás fedezete %</t>
  </si>
  <si>
    <t>Kiadási előirányzat 100%</t>
  </si>
  <si>
    <t xml:space="preserve">Intézm.         bevételek fedezete % </t>
  </si>
  <si>
    <t>Állami támogatás fedezete %</t>
  </si>
  <si>
    <t>Átvett pe. + tb.támogatás</t>
  </si>
  <si>
    <t xml:space="preserve">Átvett pe.       fedezete %  </t>
  </si>
  <si>
    <t xml:space="preserve">Önkorm.       hozzájárulás </t>
  </si>
  <si>
    <t xml:space="preserve">Önkormányzati hozzájárulás fedezete % </t>
  </si>
  <si>
    <t>Kv.       Maradvány és betétlekötés megszüntetése</t>
  </si>
  <si>
    <t>2017. Működési költségvetés -  Önként vállalt feladatkörök</t>
  </si>
  <si>
    <t>2017. Működési költségvetés  -  Kötelezően előírt feladatkörök</t>
  </si>
  <si>
    <t>2017. Felhalmozási költségvetés -  Önként vállalt feladatkörök</t>
  </si>
  <si>
    <t>Felújítási kiadások</t>
  </si>
  <si>
    <t xml:space="preserve"> áthúzódó kötelezettségek</t>
  </si>
  <si>
    <t xml:space="preserve"> tárgyévi terveztett kiadás</t>
  </si>
  <si>
    <t>Felhalmozási bevételek</t>
  </si>
  <si>
    <t xml:space="preserve">Támogatás és átvett pe. </t>
  </si>
  <si>
    <t>Felhalmozási kiadások</t>
  </si>
  <si>
    <t>Felhalmozási célú pénzeszközátadás</t>
  </si>
  <si>
    <t>Kölcsönnyújtás</t>
  </si>
  <si>
    <t>Felhalmozási célú tartalék</t>
  </si>
  <si>
    <t>2017. Felhalmozási költségvetés  -  Kötelezően előírt feladatkörök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</si>
</sst>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%"/>
    <numFmt numFmtId="166" formatCode="_-* #,##0.000\ _F_t_-;\-* #,##0.000\ _F_t_-;_-* &quot;-&quot;??\ _F_t_-;_-@_-"/>
    <numFmt numFmtId="167" formatCode="_-* #,##0.0\ _F_t_-;\-* #,##0.0\ _F_t_-;_-* &quot;-&quot;??\ _F_t_-;_-@_-"/>
    <numFmt numFmtId="168" formatCode="_-* #,##0\ _F_t_-;\-* #,##0\ _F_t_-;_-* &quot;-&quot;??\ _F_t_-;_-@_-"/>
    <numFmt numFmtId="169" formatCode="_-* #,##0.0000\ _F_t_-;\-* #,##0.0000\ _F_t_-;_-* &quot;-&quot;??\ _F_t_-;_-@_-"/>
    <numFmt numFmtId="170" formatCode="0.000"/>
    <numFmt numFmtId="171" formatCode="0.0000"/>
    <numFmt numFmtId="172" formatCode="#,##0.00\ _F_t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48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shrinkToFit="1"/>
    </xf>
    <xf numFmtId="3" fontId="10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 horizontal="right"/>
    </xf>
    <xf numFmtId="2" fontId="3" fillId="0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 shrinkToFit="1"/>
    </xf>
    <xf numFmtId="3" fontId="10" fillId="0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right"/>
    </xf>
    <xf numFmtId="2" fontId="3" fillId="0" borderId="14" xfId="0" applyNumberFormat="1" applyFont="1" applyFill="1" applyBorder="1" applyAlignment="1">
      <alignment horizontal="right"/>
    </xf>
    <xf numFmtId="2" fontId="3" fillId="0" borderId="15" xfId="0" applyNumberFormat="1" applyFont="1" applyFill="1" applyBorder="1" applyAlignment="1">
      <alignment/>
    </xf>
    <xf numFmtId="0" fontId="3" fillId="0" borderId="16" xfId="0" applyFont="1" applyFill="1" applyBorder="1" applyAlignment="1">
      <alignment shrinkToFit="1"/>
    </xf>
    <xf numFmtId="3" fontId="10" fillId="0" borderId="17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 horizontal="right"/>
    </xf>
    <xf numFmtId="2" fontId="3" fillId="0" borderId="17" xfId="0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 shrinkToFit="1"/>
    </xf>
    <xf numFmtId="3" fontId="9" fillId="0" borderId="19" xfId="0" applyNumberFormat="1" applyFont="1" applyFill="1" applyBorder="1" applyAlignment="1">
      <alignment/>
    </xf>
    <xf numFmtId="3" fontId="10" fillId="0" borderId="20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 horizontal="right"/>
    </xf>
    <xf numFmtId="0" fontId="12" fillId="0" borderId="18" xfId="0" applyFont="1" applyFill="1" applyBorder="1" applyAlignment="1">
      <alignment shrinkToFit="1"/>
    </xf>
    <xf numFmtId="2" fontId="9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 horizontal="right"/>
    </xf>
    <xf numFmtId="2" fontId="12" fillId="0" borderId="19" xfId="0" applyNumberFormat="1" applyFont="1" applyFill="1" applyBorder="1" applyAlignment="1">
      <alignment horizontal="right"/>
    </xf>
    <xf numFmtId="2" fontId="12" fillId="0" borderId="21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3" fillId="0" borderId="22" xfId="0" applyFont="1" applyFill="1" applyBorder="1" applyAlignment="1">
      <alignment shrinkToFit="1"/>
    </xf>
    <xf numFmtId="3" fontId="10" fillId="0" borderId="23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 horizontal="right"/>
    </xf>
    <xf numFmtId="2" fontId="3" fillId="0" borderId="23" xfId="0" applyNumberFormat="1" applyFont="1" applyFill="1" applyBorder="1" applyAlignment="1">
      <alignment horizontal="right"/>
    </xf>
    <xf numFmtId="2" fontId="3" fillId="0" borderId="24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3" fontId="12" fillId="0" borderId="23" xfId="0" applyNumberFormat="1" applyFont="1" applyFill="1" applyBorder="1" applyAlignment="1">
      <alignment horizontal="right"/>
    </xf>
    <xf numFmtId="2" fontId="12" fillId="0" borderId="23" xfId="0" applyNumberFormat="1" applyFont="1" applyFill="1" applyBorder="1" applyAlignment="1">
      <alignment horizontal="right"/>
    </xf>
    <xf numFmtId="2" fontId="12" fillId="0" borderId="24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9" fillId="0" borderId="1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shrinkToFit="1"/>
    </xf>
    <xf numFmtId="2" fontId="3" fillId="0" borderId="20" xfId="0" applyNumberFormat="1" applyFont="1" applyFill="1" applyBorder="1" applyAlignment="1">
      <alignment horizontal="right"/>
    </xf>
    <xf numFmtId="2" fontId="3" fillId="0" borderId="26" xfId="0" applyNumberFormat="1" applyFont="1" applyFill="1" applyBorder="1" applyAlignment="1">
      <alignment/>
    </xf>
    <xf numFmtId="2" fontId="9" fillId="0" borderId="21" xfId="0" applyNumberFormat="1" applyFont="1" applyFill="1" applyBorder="1" applyAlignment="1">
      <alignment/>
    </xf>
    <xf numFmtId="0" fontId="12" fillId="0" borderId="22" xfId="0" applyFont="1" applyFill="1" applyBorder="1" applyAlignment="1">
      <alignment shrinkToFit="1"/>
    </xf>
    <xf numFmtId="2" fontId="12" fillId="0" borderId="27" xfId="0" applyNumberFormat="1" applyFont="1" applyFill="1" applyBorder="1" applyAlignment="1">
      <alignment horizontal="right"/>
    </xf>
    <xf numFmtId="2" fontId="12" fillId="0" borderId="28" xfId="0" applyNumberFormat="1" applyFont="1" applyFill="1" applyBorder="1" applyAlignment="1">
      <alignment/>
    </xf>
    <xf numFmtId="3" fontId="12" fillId="0" borderId="29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8" fillId="0" borderId="30" xfId="0" applyFont="1" applyFill="1" applyBorder="1" applyAlignment="1">
      <alignment horizontal="right"/>
    </xf>
    <xf numFmtId="3" fontId="9" fillId="0" borderId="19" xfId="0" applyNumberFormat="1" applyFont="1" applyFill="1" applyBorder="1" applyAlignment="1">
      <alignment horizontal="center" vertical="center" wrapText="1"/>
    </xf>
    <xf numFmtId="2" fontId="9" fillId="0" borderId="19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64" fontId="2" fillId="0" borderId="3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4" fontId="9" fillId="0" borderId="19" xfId="0" applyNumberFormat="1" applyFont="1" applyFill="1" applyBorder="1" applyAlignment="1">
      <alignment horizontal="center" vertical="center" wrapText="1"/>
    </xf>
    <xf numFmtId="2" fontId="9" fillId="0" borderId="2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" fontId="9" fillId="0" borderId="19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4" fontId="0" fillId="0" borderId="0" xfId="0" applyNumberForma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right"/>
    </xf>
    <xf numFmtId="4" fontId="3" fillId="0" borderId="23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/>
    </xf>
    <xf numFmtId="4" fontId="12" fillId="0" borderId="19" xfId="0" applyNumberFormat="1" applyFont="1" applyFill="1" applyBorder="1" applyAlignment="1">
      <alignment horizontal="right"/>
    </xf>
    <xf numFmtId="4" fontId="12" fillId="0" borderId="23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2" fontId="7" fillId="0" borderId="0" xfId="0" applyNumberFormat="1" applyFont="1" applyFill="1" applyAlignment="1">
      <alignment horizontal="right"/>
    </xf>
    <xf numFmtId="172" fontId="9" fillId="0" borderId="19" xfId="0" applyNumberFormat="1" applyFont="1" applyFill="1" applyBorder="1" applyAlignment="1">
      <alignment horizontal="right"/>
    </xf>
    <xf numFmtId="2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2" fontId="3" fillId="0" borderId="31" xfId="0" applyNumberFormat="1" applyFont="1" applyFill="1" applyBorder="1" applyAlignment="1">
      <alignment/>
    </xf>
    <xf numFmtId="4" fontId="9" fillId="0" borderId="21" xfId="0" applyNumberFormat="1" applyFont="1" applyFill="1" applyBorder="1" applyAlignment="1">
      <alignment/>
    </xf>
    <xf numFmtId="0" fontId="10" fillId="0" borderId="13" xfId="0" applyFont="1" applyFill="1" applyBorder="1" applyAlignment="1">
      <alignment shrinkToFit="1"/>
    </xf>
    <xf numFmtId="3" fontId="10" fillId="0" borderId="14" xfId="0" applyNumberFormat="1" applyFont="1" applyFill="1" applyBorder="1" applyAlignment="1">
      <alignment horizontal="right"/>
    </xf>
    <xf numFmtId="2" fontId="10" fillId="0" borderId="14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 horizontal="right"/>
    </xf>
    <xf numFmtId="2" fontId="10" fillId="0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0" fillId="0" borderId="16" xfId="0" applyFont="1" applyFill="1" applyBorder="1" applyAlignment="1">
      <alignment shrinkToFit="1"/>
    </xf>
    <xf numFmtId="3" fontId="10" fillId="0" borderId="17" xfId="0" applyNumberFormat="1" applyFont="1" applyFill="1" applyBorder="1" applyAlignment="1">
      <alignment horizontal="right"/>
    </xf>
    <xf numFmtId="2" fontId="10" fillId="0" borderId="17" xfId="0" applyNumberFormat="1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0" fontId="3" fillId="0" borderId="32" xfId="0" applyFont="1" applyFill="1" applyBorder="1" applyAlignment="1">
      <alignment shrinkToFit="1"/>
    </xf>
    <xf numFmtId="3" fontId="10" fillId="0" borderId="33" xfId="0" applyNumberFormat="1" applyFont="1" applyFill="1" applyBorder="1" applyAlignment="1">
      <alignment/>
    </xf>
    <xf numFmtId="3" fontId="3" fillId="0" borderId="33" xfId="0" applyNumberFormat="1" applyFont="1" applyFill="1" applyBorder="1" applyAlignment="1">
      <alignment horizontal="right"/>
    </xf>
    <xf numFmtId="2" fontId="3" fillId="0" borderId="33" xfId="0" applyNumberFormat="1" applyFont="1" applyFill="1" applyBorder="1" applyAlignment="1">
      <alignment horizontal="right"/>
    </xf>
    <xf numFmtId="4" fontId="3" fillId="0" borderId="33" xfId="0" applyNumberFormat="1" applyFont="1" applyFill="1" applyBorder="1" applyAlignment="1">
      <alignment horizontal="right"/>
    </xf>
    <xf numFmtId="2" fontId="3" fillId="0" borderId="34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/>
    </xf>
    <xf numFmtId="172" fontId="10" fillId="0" borderId="11" xfId="0" applyNumberFormat="1" applyFont="1" applyFill="1" applyBorder="1" applyAlignment="1">
      <alignment horizontal="right"/>
    </xf>
    <xf numFmtId="172" fontId="10" fillId="0" borderId="14" xfId="0" applyNumberFormat="1" applyFont="1" applyFill="1" applyBorder="1" applyAlignment="1">
      <alignment horizontal="right"/>
    </xf>
    <xf numFmtId="4" fontId="9" fillId="0" borderId="19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shrinkToFit="1"/>
    </xf>
    <xf numFmtId="172" fontId="10" fillId="0" borderId="17" xfId="0" applyNumberFormat="1" applyFont="1" applyFill="1" applyBorder="1" applyAlignment="1">
      <alignment horizontal="right"/>
    </xf>
    <xf numFmtId="0" fontId="10" fillId="0" borderId="22" xfId="0" applyFont="1" applyFill="1" applyBorder="1" applyAlignment="1">
      <alignment shrinkToFit="1"/>
    </xf>
    <xf numFmtId="172" fontId="10" fillId="0" borderId="23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72" fontId="10" fillId="0" borderId="20" xfId="0" applyNumberFormat="1" applyFont="1" applyFill="1" applyBorder="1" applyAlignment="1">
      <alignment horizontal="right"/>
    </xf>
    <xf numFmtId="3" fontId="0" fillId="0" borderId="18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4" fontId="0" fillId="0" borderId="19" xfId="0" applyNumberFormat="1" applyFill="1" applyBorder="1" applyAlignment="1">
      <alignment horizontal="right"/>
    </xf>
    <xf numFmtId="3" fontId="2" fillId="0" borderId="19" xfId="0" applyNumberFormat="1" applyFont="1" applyFill="1" applyBorder="1" applyAlignment="1">
      <alignment/>
    </xf>
    <xf numFmtId="4" fontId="0" fillId="0" borderId="21" xfId="0" applyNumberFormat="1" applyFill="1" applyBorder="1" applyAlignment="1">
      <alignment/>
    </xf>
    <xf numFmtId="0" fontId="12" fillId="0" borderId="10" xfId="0" applyFont="1" applyFill="1" applyBorder="1" applyAlignment="1">
      <alignment shrinkToFit="1"/>
    </xf>
    <xf numFmtId="0" fontId="12" fillId="0" borderId="13" xfId="0" applyFont="1" applyFill="1" applyBorder="1" applyAlignment="1">
      <alignment shrinkToFit="1"/>
    </xf>
    <xf numFmtId="0" fontId="12" fillId="0" borderId="22" xfId="0" applyFont="1" applyFill="1" applyBorder="1" applyAlignment="1">
      <alignment shrinkToFit="1"/>
    </xf>
    <xf numFmtId="0" fontId="3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justify"/>
    </xf>
    <xf numFmtId="164" fontId="3" fillId="0" borderId="0" xfId="0" applyNumberFormat="1" applyFont="1" applyFill="1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A2" sqref="A2:L3"/>
    </sheetView>
  </sheetViews>
  <sheetFormatPr defaultColWidth="9.00390625" defaultRowHeight="12.75"/>
  <cols>
    <col min="1" max="1" width="25.00390625" style="1" customWidth="1"/>
    <col min="2" max="2" width="10.125" style="1" customWidth="1"/>
    <col min="3" max="3" width="9.75390625" style="1" customWidth="1"/>
    <col min="4" max="4" width="9.625" style="95" customWidth="1"/>
    <col min="5" max="5" width="11.375" style="1" customWidth="1"/>
    <col min="6" max="6" width="10.375" style="1" customWidth="1"/>
    <col min="7" max="7" width="11.875" style="1" customWidth="1"/>
    <col min="8" max="8" width="9.375" style="1" customWidth="1"/>
    <col min="9" max="9" width="9.875" style="1" customWidth="1"/>
    <col min="10" max="10" width="9.75390625" style="1" customWidth="1"/>
    <col min="11" max="11" width="11.75390625" style="1" customWidth="1"/>
    <col min="12" max="12" width="13.375" style="1" customWidth="1"/>
    <col min="13" max="16384" width="9.125" style="1" customWidth="1"/>
  </cols>
  <sheetData>
    <row r="1" spans="1:12" ht="12.75">
      <c r="A1" s="48"/>
      <c r="B1" s="48"/>
      <c r="C1" s="48"/>
      <c r="D1" s="90"/>
      <c r="E1" s="48"/>
      <c r="F1" s="48"/>
      <c r="G1" s="48"/>
      <c r="H1" s="48"/>
      <c r="I1" s="48"/>
      <c r="J1" s="48"/>
      <c r="K1" s="134" t="s">
        <v>34</v>
      </c>
      <c r="L1" s="134"/>
    </row>
    <row r="2" spans="1:12" ht="12.75">
      <c r="A2" s="135" t="s">
        <v>84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 ht="12.7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ht="13.5" thickBot="1">
      <c r="A4" s="74"/>
      <c r="B4" s="74"/>
      <c r="C4" s="74"/>
      <c r="D4" s="91"/>
      <c r="E4" s="58"/>
      <c r="F4" s="59"/>
      <c r="G4" s="58"/>
      <c r="H4" s="59"/>
      <c r="I4" s="59"/>
      <c r="J4" s="59"/>
      <c r="K4" s="60"/>
      <c r="L4" s="69" t="s">
        <v>0</v>
      </c>
    </row>
    <row r="5" spans="1:12" ht="92.25" customHeight="1" thickBot="1">
      <c r="A5" s="49" t="s">
        <v>3</v>
      </c>
      <c r="B5" s="61" t="s">
        <v>76</v>
      </c>
      <c r="C5" s="61" t="s">
        <v>70</v>
      </c>
      <c r="D5" s="62" t="s">
        <v>77</v>
      </c>
      <c r="E5" s="61" t="s">
        <v>66</v>
      </c>
      <c r="F5" s="62" t="s">
        <v>78</v>
      </c>
      <c r="G5" s="61" t="s">
        <v>79</v>
      </c>
      <c r="H5" s="62" t="s">
        <v>80</v>
      </c>
      <c r="I5" s="62" t="s">
        <v>83</v>
      </c>
      <c r="J5" s="62" t="s">
        <v>51</v>
      </c>
      <c r="K5" s="63" t="s">
        <v>81</v>
      </c>
      <c r="L5" s="71" t="s">
        <v>82</v>
      </c>
    </row>
    <row r="6" spans="1:12" ht="12.75">
      <c r="A6" s="14" t="s">
        <v>21</v>
      </c>
      <c r="B6" s="15">
        <f>934340-265000-406581</f>
        <v>262759</v>
      </c>
      <c r="C6" s="15"/>
      <c r="D6" s="117">
        <f>SUM(C6/B6)*100</f>
        <v>0</v>
      </c>
      <c r="E6" s="16"/>
      <c r="F6" s="17">
        <f aca="true" t="shared" si="0" ref="F6:F17">SUM(E6/B6)*100</f>
        <v>0</v>
      </c>
      <c r="G6" s="16"/>
      <c r="H6" s="17">
        <f>SUM(G6/B6*100)</f>
        <v>0</v>
      </c>
      <c r="I6" s="16">
        <v>1202</v>
      </c>
      <c r="J6" s="17">
        <f>SUM(I6/B6*100)</f>
        <v>0.4574534078756579</v>
      </c>
      <c r="K6" s="21">
        <f>SUM(B6-C6-E6-G6-I6)</f>
        <v>261557</v>
      </c>
      <c r="L6" s="18">
        <f>SUM(K6/B6)*100</f>
        <v>99.54254659212434</v>
      </c>
    </row>
    <row r="7" spans="1:12" ht="12.75">
      <c r="A7" s="14" t="s">
        <v>22</v>
      </c>
      <c r="B7" s="20">
        <v>1557911</v>
      </c>
      <c r="C7" s="20">
        <f>5034752-22224-310180-1584926-3000000-60000+2000+98+333+7000+3000</f>
        <v>69853</v>
      </c>
      <c r="D7" s="118">
        <f>SUM(C7/B7)*100</f>
        <v>4.483760625606982</v>
      </c>
      <c r="E7" s="21"/>
      <c r="F7" s="22">
        <f t="shared" si="0"/>
        <v>0</v>
      </c>
      <c r="G7" s="21"/>
      <c r="H7" s="22">
        <f>SUM(G7/B7*100)</f>
        <v>0</v>
      </c>
      <c r="I7" s="21">
        <v>33405</v>
      </c>
      <c r="J7" s="17">
        <f aca="true" t="shared" si="1" ref="J7:J29">SUM(I7/B7*100)</f>
        <v>2.144217480972918</v>
      </c>
      <c r="K7" s="21">
        <f aca="true" t="shared" si="2" ref="K7:K17">SUM(B7-C7-E7-G7-I7)</f>
        <v>1454653</v>
      </c>
      <c r="L7" s="23">
        <f>SUM(K7/B7)*100</f>
        <v>93.3720218934201</v>
      </c>
    </row>
    <row r="8" spans="1:12" ht="12.75">
      <c r="A8" s="14" t="s">
        <v>1</v>
      </c>
      <c r="B8" s="20">
        <v>100000</v>
      </c>
      <c r="C8" s="20"/>
      <c r="D8" s="118">
        <f>SUM(C8/B8)*100</f>
        <v>0</v>
      </c>
      <c r="E8" s="21"/>
      <c r="F8" s="22">
        <f t="shared" si="0"/>
        <v>0</v>
      </c>
      <c r="G8" s="21"/>
      <c r="H8" s="22">
        <f>SUM(G8/B8*100)</f>
        <v>0</v>
      </c>
      <c r="I8" s="21"/>
      <c r="J8" s="17">
        <f t="shared" si="1"/>
        <v>0</v>
      </c>
      <c r="K8" s="21">
        <f t="shared" si="2"/>
        <v>100000</v>
      </c>
      <c r="L8" s="23">
        <f>SUM(K8/B8)*100</f>
        <v>100</v>
      </c>
    </row>
    <row r="9" spans="1:12" ht="12.75">
      <c r="A9" s="19" t="s">
        <v>26</v>
      </c>
      <c r="B9" s="20">
        <v>716338</v>
      </c>
      <c r="C9" s="20"/>
      <c r="D9" s="118">
        <f aca="true" t="shared" si="3" ref="D9:D18">SUM(C9/B9)*100</f>
        <v>0</v>
      </c>
      <c r="E9" s="21"/>
      <c r="F9" s="22">
        <f t="shared" si="0"/>
        <v>0</v>
      </c>
      <c r="G9" s="21"/>
      <c r="H9" s="22">
        <f aca="true" t="shared" si="4" ref="H9:H18">SUM(G9/B9*100)</f>
        <v>0</v>
      </c>
      <c r="I9" s="21"/>
      <c r="J9" s="17">
        <f t="shared" si="1"/>
        <v>0</v>
      </c>
      <c r="K9" s="21">
        <f t="shared" si="2"/>
        <v>716338</v>
      </c>
      <c r="L9" s="23">
        <f aca="true" t="shared" si="5" ref="L9:L18">SUM(K9/B9)*100</f>
        <v>100</v>
      </c>
    </row>
    <row r="10" spans="1:12" ht="12.75">
      <c r="A10" s="19" t="s">
        <v>62</v>
      </c>
      <c r="B10" s="20">
        <f>359250-'kötelező2017.'!C12-B32</f>
        <v>117958</v>
      </c>
      <c r="C10" s="20">
        <f>70000+18303+1842</f>
        <v>90145</v>
      </c>
      <c r="D10" s="118">
        <f t="shared" si="3"/>
        <v>76.42126858712423</v>
      </c>
      <c r="E10" s="21"/>
      <c r="F10" s="22">
        <f t="shared" si="0"/>
        <v>0</v>
      </c>
      <c r="G10" s="21"/>
      <c r="H10" s="22">
        <f t="shared" si="4"/>
        <v>0</v>
      </c>
      <c r="I10" s="21"/>
      <c r="J10" s="17">
        <f t="shared" si="1"/>
        <v>0</v>
      </c>
      <c r="K10" s="21">
        <f t="shared" si="2"/>
        <v>27813</v>
      </c>
      <c r="L10" s="23">
        <f t="shared" si="5"/>
        <v>23.57873141287577</v>
      </c>
    </row>
    <row r="11" spans="1:12" ht="12.75">
      <c r="A11" s="19" t="s">
        <v>64</v>
      </c>
      <c r="B11" s="20">
        <v>900</v>
      </c>
      <c r="C11" s="20"/>
      <c r="D11" s="118">
        <f>SUM(C11/B11)*100</f>
        <v>0</v>
      </c>
      <c r="E11" s="21"/>
      <c r="F11" s="22">
        <f>SUM(E11/B11)*100</f>
        <v>0</v>
      </c>
      <c r="G11" s="21"/>
      <c r="H11" s="22">
        <f>SUM(G11/B11*100)</f>
        <v>0</v>
      </c>
      <c r="I11" s="21"/>
      <c r="J11" s="17">
        <f>SUM(I11/B11*100)</f>
        <v>0</v>
      </c>
      <c r="K11" s="21">
        <f>SUM(B11-C11-E11-G11-I11)</f>
        <v>900</v>
      </c>
      <c r="L11" s="23">
        <f>SUM(K11/B11)*100</f>
        <v>100</v>
      </c>
    </row>
    <row r="12" spans="1:12" ht="12.75">
      <c r="A12" s="19" t="s">
        <v>17</v>
      </c>
      <c r="B12" s="20">
        <v>85000</v>
      </c>
      <c r="C12" s="20"/>
      <c r="D12" s="118">
        <f>SUM(C12/B12)*100</f>
        <v>0</v>
      </c>
      <c r="E12" s="21"/>
      <c r="F12" s="22">
        <f>SUM(E12/B12)*100</f>
        <v>0</v>
      </c>
      <c r="G12" s="21"/>
      <c r="H12" s="22">
        <f>SUM(G12/B12*100)</f>
        <v>0</v>
      </c>
      <c r="I12" s="21"/>
      <c r="J12" s="17">
        <f>SUM(I12/B12*100)</f>
        <v>0</v>
      </c>
      <c r="K12" s="21">
        <f>SUM(B12-C12-E12-G12-I12)</f>
        <v>85000</v>
      </c>
      <c r="L12" s="23">
        <f>SUM(K12/B12)*100</f>
        <v>100</v>
      </c>
    </row>
    <row r="13" spans="1:12" ht="12.75">
      <c r="A13" s="19" t="s">
        <v>18</v>
      </c>
      <c r="B13" s="20">
        <v>72099</v>
      </c>
      <c r="C13" s="20"/>
      <c r="D13" s="118">
        <f>SUM(C13/B13)*100</f>
        <v>0</v>
      </c>
      <c r="E13" s="21"/>
      <c r="F13" s="22">
        <f>SUM(E13/B13)*100</f>
        <v>0</v>
      </c>
      <c r="G13" s="21"/>
      <c r="H13" s="22">
        <f>SUM(G13/B13*100)</f>
        <v>0</v>
      </c>
      <c r="I13" s="21"/>
      <c r="J13" s="17">
        <f>SUM(I13/B13*100)</f>
        <v>0</v>
      </c>
      <c r="K13" s="21">
        <f>SUM(B13-C13-E13-G13-I13)</f>
        <v>72099</v>
      </c>
      <c r="L13" s="23">
        <f>SUM(K13/B13)*100</f>
        <v>100</v>
      </c>
    </row>
    <row r="14" spans="1:12" ht="12.75">
      <c r="A14" s="19" t="s">
        <v>65</v>
      </c>
      <c r="B14" s="20">
        <v>2433</v>
      </c>
      <c r="C14" s="20"/>
      <c r="D14" s="118">
        <f>SUM(C14/B14)*100</f>
        <v>0</v>
      </c>
      <c r="E14" s="21"/>
      <c r="F14" s="22">
        <f>SUM(E14/B14)*100</f>
        <v>0</v>
      </c>
      <c r="G14" s="21"/>
      <c r="H14" s="22">
        <f>SUM(G14/B14*100)</f>
        <v>0</v>
      </c>
      <c r="I14" s="21">
        <v>2433</v>
      </c>
      <c r="J14" s="17">
        <f>SUM(I14/B14*100)</f>
        <v>100</v>
      </c>
      <c r="K14" s="21">
        <f>SUM(B14-C14-E14-G14-I14)</f>
        <v>0</v>
      </c>
      <c r="L14" s="23">
        <f>SUM(K14/B14)*100</f>
        <v>0</v>
      </c>
    </row>
    <row r="15" spans="1:12" ht="12.75">
      <c r="A15" s="19" t="s">
        <v>2</v>
      </c>
      <c r="B15" s="20">
        <v>15000</v>
      </c>
      <c r="C15" s="20"/>
      <c r="D15" s="118">
        <f t="shared" si="3"/>
        <v>0</v>
      </c>
      <c r="E15" s="21"/>
      <c r="F15" s="22">
        <f t="shared" si="0"/>
        <v>0</v>
      </c>
      <c r="G15" s="21"/>
      <c r="H15" s="22">
        <f t="shared" si="4"/>
        <v>0</v>
      </c>
      <c r="I15" s="21"/>
      <c r="J15" s="17">
        <f t="shared" si="1"/>
        <v>0</v>
      </c>
      <c r="K15" s="21">
        <f t="shared" si="2"/>
        <v>15000</v>
      </c>
      <c r="L15" s="23">
        <f t="shared" si="5"/>
        <v>100</v>
      </c>
    </row>
    <row r="16" spans="1:12" ht="12.75">
      <c r="A16" s="19" t="s">
        <v>27</v>
      </c>
      <c r="B16" s="20">
        <v>66180</v>
      </c>
      <c r="C16" s="20"/>
      <c r="D16" s="118">
        <f t="shared" si="3"/>
        <v>0</v>
      </c>
      <c r="E16" s="21"/>
      <c r="F16" s="22">
        <f t="shared" si="0"/>
        <v>0</v>
      </c>
      <c r="G16" s="21"/>
      <c r="H16" s="22">
        <f t="shared" si="4"/>
        <v>0</v>
      </c>
      <c r="I16" s="21"/>
      <c r="J16" s="17">
        <f t="shared" si="1"/>
        <v>0</v>
      </c>
      <c r="K16" s="21">
        <f t="shared" si="2"/>
        <v>66180</v>
      </c>
      <c r="L16" s="23">
        <f t="shared" si="5"/>
        <v>100</v>
      </c>
    </row>
    <row r="17" spans="1:12" ht="13.5" thickBot="1">
      <c r="A17" s="19" t="s">
        <v>28</v>
      </c>
      <c r="B17" s="20">
        <f>585603-'kötelező2017.'!C6</f>
        <v>506165</v>
      </c>
      <c r="C17" s="20"/>
      <c r="D17" s="118">
        <f t="shared" si="3"/>
        <v>0</v>
      </c>
      <c r="E17" s="21"/>
      <c r="F17" s="22">
        <f t="shared" si="0"/>
        <v>0</v>
      </c>
      <c r="G17" s="21"/>
      <c r="H17" s="22">
        <f t="shared" si="4"/>
        <v>0</v>
      </c>
      <c r="I17" s="21">
        <f>79815-33405-32300</f>
        <v>14110</v>
      </c>
      <c r="J17" s="17">
        <f t="shared" si="1"/>
        <v>2.78762854010056</v>
      </c>
      <c r="K17" s="21">
        <f t="shared" si="2"/>
        <v>492055</v>
      </c>
      <c r="L17" s="23">
        <f t="shared" si="5"/>
        <v>97.21237145989944</v>
      </c>
    </row>
    <row r="18" spans="1:12" s="37" customFormat="1" ht="13.5" thickBot="1">
      <c r="A18" s="32" t="s">
        <v>42</v>
      </c>
      <c r="B18" s="29">
        <f>SUM(B6:B17)</f>
        <v>3502743</v>
      </c>
      <c r="C18" s="29">
        <f>SUM(C6:C17)</f>
        <v>159998</v>
      </c>
      <c r="D18" s="119">
        <f t="shared" si="3"/>
        <v>4.567791585052058</v>
      </c>
      <c r="E18" s="29">
        <f>SUM(E6:E17)</f>
        <v>0</v>
      </c>
      <c r="F18" s="73">
        <f>SUM(E18/B18*100)</f>
        <v>0</v>
      </c>
      <c r="G18" s="29">
        <f>SUM(G6:G17)</f>
        <v>0</v>
      </c>
      <c r="H18" s="33">
        <f t="shared" si="4"/>
        <v>0</v>
      </c>
      <c r="I18" s="29">
        <f>SUM(I6:I17)</f>
        <v>51150</v>
      </c>
      <c r="J18" s="33">
        <f t="shared" si="1"/>
        <v>1.4602841258979034</v>
      </c>
      <c r="K18" s="29">
        <f>SUM(K6:K17)</f>
        <v>3291595</v>
      </c>
      <c r="L18" s="53">
        <f t="shared" si="5"/>
        <v>93.97192428905004</v>
      </c>
    </row>
    <row r="19" spans="1:12" ht="12.75">
      <c r="A19" s="120" t="s">
        <v>23</v>
      </c>
      <c r="B19" s="15">
        <v>98103</v>
      </c>
      <c r="C19" s="15"/>
      <c r="D19" s="117">
        <f aca="true" t="shared" si="6" ref="D19:D29">SUM(C19/B19)*100</f>
        <v>0</v>
      </c>
      <c r="E19" s="102"/>
      <c r="F19" s="17">
        <f aca="true" t="shared" si="7" ref="F19:F29">SUM(E19/B19)*100</f>
        <v>0</v>
      </c>
      <c r="G19" s="102">
        <v>88217</v>
      </c>
      <c r="H19" s="17">
        <f aca="true" t="shared" si="8" ref="H19:H25">SUM(G19/B19*100)</f>
        <v>89.92283620276648</v>
      </c>
      <c r="I19" s="16"/>
      <c r="J19" s="17">
        <f t="shared" si="1"/>
        <v>0</v>
      </c>
      <c r="K19" s="16">
        <f aca="true" t="shared" si="9" ref="K19:K24">SUM(B19-C19-E19-G19-I19)</f>
        <v>9886</v>
      </c>
      <c r="L19" s="18">
        <f aca="true" t="shared" si="10" ref="L19:L27">SUM(K19/B19)*100</f>
        <v>10.077163797233519</v>
      </c>
    </row>
    <row r="20" spans="1:12" ht="12.75">
      <c r="A20" s="98" t="s">
        <v>36</v>
      </c>
      <c r="B20" s="20">
        <v>783331</v>
      </c>
      <c r="C20" s="20">
        <v>61832</v>
      </c>
      <c r="D20" s="118">
        <f t="shared" si="6"/>
        <v>7.893470320975424</v>
      </c>
      <c r="E20" s="99"/>
      <c r="F20" s="22">
        <f t="shared" si="7"/>
        <v>0</v>
      </c>
      <c r="G20" s="99">
        <v>575313</v>
      </c>
      <c r="H20" s="22">
        <f t="shared" si="8"/>
        <v>73.44443153660458</v>
      </c>
      <c r="I20" s="16">
        <v>15827</v>
      </c>
      <c r="J20" s="17">
        <f t="shared" si="1"/>
        <v>2.020474103539883</v>
      </c>
      <c r="K20" s="16">
        <f t="shared" si="9"/>
        <v>130359</v>
      </c>
      <c r="L20" s="23">
        <f t="shared" si="10"/>
        <v>16.641624038880114</v>
      </c>
    </row>
    <row r="21" spans="1:12" ht="12.75">
      <c r="A21" s="98" t="s">
        <v>24</v>
      </c>
      <c r="B21" s="20">
        <v>105156</v>
      </c>
      <c r="C21" s="20">
        <v>8727</v>
      </c>
      <c r="D21" s="118">
        <f t="shared" si="6"/>
        <v>8.299098482254935</v>
      </c>
      <c r="E21" s="99"/>
      <c r="F21" s="22">
        <f t="shared" si="7"/>
        <v>0</v>
      </c>
      <c r="G21" s="99">
        <v>57484</v>
      </c>
      <c r="H21" s="22">
        <f t="shared" si="8"/>
        <v>54.66544942751721</v>
      </c>
      <c r="I21" s="16"/>
      <c r="J21" s="17">
        <f t="shared" si="1"/>
        <v>0</v>
      </c>
      <c r="K21" s="16">
        <f t="shared" si="9"/>
        <v>38945</v>
      </c>
      <c r="L21" s="23">
        <f t="shared" si="10"/>
        <v>37.03545209022785</v>
      </c>
    </row>
    <row r="22" spans="1:12" ht="12.75">
      <c r="A22" s="98" t="s">
        <v>25</v>
      </c>
      <c r="B22" s="20">
        <v>63522</v>
      </c>
      <c r="C22" s="20">
        <v>8552</v>
      </c>
      <c r="D22" s="118">
        <f t="shared" si="6"/>
        <v>13.46305217090142</v>
      </c>
      <c r="E22" s="99"/>
      <c r="F22" s="22">
        <f t="shared" si="7"/>
        <v>0</v>
      </c>
      <c r="G22" s="99">
        <v>55920</v>
      </c>
      <c r="H22" s="22">
        <f t="shared" si="8"/>
        <v>88.03249267970152</v>
      </c>
      <c r="I22" s="16"/>
      <c r="J22" s="17">
        <f t="shared" si="1"/>
        <v>0</v>
      </c>
      <c r="K22" s="16">
        <f t="shared" si="9"/>
        <v>-950</v>
      </c>
      <c r="L22" s="23">
        <f t="shared" si="10"/>
        <v>-1.4955448506029407</v>
      </c>
    </row>
    <row r="23" spans="1:12" ht="12.75">
      <c r="A23" s="98" t="s">
        <v>37</v>
      </c>
      <c r="B23" s="20">
        <v>37638</v>
      </c>
      <c r="C23" s="20">
        <v>38614</v>
      </c>
      <c r="D23" s="118">
        <f t="shared" si="6"/>
        <v>102.5931239704554</v>
      </c>
      <c r="E23" s="99"/>
      <c r="F23" s="22">
        <f t="shared" si="7"/>
        <v>0</v>
      </c>
      <c r="G23" s="99"/>
      <c r="H23" s="22">
        <f t="shared" si="8"/>
        <v>0</v>
      </c>
      <c r="I23" s="16"/>
      <c r="J23" s="17">
        <f t="shared" si="1"/>
        <v>0</v>
      </c>
      <c r="K23" s="16">
        <f t="shared" si="9"/>
        <v>-976</v>
      </c>
      <c r="L23" s="23">
        <f t="shared" si="10"/>
        <v>-2.5931239704553906</v>
      </c>
    </row>
    <row r="24" spans="1:12" ht="13.5" thickBot="1">
      <c r="A24" s="105" t="s">
        <v>38</v>
      </c>
      <c r="B24" s="25">
        <v>78190</v>
      </c>
      <c r="C24" s="25">
        <v>98</v>
      </c>
      <c r="D24" s="121">
        <f t="shared" si="6"/>
        <v>0.12533572068039392</v>
      </c>
      <c r="E24" s="106"/>
      <c r="F24" s="27">
        <f t="shared" si="7"/>
        <v>0</v>
      </c>
      <c r="G24" s="106">
        <v>9581</v>
      </c>
      <c r="H24" s="27">
        <f t="shared" si="8"/>
        <v>12.253485100396471</v>
      </c>
      <c r="I24" s="40"/>
      <c r="J24" s="17">
        <f t="shared" si="1"/>
        <v>0</v>
      </c>
      <c r="K24" s="16">
        <f t="shared" si="9"/>
        <v>68511</v>
      </c>
      <c r="L24" s="96">
        <f t="shared" si="10"/>
        <v>87.62117917892314</v>
      </c>
    </row>
    <row r="25" spans="1:12" s="37" customFormat="1" ht="13.5" thickBot="1">
      <c r="A25" s="28" t="s">
        <v>46</v>
      </c>
      <c r="B25" s="29">
        <f>SUM(B19:B24)</f>
        <v>1165940</v>
      </c>
      <c r="C25" s="29">
        <f aca="true" t="shared" si="11" ref="C25:K25">SUM(C19:C24)</f>
        <v>117823</v>
      </c>
      <c r="D25" s="92">
        <f t="shared" si="6"/>
        <v>10.105408511587218</v>
      </c>
      <c r="E25" s="29">
        <f t="shared" si="11"/>
        <v>0</v>
      </c>
      <c r="F25" s="33">
        <f t="shared" si="7"/>
        <v>0</v>
      </c>
      <c r="G25" s="29">
        <f t="shared" si="11"/>
        <v>786515</v>
      </c>
      <c r="H25" s="33">
        <f t="shared" si="8"/>
        <v>67.45758786901555</v>
      </c>
      <c r="I25" s="29">
        <f>SUM(I19:I24)</f>
        <v>15827</v>
      </c>
      <c r="J25" s="33">
        <f t="shared" si="1"/>
        <v>1.3574454946223649</v>
      </c>
      <c r="K25" s="29">
        <f t="shared" si="11"/>
        <v>245775</v>
      </c>
      <c r="L25" s="53">
        <f t="shared" si="10"/>
        <v>21.07955812477486</v>
      </c>
    </row>
    <row r="26" spans="1:12" s="124" customFormat="1" ht="12.75">
      <c r="A26" s="122" t="s">
        <v>59</v>
      </c>
      <c r="B26" s="39">
        <f>43000+128820</f>
        <v>171820</v>
      </c>
      <c r="C26" s="39"/>
      <c r="D26" s="123">
        <f t="shared" si="6"/>
        <v>0</v>
      </c>
      <c r="E26" s="39"/>
      <c r="F26" s="41">
        <f t="shared" si="7"/>
        <v>0</v>
      </c>
      <c r="G26" s="39"/>
      <c r="H26" s="41">
        <f>SUM(G26/B26*100)</f>
        <v>0</v>
      </c>
      <c r="I26" s="39"/>
      <c r="J26" s="41">
        <f t="shared" si="1"/>
        <v>0</v>
      </c>
      <c r="K26" s="40">
        <f>SUM(B26-C26-E26-G26-I26)</f>
        <v>171820</v>
      </c>
      <c r="L26" s="42">
        <f t="shared" si="10"/>
        <v>100</v>
      </c>
    </row>
    <row r="27" spans="1:13" ht="13.5" thickBot="1">
      <c r="A27" s="50" t="s">
        <v>39</v>
      </c>
      <c r="B27" s="30">
        <v>2550</v>
      </c>
      <c r="C27" s="30"/>
      <c r="D27" s="125">
        <f t="shared" si="6"/>
        <v>0</v>
      </c>
      <c r="E27" s="31"/>
      <c r="F27" s="51">
        <f t="shared" si="7"/>
        <v>0</v>
      </c>
      <c r="G27" s="31"/>
      <c r="H27" s="51">
        <f>SUM(G27/B27*100)</f>
        <v>0</v>
      </c>
      <c r="I27" s="31"/>
      <c r="J27" s="51">
        <f t="shared" si="1"/>
        <v>0</v>
      </c>
      <c r="K27" s="31">
        <f>SUM(B27-C27-E27-G27-I27)</f>
        <v>2550</v>
      </c>
      <c r="L27" s="52">
        <f t="shared" si="10"/>
        <v>100</v>
      </c>
      <c r="M27" s="3"/>
    </row>
    <row r="28" spans="1:13" s="37" customFormat="1" ht="13.5" thickBot="1">
      <c r="A28" s="32" t="s">
        <v>43</v>
      </c>
      <c r="B28" s="29">
        <f>SUM(B26:B27)</f>
        <v>174370</v>
      </c>
      <c r="C28" s="29">
        <f>SUM(C26:C27)</f>
        <v>0</v>
      </c>
      <c r="D28" s="92">
        <f t="shared" si="6"/>
        <v>0</v>
      </c>
      <c r="E28" s="29">
        <f>SUM(E27)</f>
        <v>0</v>
      </c>
      <c r="F28" s="33">
        <f t="shared" si="7"/>
        <v>0</v>
      </c>
      <c r="G28" s="29">
        <f>SUM(G26:G27)</f>
        <v>0</v>
      </c>
      <c r="H28" s="33">
        <f>SUM(H27)</f>
        <v>0</v>
      </c>
      <c r="I28" s="29">
        <f>SUM(I26:I27)</f>
        <v>0</v>
      </c>
      <c r="J28" s="33">
        <f t="shared" si="1"/>
        <v>0</v>
      </c>
      <c r="K28" s="29">
        <f>SUM(K26:K27)</f>
        <v>174370</v>
      </c>
      <c r="L28" s="53">
        <f>SUM(L27)</f>
        <v>100</v>
      </c>
      <c r="M28" s="44"/>
    </row>
    <row r="29" spans="1:15" s="37" customFormat="1" ht="13.5" thickBot="1">
      <c r="A29" s="28" t="s">
        <v>20</v>
      </c>
      <c r="B29" s="29">
        <f>SUM(B28,B25,B18)</f>
        <v>4843053</v>
      </c>
      <c r="C29" s="29">
        <f>SUM(C28,C25,C18)</f>
        <v>277821</v>
      </c>
      <c r="D29" s="92">
        <f t="shared" si="6"/>
        <v>5.736484816499014</v>
      </c>
      <c r="E29" s="29">
        <f>SUM(E28,E25,E18)</f>
        <v>0</v>
      </c>
      <c r="F29" s="33">
        <f t="shared" si="7"/>
        <v>0</v>
      </c>
      <c r="G29" s="29">
        <f>SUM(G28,G25,G18)</f>
        <v>786515</v>
      </c>
      <c r="H29" s="33">
        <f>SUM(G29/B29*100)</f>
        <v>16.240065925357413</v>
      </c>
      <c r="I29" s="29">
        <f>SUM(I28,I25,I18)</f>
        <v>66977</v>
      </c>
      <c r="J29" s="33">
        <f t="shared" si="1"/>
        <v>1.382949969781458</v>
      </c>
      <c r="K29" s="29">
        <f>SUM(K28,K25,K18)</f>
        <v>3711740</v>
      </c>
      <c r="L29" s="53">
        <f>SUM(K29/B29)*100</f>
        <v>76.64049928836212</v>
      </c>
      <c r="N29" s="44"/>
      <c r="O29" s="44"/>
    </row>
    <row r="30" spans="3:11" ht="12.75">
      <c r="C30" s="6"/>
      <c r="D30" s="93"/>
      <c r="E30" s="3"/>
      <c r="F30" s="2"/>
      <c r="G30" s="3"/>
      <c r="H30" s="2"/>
      <c r="I30" s="2"/>
      <c r="J30" s="2"/>
      <c r="K30" s="6"/>
    </row>
    <row r="31" spans="1:7" s="3" customFormat="1" ht="13.5" thickBot="1">
      <c r="A31" s="78" t="s">
        <v>60</v>
      </c>
      <c r="D31" s="94"/>
      <c r="G31" s="64"/>
    </row>
    <row r="32" spans="1:12" s="3" customFormat="1" ht="13.5" thickBot="1">
      <c r="A32" s="126" t="s">
        <v>61</v>
      </c>
      <c r="B32" s="127">
        <v>36000</v>
      </c>
      <c r="C32" s="127">
        <v>60000</v>
      </c>
      <c r="D32" s="128">
        <f>SUM(C32/B32)*100</f>
        <v>166.66666666666669</v>
      </c>
      <c r="E32" s="127"/>
      <c r="F32" s="127">
        <f>SUM(E32/B32)*100</f>
        <v>0</v>
      </c>
      <c r="G32" s="129"/>
      <c r="H32" s="127">
        <f>SUM(G32/B32*100)</f>
        <v>0</v>
      </c>
      <c r="I32" s="127"/>
      <c r="J32" s="127">
        <f>SUM(I32/B32*100)</f>
        <v>0</v>
      </c>
      <c r="K32" s="127">
        <f>SUM(B32-C32-E32-G32-I32)</f>
        <v>-24000</v>
      </c>
      <c r="L32" s="130">
        <f>SUM(K32/B32)*100</f>
        <v>-66.66666666666666</v>
      </c>
    </row>
    <row r="33" spans="4:7" s="3" customFormat="1" ht="12.75">
      <c r="D33" s="94"/>
      <c r="G33" s="64"/>
    </row>
    <row r="34" ht="12.75">
      <c r="B34" s="3"/>
    </row>
    <row r="35" spans="2:3" ht="12.75">
      <c r="B35" s="3"/>
      <c r="C35" s="3"/>
    </row>
    <row r="36" ht="12.75">
      <c r="B36" s="3"/>
    </row>
  </sheetData>
  <sheetProtection/>
  <mergeCells count="2">
    <mergeCell ref="K1:L1"/>
    <mergeCell ref="A2:L3"/>
  </mergeCells>
  <printOptions/>
  <pageMargins left="0.15748031496062992" right="0.15748031496062992" top="0.5905511811023623" bottom="0.3937007874015748" header="0.275590551181102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46"/>
  <sheetViews>
    <sheetView zoomScalePageLayoutView="0" workbookViewId="0" topLeftCell="B7">
      <selection activeCell="D46" sqref="D46:L50"/>
    </sheetView>
  </sheetViews>
  <sheetFormatPr defaultColWidth="9.00390625" defaultRowHeight="12.75"/>
  <cols>
    <col min="1" max="1" width="1.12109375" style="1" hidden="1" customWidth="1"/>
    <col min="2" max="2" width="33.25390625" style="1" customWidth="1"/>
    <col min="3" max="3" width="10.25390625" style="3" customWidth="1"/>
    <col min="4" max="4" width="9.375" style="3" bestFit="1" customWidth="1"/>
    <col min="5" max="5" width="9.75390625" style="2" customWidth="1"/>
    <col min="6" max="6" width="10.875" style="3" customWidth="1"/>
    <col min="7" max="7" width="9.75390625" style="7" customWidth="1"/>
    <col min="8" max="8" width="11.625" style="75" customWidth="1"/>
    <col min="9" max="9" width="8.375" style="79" customWidth="1"/>
    <col min="10" max="10" width="9.75390625" style="5" customWidth="1"/>
    <col min="11" max="11" width="10.00390625" style="87" customWidth="1"/>
    <col min="12" max="12" width="11.125" style="6" customWidth="1"/>
    <col min="13" max="13" width="13.00390625" style="1" customWidth="1"/>
    <col min="14" max="14" width="9.125" style="1" customWidth="1"/>
    <col min="15" max="15" width="10.125" style="1" bestFit="1" customWidth="1"/>
    <col min="16" max="16384" width="9.125" style="1" customWidth="1"/>
  </cols>
  <sheetData>
    <row r="1" spans="12:13" ht="12" customHeight="1">
      <c r="L1" s="137" t="s">
        <v>33</v>
      </c>
      <c r="M1" s="137"/>
    </row>
    <row r="2" spans="2:13" ht="18" customHeight="1">
      <c r="B2" s="136" t="s">
        <v>85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2:13" ht="12" customHeight="1" thickBot="1">
      <c r="B3" s="48"/>
      <c r="C3" s="64"/>
      <c r="D3" s="64"/>
      <c r="E3" s="65"/>
      <c r="F3" s="64"/>
      <c r="G3" s="66"/>
      <c r="H3" s="76"/>
      <c r="I3" s="80"/>
      <c r="J3" s="67"/>
      <c r="K3" s="88"/>
      <c r="L3" s="68"/>
      <c r="M3" s="69" t="s">
        <v>0</v>
      </c>
    </row>
    <row r="4" spans="2:13" s="72" customFormat="1" ht="51.75" customHeight="1" thickBot="1">
      <c r="B4" s="49" t="s">
        <v>3</v>
      </c>
      <c r="C4" s="61" t="s">
        <v>71</v>
      </c>
      <c r="D4" s="61" t="s">
        <v>70</v>
      </c>
      <c r="E4" s="62" t="s">
        <v>69</v>
      </c>
      <c r="F4" s="61" t="s">
        <v>68</v>
      </c>
      <c r="G4" s="70" t="s">
        <v>67</v>
      </c>
      <c r="H4" s="61" t="s">
        <v>72</v>
      </c>
      <c r="I4" s="70" t="s">
        <v>73</v>
      </c>
      <c r="J4" s="62" t="s">
        <v>63</v>
      </c>
      <c r="K4" s="62" t="s">
        <v>51</v>
      </c>
      <c r="L4" s="63" t="s">
        <v>74</v>
      </c>
      <c r="M4" s="71" t="s">
        <v>75</v>
      </c>
    </row>
    <row r="5" spans="2:13" ht="12" customHeight="1">
      <c r="B5" s="19" t="s">
        <v>40</v>
      </c>
      <c r="C5" s="20">
        <v>27292</v>
      </c>
      <c r="D5" s="21"/>
      <c r="E5" s="22">
        <f>SUM(D5/C5)*100</f>
        <v>0</v>
      </c>
      <c r="F5" s="21"/>
      <c r="G5" s="17">
        <f>SUM(F5/C5)*100</f>
        <v>0</v>
      </c>
      <c r="H5" s="21"/>
      <c r="I5" s="81">
        <f aca="true" t="shared" si="0" ref="I5:I20">SUM(H5/C5)*100</f>
        <v>0</v>
      </c>
      <c r="J5" s="16">
        <v>2292</v>
      </c>
      <c r="K5" s="17">
        <f aca="true" t="shared" si="1" ref="K5:K20">SUM(J5/C5)*100</f>
        <v>8.398065367140555</v>
      </c>
      <c r="L5" s="16">
        <f aca="true" t="shared" si="2" ref="L5:L14">SUM(C5-D5-F5-H5-J5)</f>
        <v>25000</v>
      </c>
      <c r="M5" s="23">
        <f>SUM(L5/C5)*100</f>
        <v>91.60193463285945</v>
      </c>
    </row>
    <row r="6" spans="2:13" ht="12" customHeight="1">
      <c r="B6" s="19" t="s">
        <v>5</v>
      </c>
      <c r="C6" s="20">
        <v>79438</v>
      </c>
      <c r="D6" s="21"/>
      <c r="E6" s="22">
        <f>SUM(D6/C6)*100</f>
        <v>0</v>
      </c>
      <c r="F6" s="21"/>
      <c r="G6" s="17">
        <f>SUM(F6/C6)*100</f>
        <v>0</v>
      </c>
      <c r="H6" s="21"/>
      <c r="I6" s="81">
        <f t="shared" si="0"/>
        <v>0</v>
      </c>
      <c r="J6" s="16"/>
      <c r="K6" s="17">
        <f t="shared" si="1"/>
        <v>0</v>
      </c>
      <c r="L6" s="16">
        <f t="shared" si="2"/>
        <v>79438</v>
      </c>
      <c r="M6" s="23">
        <f>SUM(L6/C6)*100</f>
        <v>100</v>
      </c>
    </row>
    <row r="7" spans="2:13" ht="12" customHeight="1">
      <c r="B7" s="19" t="s">
        <v>6</v>
      </c>
      <c r="C7" s="20">
        <v>265000</v>
      </c>
      <c r="D7" s="21"/>
      <c r="E7" s="22">
        <f>SUM(D7/C7)*100</f>
        <v>0</v>
      </c>
      <c r="F7" s="21">
        <v>10466</v>
      </c>
      <c r="G7" s="17">
        <f>SUM(F7/C7)*100</f>
        <v>3.949433962264151</v>
      </c>
      <c r="H7" s="21"/>
      <c r="I7" s="81">
        <f t="shared" si="0"/>
        <v>0</v>
      </c>
      <c r="J7" s="16"/>
      <c r="K7" s="17">
        <f t="shared" si="1"/>
        <v>0</v>
      </c>
      <c r="L7" s="16">
        <f t="shared" si="2"/>
        <v>254534</v>
      </c>
      <c r="M7" s="23">
        <f>SUM(L7/C7)*100</f>
        <v>96.05056603773585</v>
      </c>
    </row>
    <row r="8" spans="2:13" ht="12" customHeight="1">
      <c r="B8" s="19" t="s">
        <v>16</v>
      </c>
      <c r="C8" s="20">
        <v>181118</v>
      </c>
      <c r="D8" s="21"/>
      <c r="E8" s="22">
        <f aca="true" t="shared" si="3" ref="E8:E15">SUM(D8/C8)*100</f>
        <v>0</v>
      </c>
      <c r="F8" s="21"/>
      <c r="G8" s="22">
        <f aca="true" t="shared" si="4" ref="G8:G15">SUM(F8/C8)*100</f>
        <v>0</v>
      </c>
      <c r="H8" s="21"/>
      <c r="I8" s="81">
        <f t="shared" si="0"/>
        <v>0</v>
      </c>
      <c r="J8" s="16"/>
      <c r="K8" s="17">
        <f t="shared" si="1"/>
        <v>0</v>
      </c>
      <c r="L8" s="16">
        <f t="shared" si="2"/>
        <v>181118</v>
      </c>
      <c r="M8" s="23">
        <f aca="true" t="shared" si="5" ref="M8:M15">SUM(L8/C8)*100</f>
        <v>100</v>
      </c>
    </row>
    <row r="9" spans="2:13" ht="12" customHeight="1">
      <c r="B9" s="19" t="s">
        <v>17</v>
      </c>
      <c r="C9" s="20">
        <f>795378-'önként2017.'!B12</f>
        <v>710378</v>
      </c>
      <c r="D9" s="21"/>
      <c r="E9" s="22">
        <f t="shared" si="3"/>
        <v>0</v>
      </c>
      <c r="F9" s="21"/>
      <c r="G9" s="22">
        <f t="shared" si="4"/>
        <v>0</v>
      </c>
      <c r="H9" s="21"/>
      <c r="I9" s="81">
        <f t="shared" si="0"/>
        <v>0</v>
      </c>
      <c r="J9" s="16"/>
      <c r="K9" s="17">
        <f t="shared" si="1"/>
        <v>0</v>
      </c>
      <c r="L9" s="16">
        <f t="shared" si="2"/>
        <v>710378</v>
      </c>
      <c r="M9" s="23">
        <f t="shared" si="5"/>
        <v>100</v>
      </c>
    </row>
    <row r="10" spans="2:13" ht="12" customHeight="1">
      <c r="B10" s="19" t="s">
        <v>18</v>
      </c>
      <c r="C10" s="20">
        <f>518759-'önként2017.'!B13</f>
        <v>446660</v>
      </c>
      <c r="D10" s="21"/>
      <c r="E10" s="22">
        <f t="shared" si="3"/>
        <v>0</v>
      </c>
      <c r="F10" s="21"/>
      <c r="G10" s="22">
        <f t="shared" si="4"/>
        <v>0</v>
      </c>
      <c r="H10" s="21"/>
      <c r="I10" s="81">
        <f t="shared" si="0"/>
        <v>0</v>
      </c>
      <c r="J10" s="16"/>
      <c r="K10" s="17">
        <f t="shared" si="1"/>
        <v>0</v>
      </c>
      <c r="L10" s="16">
        <f t="shared" si="2"/>
        <v>446660</v>
      </c>
      <c r="M10" s="23">
        <f t="shared" si="5"/>
        <v>100</v>
      </c>
    </row>
    <row r="11" spans="2:13" ht="12" customHeight="1">
      <c r="B11" s="19" t="s">
        <v>19</v>
      </c>
      <c r="C11" s="20">
        <f>3318793-'önként2017.'!B7</f>
        <v>1760882</v>
      </c>
      <c r="D11" s="21">
        <f>310180+1584926+22224</f>
        <v>1917330</v>
      </c>
      <c r="E11" s="22">
        <f t="shared" si="3"/>
        <v>108.88463849366397</v>
      </c>
      <c r="F11" s="21"/>
      <c r="G11" s="22">
        <f t="shared" si="4"/>
        <v>0</v>
      </c>
      <c r="H11" s="21"/>
      <c r="I11" s="81">
        <f t="shared" si="0"/>
        <v>0</v>
      </c>
      <c r="J11" s="16">
        <v>32300</v>
      </c>
      <c r="K11" s="17">
        <f t="shared" si="1"/>
        <v>1.83430803426919</v>
      </c>
      <c r="L11" s="16">
        <f>SUM(C11-D11-F11-H11-J11)</f>
        <v>-188748</v>
      </c>
      <c r="M11" s="23">
        <f t="shared" si="5"/>
        <v>-10.718946527933161</v>
      </c>
    </row>
    <row r="12" spans="2:13" ht="12" customHeight="1">
      <c r="B12" s="19" t="s">
        <v>62</v>
      </c>
      <c r="C12" s="25">
        <v>205292</v>
      </c>
      <c r="D12" s="26">
        <v>20000</v>
      </c>
      <c r="E12" s="22">
        <f t="shared" si="3"/>
        <v>9.742220836661925</v>
      </c>
      <c r="F12" s="26"/>
      <c r="G12" s="22">
        <f t="shared" si="4"/>
        <v>0</v>
      </c>
      <c r="H12" s="26"/>
      <c r="I12" s="81">
        <f t="shared" si="0"/>
        <v>0</v>
      </c>
      <c r="J12" s="21">
        <v>16383</v>
      </c>
      <c r="K12" s="17">
        <f t="shared" si="1"/>
        <v>7.980340198351617</v>
      </c>
      <c r="L12" s="16">
        <f>SUM(C12-D12-F12-H12-J12)</f>
        <v>168909</v>
      </c>
      <c r="M12" s="23">
        <f t="shared" si="5"/>
        <v>82.27743896498646</v>
      </c>
    </row>
    <row r="13" spans="2:13" ht="12" customHeight="1">
      <c r="B13" s="24" t="s">
        <v>56</v>
      </c>
      <c r="C13" s="25">
        <f>1094963+406581</f>
        <v>1501544</v>
      </c>
      <c r="D13" s="26">
        <v>3000000</v>
      </c>
      <c r="E13" s="27">
        <f t="shared" si="3"/>
        <v>199.79434502085854</v>
      </c>
      <c r="F13" s="26"/>
      <c r="G13" s="27">
        <f t="shared" si="4"/>
        <v>0</v>
      </c>
      <c r="H13" s="26"/>
      <c r="I13" s="81">
        <f t="shared" si="0"/>
        <v>0</v>
      </c>
      <c r="J13" s="40"/>
      <c r="K13" s="17">
        <f t="shared" si="1"/>
        <v>0</v>
      </c>
      <c r="L13" s="16">
        <f t="shared" si="2"/>
        <v>-1498456</v>
      </c>
      <c r="M13" s="96">
        <f t="shared" si="5"/>
        <v>-99.79434502085853</v>
      </c>
    </row>
    <row r="14" spans="2:13" ht="12" customHeight="1" thickBot="1">
      <c r="B14" s="24" t="s">
        <v>32</v>
      </c>
      <c r="C14" s="25">
        <v>127000</v>
      </c>
      <c r="D14" s="26">
        <v>64564</v>
      </c>
      <c r="E14" s="27">
        <f t="shared" si="3"/>
        <v>50.837795275590544</v>
      </c>
      <c r="F14" s="26"/>
      <c r="G14" s="27">
        <f t="shared" si="4"/>
        <v>0</v>
      </c>
      <c r="H14" s="26"/>
      <c r="I14" s="82">
        <f t="shared" si="0"/>
        <v>0</v>
      </c>
      <c r="J14" s="26"/>
      <c r="K14" s="41">
        <f t="shared" si="1"/>
        <v>0</v>
      </c>
      <c r="L14" s="40">
        <f t="shared" si="2"/>
        <v>62436</v>
      </c>
      <c r="M14" s="96">
        <f t="shared" si="5"/>
        <v>49.16220472440945</v>
      </c>
    </row>
    <row r="15" spans="2:13" s="37" customFormat="1" ht="12" customHeight="1" thickBot="1">
      <c r="B15" s="32" t="s">
        <v>42</v>
      </c>
      <c r="C15" s="29">
        <f>SUM(C5:C14)</f>
        <v>5304604</v>
      </c>
      <c r="D15" s="29">
        <f>SUM(D5:D14)</f>
        <v>5001894</v>
      </c>
      <c r="E15" s="73">
        <f t="shared" si="3"/>
        <v>94.29344772955719</v>
      </c>
      <c r="F15" s="29">
        <f>SUM(F5:F14)</f>
        <v>10466</v>
      </c>
      <c r="G15" s="73">
        <f t="shared" si="4"/>
        <v>0.19730030743105423</v>
      </c>
      <c r="H15" s="29">
        <f>SUM(H5:H14)</f>
        <v>0</v>
      </c>
      <c r="I15" s="73">
        <f t="shared" si="0"/>
        <v>0</v>
      </c>
      <c r="J15" s="29">
        <f>SUM(J5:J14)</f>
        <v>50975</v>
      </c>
      <c r="K15" s="33">
        <f t="shared" si="1"/>
        <v>0.9609576888303066</v>
      </c>
      <c r="L15" s="29">
        <f>SUM(L5:L14)</f>
        <v>241269</v>
      </c>
      <c r="M15" s="97">
        <f t="shared" si="5"/>
        <v>4.548294274181447</v>
      </c>
    </row>
    <row r="16" spans="2:13" s="104" customFormat="1" ht="12" customHeight="1">
      <c r="B16" s="98" t="s">
        <v>15</v>
      </c>
      <c r="C16" s="20">
        <v>26788</v>
      </c>
      <c r="D16" s="99">
        <v>5286</v>
      </c>
      <c r="E16" s="22">
        <f aca="true" t="shared" si="6" ref="E16:E24">SUM(D16/C16)*100</f>
        <v>19.73271614155592</v>
      </c>
      <c r="F16" s="99"/>
      <c r="G16" s="100">
        <f aca="true" t="shared" si="7" ref="G16:G23">SUM(F16/C16)*100</f>
        <v>0</v>
      </c>
      <c r="H16" s="99"/>
      <c r="I16" s="101">
        <f t="shared" si="0"/>
        <v>0</v>
      </c>
      <c r="J16" s="102"/>
      <c r="K16" s="103">
        <f t="shared" si="1"/>
        <v>0</v>
      </c>
      <c r="L16" s="16">
        <f>SUM(C16-D16-F16-H16-J16)</f>
        <v>21502</v>
      </c>
      <c r="M16" s="23">
        <f aca="true" t="shared" si="8" ref="M16:M24">SUM(L16/C16)*100</f>
        <v>80.26728385844409</v>
      </c>
    </row>
    <row r="17" spans="2:13" s="104" customFormat="1" ht="12" customHeight="1">
      <c r="B17" s="98" t="s">
        <v>29</v>
      </c>
      <c r="C17" s="20">
        <v>81036</v>
      </c>
      <c r="D17" s="99">
        <v>21798</v>
      </c>
      <c r="E17" s="22">
        <f t="shared" si="6"/>
        <v>26.899155930697464</v>
      </c>
      <c r="F17" s="99"/>
      <c r="G17" s="100">
        <f t="shared" si="7"/>
        <v>0</v>
      </c>
      <c r="H17" s="99">
        <v>31226</v>
      </c>
      <c r="I17" s="101">
        <f t="shared" si="0"/>
        <v>38.5334912878227</v>
      </c>
      <c r="J17" s="102"/>
      <c r="K17" s="103">
        <f t="shared" si="1"/>
        <v>0</v>
      </c>
      <c r="L17" s="16">
        <f>SUM(C17-D17-F17-H17-J17)</f>
        <v>28012</v>
      </c>
      <c r="M17" s="23">
        <f t="shared" si="8"/>
        <v>34.56735278147984</v>
      </c>
    </row>
    <row r="18" spans="2:13" s="104" customFormat="1" ht="12" customHeight="1">
      <c r="B18" s="98" t="s">
        <v>35</v>
      </c>
      <c r="C18" s="20">
        <v>68791</v>
      </c>
      <c r="D18" s="99">
        <v>2</v>
      </c>
      <c r="E18" s="22">
        <f t="shared" si="6"/>
        <v>0.0029073570670581908</v>
      </c>
      <c r="F18" s="99"/>
      <c r="G18" s="100">
        <f t="shared" si="7"/>
        <v>0</v>
      </c>
      <c r="H18" s="99">
        <v>47062</v>
      </c>
      <c r="I18" s="101">
        <f t="shared" si="0"/>
        <v>68.41301914494629</v>
      </c>
      <c r="J18" s="102"/>
      <c r="K18" s="103">
        <f t="shared" si="1"/>
        <v>0</v>
      </c>
      <c r="L18" s="16">
        <f>SUM(C18-D18-F18-H18-J18)</f>
        <v>21727</v>
      </c>
      <c r="M18" s="23">
        <f t="shared" si="8"/>
        <v>31.584073497986655</v>
      </c>
    </row>
    <row r="19" spans="2:13" s="104" customFormat="1" ht="12" customHeight="1">
      <c r="B19" s="98" t="s">
        <v>31</v>
      </c>
      <c r="C19" s="20">
        <v>19929</v>
      </c>
      <c r="D19" s="99">
        <v>1100</v>
      </c>
      <c r="E19" s="22">
        <f t="shared" si="6"/>
        <v>5.519594560690451</v>
      </c>
      <c r="F19" s="99"/>
      <c r="G19" s="100">
        <f t="shared" si="7"/>
        <v>0</v>
      </c>
      <c r="H19" s="99">
        <v>15769</v>
      </c>
      <c r="I19" s="101">
        <f t="shared" si="0"/>
        <v>79.12589693411611</v>
      </c>
      <c r="J19" s="102"/>
      <c r="K19" s="103">
        <f t="shared" si="1"/>
        <v>0</v>
      </c>
      <c r="L19" s="16">
        <f>SUM(C19-D19-F19-H19-J19)</f>
        <v>3060</v>
      </c>
      <c r="M19" s="23">
        <f t="shared" si="8"/>
        <v>15.354508505193436</v>
      </c>
    </row>
    <row r="20" spans="2:13" s="104" customFormat="1" ht="12" customHeight="1" thickBot="1">
      <c r="B20" s="105" t="s">
        <v>30</v>
      </c>
      <c r="C20" s="25">
        <v>31958</v>
      </c>
      <c r="D20" s="106">
        <v>2362</v>
      </c>
      <c r="E20" s="27">
        <f t="shared" si="6"/>
        <v>7.3909506226922845</v>
      </c>
      <c r="F20" s="106"/>
      <c r="G20" s="107">
        <f t="shared" si="7"/>
        <v>0</v>
      </c>
      <c r="H20" s="106">
        <v>21828</v>
      </c>
      <c r="I20" s="101">
        <f t="shared" si="0"/>
        <v>68.30214656736968</v>
      </c>
      <c r="J20" s="108"/>
      <c r="K20" s="103">
        <f t="shared" si="1"/>
        <v>0</v>
      </c>
      <c r="L20" s="16">
        <f>SUM(C20-D20-F20-H20-J20)</f>
        <v>7768</v>
      </c>
      <c r="M20" s="96">
        <f t="shared" si="8"/>
        <v>24.306902809938045</v>
      </c>
    </row>
    <row r="21" spans="2:13" s="37" customFormat="1" ht="12" customHeight="1" thickBot="1">
      <c r="B21" s="32" t="s">
        <v>41</v>
      </c>
      <c r="C21" s="29">
        <f>SUM(C16:C20)</f>
        <v>228502</v>
      </c>
      <c r="D21" s="29">
        <f aca="true" t="shared" si="9" ref="D21:L21">SUM(D16:D20)</f>
        <v>30548</v>
      </c>
      <c r="E21" s="33">
        <f t="shared" si="6"/>
        <v>13.368810776273293</v>
      </c>
      <c r="F21" s="29">
        <f t="shared" si="9"/>
        <v>0</v>
      </c>
      <c r="G21" s="33">
        <f t="shared" si="7"/>
        <v>0</v>
      </c>
      <c r="H21" s="29">
        <f t="shared" si="9"/>
        <v>115885</v>
      </c>
      <c r="I21" s="73">
        <f aca="true" t="shared" si="10" ref="I21:I38">SUM(H21/C21)*100</f>
        <v>50.71509220925856</v>
      </c>
      <c r="J21" s="29">
        <f>SUM(J16:J20)</f>
        <v>0</v>
      </c>
      <c r="K21" s="33">
        <f aca="true" t="shared" si="11" ref="K21:K38">SUM(J21/C21)*100</f>
        <v>0</v>
      </c>
      <c r="L21" s="29">
        <f t="shared" si="9"/>
        <v>82069</v>
      </c>
      <c r="M21" s="53">
        <f t="shared" si="8"/>
        <v>35.91609701446814</v>
      </c>
    </row>
    <row r="22" spans="2:13" ht="12" customHeight="1">
      <c r="B22" s="109" t="s">
        <v>53</v>
      </c>
      <c r="C22" s="110">
        <v>539894</v>
      </c>
      <c r="D22" s="111">
        <v>105000</v>
      </c>
      <c r="E22" s="112">
        <f t="shared" si="6"/>
        <v>19.448262066257453</v>
      </c>
      <c r="F22" s="111"/>
      <c r="G22" s="112">
        <f t="shared" si="7"/>
        <v>0</v>
      </c>
      <c r="H22" s="111"/>
      <c r="I22" s="113">
        <f>SUM(H22/C22)*100</f>
        <v>0</v>
      </c>
      <c r="J22" s="111"/>
      <c r="K22" s="112">
        <f>SUM(J22/C22)*100</f>
        <v>0</v>
      </c>
      <c r="L22" s="111">
        <f>SUM(C22-D22-F22-H22-J22)</f>
        <v>434894</v>
      </c>
      <c r="M22" s="114">
        <f t="shared" si="8"/>
        <v>80.55173793374254</v>
      </c>
    </row>
    <row r="23" spans="2:13" ht="12" customHeight="1" thickBot="1">
      <c r="B23" s="50" t="s">
        <v>54</v>
      </c>
      <c r="C23" s="30">
        <v>782000</v>
      </c>
      <c r="D23" s="31">
        <v>480000</v>
      </c>
      <c r="E23" s="51">
        <f t="shared" si="6"/>
        <v>61.38107416879796</v>
      </c>
      <c r="F23" s="31"/>
      <c r="G23" s="51">
        <f t="shared" si="7"/>
        <v>0</v>
      </c>
      <c r="H23" s="31"/>
      <c r="I23" s="83">
        <f>SUM(H23/C23)*100</f>
        <v>0</v>
      </c>
      <c r="J23" s="31"/>
      <c r="K23" s="51">
        <f>SUM(J23/C23)*100</f>
        <v>0</v>
      </c>
      <c r="L23" s="31">
        <f>SUM(C23-D23-F23-H23-J23)</f>
        <v>302000</v>
      </c>
      <c r="M23" s="52">
        <f t="shared" si="8"/>
        <v>38.61892583120204</v>
      </c>
    </row>
    <row r="24" spans="2:13" ht="12" customHeight="1" thickBot="1">
      <c r="B24" s="32" t="s">
        <v>55</v>
      </c>
      <c r="C24" s="29">
        <f>SUM(C22:C23)</f>
        <v>1321894</v>
      </c>
      <c r="D24" s="29">
        <f>SUM(D22:D23)</f>
        <v>585000</v>
      </c>
      <c r="E24" s="73">
        <f t="shared" si="6"/>
        <v>44.254683053255405</v>
      </c>
      <c r="F24" s="29">
        <f aca="true" t="shared" si="12" ref="F24:L24">SUM(F22:F23)</f>
        <v>0</v>
      </c>
      <c r="G24" s="73">
        <f t="shared" si="12"/>
        <v>0</v>
      </c>
      <c r="H24" s="29">
        <f t="shared" si="12"/>
        <v>0</v>
      </c>
      <c r="I24" s="73">
        <f t="shared" si="12"/>
        <v>0</v>
      </c>
      <c r="J24" s="29">
        <f t="shared" si="12"/>
        <v>0</v>
      </c>
      <c r="K24" s="33">
        <f t="shared" si="12"/>
        <v>0</v>
      </c>
      <c r="L24" s="29">
        <f t="shared" si="12"/>
        <v>736894</v>
      </c>
      <c r="M24" s="97">
        <f t="shared" si="8"/>
        <v>55.745316946744595</v>
      </c>
    </row>
    <row r="25" spans="2:13" ht="12" customHeight="1">
      <c r="B25" s="38" t="s">
        <v>4</v>
      </c>
      <c r="C25" s="39">
        <f>2273747-'önként2017.'!B26-C26</f>
        <v>2100927</v>
      </c>
      <c r="D25" s="40">
        <v>91820</v>
      </c>
      <c r="E25" s="41">
        <f aca="true" t="shared" si="13" ref="E25:E44">SUM(D25/C25)*100</f>
        <v>4.370451710126054</v>
      </c>
      <c r="F25" s="40">
        <v>318219</v>
      </c>
      <c r="G25" s="41">
        <f aca="true" t="shared" si="14" ref="G25:G44">SUM(F25/C25)*100</f>
        <v>15.146599572474436</v>
      </c>
      <c r="H25" s="40"/>
      <c r="I25" s="82">
        <f t="shared" si="10"/>
        <v>0</v>
      </c>
      <c r="J25" s="40">
        <v>27670</v>
      </c>
      <c r="K25" s="41">
        <f t="shared" si="11"/>
        <v>1.3170376695620551</v>
      </c>
      <c r="L25" s="40">
        <f>SUM(C25-D25-F25-H25-J25)</f>
        <v>1663218</v>
      </c>
      <c r="M25" s="42">
        <f aca="true" t="shared" si="15" ref="M25:M44">SUM(L25/C25)*100</f>
        <v>79.16591104783745</v>
      </c>
    </row>
    <row r="26" spans="2:13" ht="12" customHeight="1">
      <c r="B26" s="19" t="s">
        <v>52</v>
      </c>
      <c r="C26" s="20">
        <v>1000</v>
      </c>
      <c r="D26" s="21"/>
      <c r="E26" s="22">
        <f t="shared" si="13"/>
        <v>0</v>
      </c>
      <c r="F26" s="21"/>
      <c r="G26" s="22">
        <f t="shared" si="14"/>
        <v>0</v>
      </c>
      <c r="H26" s="21"/>
      <c r="I26" s="115">
        <f t="shared" si="10"/>
        <v>0</v>
      </c>
      <c r="J26" s="21"/>
      <c r="K26" s="22">
        <f t="shared" si="11"/>
        <v>0</v>
      </c>
      <c r="L26" s="21">
        <f>SUM(C26-D26-F26-H26-J26)</f>
        <v>1000</v>
      </c>
      <c r="M26" s="23">
        <f t="shared" si="15"/>
        <v>100</v>
      </c>
    </row>
    <row r="27" spans="2:13" ht="12" customHeight="1" thickBot="1">
      <c r="B27" s="38" t="s">
        <v>57</v>
      </c>
      <c r="C27" s="39">
        <v>214309</v>
      </c>
      <c r="D27" s="40"/>
      <c r="E27" s="41">
        <f t="shared" si="13"/>
        <v>0</v>
      </c>
      <c r="F27" s="40"/>
      <c r="G27" s="41">
        <f t="shared" si="14"/>
        <v>0</v>
      </c>
      <c r="H27" s="40"/>
      <c r="I27" s="82">
        <f t="shared" si="10"/>
        <v>0</v>
      </c>
      <c r="J27" s="40"/>
      <c r="K27" s="41">
        <f t="shared" si="11"/>
        <v>0</v>
      </c>
      <c r="L27" s="40">
        <f>SUM(C27-D27-F27-H27-J27)</f>
        <v>214309</v>
      </c>
      <c r="M27" s="42">
        <f t="shared" si="15"/>
        <v>100</v>
      </c>
    </row>
    <row r="28" spans="2:13" ht="12" customHeight="1" thickBot="1">
      <c r="B28" s="32" t="s">
        <v>43</v>
      </c>
      <c r="C28" s="29">
        <f>SUM(C25:C27)</f>
        <v>2316236</v>
      </c>
      <c r="D28" s="29">
        <f>SUM(D25:D27)</f>
        <v>91820</v>
      </c>
      <c r="E28" s="33">
        <f t="shared" si="13"/>
        <v>3.9641901775121364</v>
      </c>
      <c r="F28" s="29">
        <f>SUM(F25:F27)</f>
        <v>318219</v>
      </c>
      <c r="G28" s="33">
        <f t="shared" si="14"/>
        <v>13.738625943124966</v>
      </c>
      <c r="H28" s="29">
        <f>SUM(H25:H27)</f>
        <v>0</v>
      </c>
      <c r="I28" s="73">
        <f t="shared" si="10"/>
        <v>0</v>
      </c>
      <c r="J28" s="29">
        <f>SUM(J25)</f>
        <v>27670</v>
      </c>
      <c r="K28" s="33">
        <f t="shared" si="11"/>
        <v>1.1946105664535047</v>
      </c>
      <c r="L28" s="29">
        <f>SUM(L25:L27)</f>
        <v>1878527</v>
      </c>
      <c r="M28" s="53">
        <f t="shared" si="15"/>
        <v>81.10257331290939</v>
      </c>
    </row>
    <row r="29" spans="2:13" ht="12" customHeight="1" thickBot="1">
      <c r="B29" s="38" t="s">
        <v>7</v>
      </c>
      <c r="C29" s="39">
        <v>200138</v>
      </c>
      <c r="D29" s="40">
        <v>4200</v>
      </c>
      <c r="E29" s="41">
        <f t="shared" si="13"/>
        <v>2.0985519991206067</v>
      </c>
      <c r="F29" s="40">
        <f>46939+9053</f>
        <v>55992</v>
      </c>
      <c r="G29" s="41">
        <f t="shared" si="14"/>
        <v>27.976696079705004</v>
      </c>
      <c r="H29" s="40"/>
      <c r="I29" s="82">
        <f t="shared" si="10"/>
        <v>0</v>
      </c>
      <c r="J29" s="40">
        <v>2151</v>
      </c>
      <c r="K29" s="41">
        <f t="shared" si="11"/>
        <v>1.0747584166924822</v>
      </c>
      <c r="L29" s="40">
        <f>SUM(C29-D29-F29-H29-J29)</f>
        <v>137795</v>
      </c>
      <c r="M29" s="42">
        <f t="shared" si="15"/>
        <v>68.84999350448192</v>
      </c>
    </row>
    <row r="30" spans="2:13" ht="12" customHeight="1" thickBot="1">
      <c r="B30" s="32" t="s">
        <v>44</v>
      </c>
      <c r="C30" s="29">
        <f>SUM(C29)</f>
        <v>200138</v>
      </c>
      <c r="D30" s="34">
        <f>SUM(D29)</f>
        <v>4200</v>
      </c>
      <c r="E30" s="35">
        <f t="shared" si="13"/>
        <v>2.0985519991206067</v>
      </c>
      <c r="F30" s="34">
        <f>SUM(F29)</f>
        <v>55992</v>
      </c>
      <c r="G30" s="35">
        <f t="shared" si="14"/>
        <v>27.976696079705004</v>
      </c>
      <c r="H30" s="34">
        <f>SUM(H29)</f>
        <v>0</v>
      </c>
      <c r="I30" s="84">
        <f t="shared" si="10"/>
        <v>0</v>
      </c>
      <c r="J30" s="34">
        <f>SUM(J29)</f>
        <v>2151</v>
      </c>
      <c r="K30" s="35">
        <f t="shared" si="11"/>
        <v>1.0747584166924822</v>
      </c>
      <c r="L30" s="34">
        <f>SUM(L29)</f>
        <v>137795</v>
      </c>
      <c r="M30" s="36">
        <f t="shared" si="15"/>
        <v>68.84999350448192</v>
      </c>
    </row>
    <row r="31" spans="2:13" ht="12" customHeight="1">
      <c r="B31" s="14" t="s">
        <v>8</v>
      </c>
      <c r="C31" s="15">
        <v>256593</v>
      </c>
      <c r="D31" s="16">
        <v>11495</v>
      </c>
      <c r="E31" s="17">
        <f t="shared" si="13"/>
        <v>4.479857205769449</v>
      </c>
      <c r="F31" s="16">
        <v>34880</v>
      </c>
      <c r="G31" s="17">
        <f t="shared" si="14"/>
        <v>13.593511904065972</v>
      </c>
      <c r="H31" s="16"/>
      <c r="I31" s="81">
        <f t="shared" si="10"/>
        <v>0</v>
      </c>
      <c r="J31" s="16">
        <v>1978</v>
      </c>
      <c r="K31" s="17">
        <f t="shared" si="11"/>
        <v>0.7708706005230073</v>
      </c>
      <c r="L31" s="16">
        <f>SUM(C31-D31-F31-H31-J31)</f>
        <v>208240</v>
      </c>
      <c r="M31" s="18">
        <f t="shared" si="15"/>
        <v>81.15576028964158</v>
      </c>
    </row>
    <row r="32" spans="2:13" ht="12" customHeight="1">
      <c r="B32" s="19" t="s">
        <v>9</v>
      </c>
      <c r="C32" s="20">
        <v>215207</v>
      </c>
      <c r="D32" s="21">
        <v>13514</v>
      </c>
      <c r="E32" s="22">
        <f t="shared" si="13"/>
        <v>6.279535516967385</v>
      </c>
      <c r="F32" s="21">
        <v>13960</v>
      </c>
      <c r="G32" s="22">
        <f t="shared" si="14"/>
        <v>6.4867778464455155</v>
      </c>
      <c r="H32" s="21"/>
      <c r="I32" s="81">
        <f t="shared" si="10"/>
        <v>0</v>
      </c>
      <c r="J32" s="16">
        <v>1543</v>
      </c>
      <c r="K32" s="17">
        <f t="shared" si="11"/>
        <v>0.7169841129703031</v>
      </c>
      <c r="L32" s="16">
        <f aca="true" t="shared" si="16" ref="L32:L38">SUM(C32-D32-F32-H32-J32)</f>
        <v>186190</v>
      </c>
      <c r="M32" s="23">
        <f t="shared" si="15"/>
        <v>86.5167025236168</v>
      </c>
    </row>
    <row r="33" spans="2:13" ht="12" customHeight="1">
      <c r="B33" s="19" t="s">
        <v>10</v>
      </c>
      <c r="C33" s="20">
        <v>57940</v>
      </c>
      <c r="D33" s="21">
        <v>11069</v>
      </c>
      <c r="E33" s="22">
        <f t="shared" si="13"/>
        <v>19.104245771487747</v>
      </c>
      <c r="F33" s="21">
        <f>10424+7575</f>
        <v>17999</v>
      </c>
      <c r="G33" s="22">
        <f t="shared" si="14"/>
        <v>31.06489471867449</v>
      </c>
      <c r="H33" s="21"/>
      <c r="I33" s="81">
        <f t="shared" si="10"/>
        <v>0</v>
      </c>
      <c r="J33" s="16">
        <v>412</v>
      </c>
      <c r="K33" s="17">
        <f t="shared" si="11"/>
        <v>0.7110804280289955</v>
      </c>
      <c r="L33" s="16">
        <f t="shared" si="16"/>
        <v>28460</v>
      </c>
      <c r="M33" s="23">
        <f t="shared" si="15"/>
        <v>49.119779081808765</v>
      </c>
    </row>
    <row r="34" spans="2:13" ht="12" customHeight="1">
      <c r="B34" s="19" t="s">
        <v>11</v>
      </c>
      <c r="C34" s="20">
        <v>59606</v>
      </c>
      <c r="D34" s="21">
        <v>20070</v>
      </c>
      <c r="E34" s="22">
        <f t="shared" si="13"/>
        <v>33.6711069355434</v>
      </c>
      <c r="F34" s="21">
        <v>24912</v>
      </c>
      <c r="G34" s="22">
        <f t="shared" si="14"/>
        <v>41.7944502231319</v>
      </c>
      <c r="H34" s="21"/>
      <c r="I34" s="81">
        <f t="shared" si="10"/>
        <v>0</v>
      </c>
      <c r="J34" s="16">
        <v>83</v>
      </c>
      <c r="K34" s="17">
        <f t="shared" si="11"/>
        <v>0.1392477267389189</v>
      </c>
      <c r="L34" s="16">
        <f t="shared" si="16"/>
        <v>14541</v>
      </c>
      <c r="M34" s="23">
        <f t="shared" si="15"/>
        <v>24.39519511458578</v>
      </c>
    </row>
    <row r="35" spans="2:13" ht="12" customHeight="1">
      <c r="B35" s="19" t="s">
        <v>12</v>
      </c>
      <c r="C35" s="20">
        <v>17136</v>
      </c>
      <c r="D35" s="21"/>
      <c r="E35" s="22">
        <f t="shared" si="13"/>
        <v>0</v>
      </c>
      <c r="F35" s="21"/>
      <c r="G35" s="22">
        <f t="shared" si="14"/>
        <v>0</v>
      </c>
      <c r="H35" s="21">
        <v>4083</v>
      </c>
      <c r="I35" s="81">
        <f t="shared" si="10"/>
        <v>23.827030812324928</v>
      </c>
      <c r="J35" s="16"/>
      <c r="K35" s="17">
        <f t="shared" si="11"/>
        <v>0</v>
      </c>
      <c r="L35" s="16">
        <f t="shared" si="16"/>
        <v>13053</v>
      </c>
      <c r="M35" s="23">
        <f t="shared" si="15"/>
        <v>76.17296918767506</v>
      </c>
    </row>
    <row r="36" spans="2:13" ht="12" customHeight="1">
      <c r="B36" s="19" t="s">
        <v>13</v>
      </c>
      <c r="C36" s="20">
        <v>120315</v>
      </c>
      <c r="D36" s="21">
        <v>152</v>
      </c>
      <c r="E36" s="22">
        <f t="shared" si="13"/>
        <v>0.12633503719403233</v>
      </c>
      <c r="F36" s="21">
        <f>6600+6600+58540+208</f>
        <v>71948</v>
      </c>
      <c r="G36" s="22">
        <f t="shared" si="14"/>
        <v>59.79969247392262</v>
      </c>
      <c r="H36" s="21"/>
      <c r="I36" s="81">
        <f t="shared" si="10"/>
        <v>0</v>
      </c>
      <c r="J36" s="16">
        <v>2056</v>
      </c>
      <c r="K36" s="17">
        <f t="shared" si="11"/>
        <v>1.7088476083613846</v>
      </c>
      <c r="L36" s="16">
        <f t="shared" si="16"/>
        <v>46159</v>
      </c>
      <c r="M36" s="23">
        <f t="shared" si="15"/>
        <v>38.36512488052196</v>
      </c>
    </row>
    <row r="37" spans="2:13" ht="12" customHeight="1">
      <c r="B37" s="24" t="s">
        <v>58</v>
      </c>
      <c r="C37" s="25">
        <v>9875</v>
      </c>
      <c r="D37" s="26"/>
      <c r="E37" s="27">
        <f t="shared" si="13"/>
        <v>0</v>
      </c>
      <c r="F37" s="26"/>
      <c r="G37" s="22">
        <f t="shared" si="14"/>
        <v>0</v>
      </c>
      <c r="H37" s="26"/>
      <c r="I37" s="82">
        <f t="shared" si="10"/>
        <v>0</v>
      </c>
      <c r="J37" s="40">
        <v>74</v>
      </c>
      <c r="K37" s="41">
        <f t="shared" si="11"/>
        <v>0.7493670886075949</v>
      </c>
      <c r="L37" s="16">
        <f t="shared" si="16"/>
        <v>9801</v>
      </c>
      <c r="M37" s="23">
        <f t="shared" si="15"/>
        <v>99.2506329113924</v>
      </c>
    </row>
    <row r="38" spans="2:13" ht="12" customHeight="1" thickBot="1">
      <c r="B38" s="50" t="s">
        <v>14</v>
      </c>
      <c r="C38" s="30">
        <v>24831</v>
      </c>
      <c r="D38" s="31"/>
      <c r="E38" s="51">
        <f t="shared" si="13"/>
        <v>0</v>
      </c>
      <c r="F38" s="31">
        <v>8150</v>
      </c>
      <c r="G38" s="51">
        <f t="shared" si="14"/>
        <v>32.82187588095526</v>
      </c>
      <c r="H38" s="31"/>
      <c r="I38" s="83">
        <f t="shared" si="10"/>
        <v>0</v>
      </c>
      <c r="J38" s="31">
        <v>285</v>
      </c>
      <c r="K38" s="51">
        <f t="shared" si="11"/>
        <v>1.147758849824816</v>
      </c>
      <c r="L38" s="31">
        <f t="shared" si="16"/>
        <v>16396</v>
      </c>
      <c r="M38" s="52">
        <f t="shared" si="15"/>
        <v>66.03036526921993</v>
      </c>
    </row>
    <row r="39" spans="2:13" s="37" customFormat="1" ht="12.75" customHeight="1" thickBot="1">
      <c r="B39" s="32" t="s">
        <v>45</v>
      </c>
      <c r="C39" s="29">
        <f>SUM(C31:C38)</f>
        <v>761503</v>
      </c>
      <c r="D39" s="34">
        <f>SUM(D31:D38)</f>
        <v>56300</v>
      </c>
      <c r="E39" s="35">
        <f t="shared" si="13"/>
        <v>7.393273565567044</v>
      </c>
      <c r="F39" s="34">
        <f>SUM(F31:F38)</f>
        <v>171849</v>
      </c>
      <c r="G39" s="35">
        <f t="shared" si="14"/>
        <v>22.567081153981007</v>
      </c>
      <c r="H39" s="34">
        <f>SUM(H31:H38)</f>
        <v>4083</v>
      </c>
      <c r="I39" s="84">
        <f aca="true" t="shared" si="17" ref="I39:I44">SUM(H39/C39)*100</f>
        <v>0.5361764825614607</v>
      </c>
      <c r="J39" s="34">
        <f>SUM(J31:J38)</f>
        <v>6431</v>
      </c>
      <c r="K39" s="35">
        <f aca="true" t="shared" si="18" ref="K39:K44">SUM(J39/C39)*100</f>
        <v>0.8445140728270276</v>
      </c>
      <c r="L39" s="34">
        <f>SUM(L31:L38)</f>
        <v>522840</v>
      </c>
      <c r="M39" s="36">
        <f t="shared" si="15"/>
        <v>68.65895472506345</v>
      </c>
    </row>
    <row r="40" spans="2:13" s="37" customFormat="1" ht="12" customHeight="1" thickBot="1">
      <c r="B40" s="54" t="s">
        <v>47</v>
      </c>
      <c r="C40" s="43">
        <v>174468</v>
      </c>
      <c r="D40" s="45">
        <v>5020</v>
      </c>
      <c r="E40" s="46">
        <f t="shared" si="13"/>
        <v>2.8773184767407205</v>
      </c>
      <c r="F40" s="45">
        <v>85413</v>
      </c>
      <c r="G40" s="46">
        <f t="shared" si="14"/>
        <v>48.956255588417356</v>
      </c>
      <c r="H40" s="45"/>
      <c r="I40" s="85">
        <f t="shared" si="17"/>
        <v>0</v>
      </c>
      <c r="J40" s="45">
        <v>2199</v>
      </c>
      <c r="K40" s="35">
        <f t="shared" si="18"/>
        <v>1.260403053855148</v>
      </c>
      <c r="L40" s="45">
        <f>SUM(C40-D40-F40-H40-J40)</f>
        <v>81836</v>
      </c>
      <c r="M40" s="47">
        <f t="shared" si="15"/>
        <v>46.90602288098677</v>
      </c>
    </row>
    <row r="41" spans="2:13" s="37" customFormat="1" ht="12" customHeight="1" thickBot="1">
      <c r="B41" s="32" t="s">
        <v>48</v>
      </c>
      <c r="C41" s="29">
        <v>104236</v>
      </c>
      <c r="D41" s="34">
        <v>3000</v>
      </c>
      <c r="E41" s="35">
        <f t="shared" si="13"/>
        <v>2.8780843470585977</v>
      </c>
      <c r="F41" s="34">
        <v>51030</v>
      </c>
      <c r="G41" s="35">
        <f t="shared" si="14"/>
        <v>48.956214743466745</v>
      </c>
      <c r="H41" s="34"/>
      <c r="I41" s="84">
        <f t="shared" si="17"/>
        <v>0</v>
      </c>
      <c r="J41" s="34">
        <v>1200</v>
      </c>
      <c r="K41" s="55">
        <f t="shared" si="18"/>
        <v>1.1512337388234393</v>
      </c>
      <c r="L41" s="57">
        <f>SUM(C41-D41-F41-H41-J41)</f>
        <v>49006</v>
      </c>
      <c r="M41" s="56">
        <f t="shared" si="15"/>
        <v>47.014467170651216</v>
      </c>
    </row>
    <row r="42" spans="2:13" s="37" customFormat="1" ht="12" customHeight="1" thickBot="1">
      <c r="B42" s="32" t="s">
        <v>49</v>
      </c>
      <c r="C42" s="29">
        <v>175926</v>
      </c>
      <c r="D42" s="34">
        <v>22500</v>
      </c>
      <c r="E42" s="35">
        <f t="shared" si="13"/>
        <v>12.789468299171242</v>
      </c>
      <c r="F42" s="34">
        <v>86126</v>
      </c>
      <c r="G42" s="35">
        <f t="shared" si="14"/>
        <v>48.95581096597433</v>
      </c>
      <c r="H42" s="34"/>
      <c r="I42" s="84">
        <f t="shared" si="17"/>
        <v>0</v>
      </c>
      <c r="J42" s="34">
        <v>2155</v>
      </c>
      <c r="K42" s="55">
        <f t="shared" si="18"/>
        <v>1.2249468526539569</v>
      </c>
      <c r="L42" s="57">
        <f>SUM(C42-D42-F42-H42-J42)</f>
        <v>65145</v>
      </c>
      <c r="M42" s="56">
        <f t="shared" si="15"/>
        <v>37.02977388220047</v>
      </c>
    </row>
    <row r="43" spans="2:13" s="37" customFormat="1" ht="12" customHeight="1" thickBot="1">
      <c r="B43" s="54" t="s">
        <v>50</v>
      </c>
      <c r="C43" s="43">
        <v>131569</v>
      </c>
      <c r="D43" s="45">
        <v>2350</v>
      </c>
      <c r="E43" s="46">
        <f t="shared" si="13"/>
        <v>1.7861350318084046</v>
      </c>
      <c r="F43" s="45">
        <v>64411</v>
      </c>
      <c r="G43" s="46">
        <f t="shared" si="14"/>
        <v>48.95606107821751</v>
      </c>
      <c r="H43" s="45"/>
      <c r="I43" s="85">
        <f t="shared" si="17"/>
        <v>0</v>
      </c>
      <c r="J43" s="45">
        <v>1695</v>
      </c>
      <c r="K43" s="35">
        <f t="shared" si="18"/>
        <v>1.2882973952830834</v>
      </c>
      <c r="L43" s="45">
        <f>SUM(C43-D43-F43-H43-J43)</f>
        <v>63113</v>
      </c>
      <c r="M43" s="47">
        <f t="shared" si="15"/>
        <v>47.969506494691</v>
      </c>
    </row>
    <row r="44" spans="2:16" s="4" customFormat="1" ht="12" customHeight="1" thickBot="1">
      <c r="B44" s="28" t="s">
        <v>20</v>
      </c>
      <c r="C44" s="29">
        <f>SUM(C39,C30,C28,C21,C15,C40,C41,C42,C43,C24)</f>
        <v>10719076</v>
      </c>
      <c r="D44" s="29">
        <f>SUM(D39,D30,D28,D21,D15,D40,D41,D42,D43,D24)</f>
        <v>5802632</v>
      </c>
      <c r="E44" s="33">
        <f t="shared" si="13"/>
        <v>54.13369585214248</v>
      </c>
      <c r="F44" s="29">
        <f>SUM(F39,F30,F28,F21,F15,F40,F41,F42,F43,F24)</f>
        <v>843506</v>
      </c>
      <c r="G44" s="33">
        <f t="shared" si="14"/>
        <v>7.869204397841754</v>
      </c>
      <c r="H44" s="29">
        <f>SUM(H39,H30,H28,H21,H15,H40,H41,H42,H43)</f>
        <v>119968</v>
      </c>
      <c r="I44" s="73">
        <f t="shared" si="17"/>
        <v>1.1192009460516932</v>
      </c>
      <c r="J44" s="29">
        <f>SUM(J39,J30,J28,J21,J15,J40,J41,J42,J43,J24)</f>
        <v>94476</v>
      </c>
      <c r="K44" s="35">
        <f t="shared" si="18"/>
        <v>0.8813819400105009</v>
      </c>
      <c r="L44" s="29">
        <f>SUM(L39,L30,L28,L21,L15,L40,L41,L42,L43,L24)</f>
        <v>3858494</v>
      </c>
      <c r="M44" s="53">
        <f t="shared" si="15"/>
        <v>35.99651686395357</v>
      </c>
      <c r="O44" s="116"/>
      <c r="P44" s="116"/>
    </row>
    <row r="45" spans="2:13" ht="12.75">
      <c r="B45" s="8"/>
      <c r="C45" s="9"/>
      <c r="D45" s="9"/>
      <c r="E45" s="13"/>
      <c r="F45" s="9"/>
      <c r="G45" s="10"/>
      <c r="H45" s="77"/>
      <c r="I45" s="86"/>
      <c r="J45" s="11"/>
      <c r="K45" s="89"/>
      <c r="L45" s="12"/>
      <c r="M45" s="8"/>
    </row>
    <row r="46" spans="8:11" s="3" customFormat="1" ht="12.75">
      <c r="H46" s="75"/>
      <c r="I46" s="75"/>
      <c r="J46" s="75"/>
      <c r="K46" s="75"/>
    </row>
  </sheetData>
  <sheetProtection/>
  <mergeCells count="2">
    <mergeCell ref="B2:M2"/>
    <mergeCell ref="L1:M1"/>
  </mergeCells>
  <printOptions/>
  <pageMargins left="0.2" right="0.17" top="0.2" bottom="0.25" header="0.17" footer="0.19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6">
      <selection activeCell="A26" sqref="A26:IV49"/>
    </sheetView>
  </sheetViews>
  <sheetFormatPr defaultColWidth="9.00390625" defaultRowHeight="12.75"/>
  <cols>
    <col min="1" max="1" width="26.00390625" style="1" customWidth="1"/>
    <col min="2" max="2" width="10.125" style="1" customWidth="1"/>
    <col min="3" max="3" width="9.75390625" style="1" customWidth="1"/>
    <col min="4" max="4" width="9.625" style="95" customWidth="1"/>
    <col min="5" max="5" width="11.375" style="1" customWidth="1"/>
    <col min="6" max="6" width="10.375" style="1" customWidth="1"/>
    <col min="7" max="7" width="11.875" style="1" customWidth="1"/>
    <col min="8" max="8" width="9.375" style="1" customWidth="1"/>
    <col min="9" max="9" width="11.25390625" style="1" customWidth="1"/>
    <col min="10" max="10" width="9.75390625" style="1" customWidth="1"/>
    <col min="11" max="11" width="11.75390625" style="1" customWidth="1"/>
    <col min="12" max="12" width="13.375" style="1" customWidth="1"/>
    <col min="13" max="16384" width="9.125" style="1" customWidth="1"/>
  </cols>
  <sheetData>
    <row r="1" spans="1:12" ht="12.75">
      <c r="A1" s="48"/>
      <c r="B1" s="48"/>
      <c r="C1" s="48"/>
      <c r="D1" s="90"/>
      <c r="E1" s="48"/>
      <c r="F1" s="48"/>
      <c r="G1" s="48"/>
      <c r="H1" s="48"/>
      <c r="I1" s="48"/>
      <c r="J1" s="48"/>
      <c r="K1" s="134" t="s">
        <v>34</v>
      </c>
      <c r="L1" s="134"/>
    </row>
    <row r="2" spans="1:12" ht="12.75">
      <c r="A2" s="135" t="s">
        <v>86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 ht="12.7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ht="13.5" thickBot="1">
      <c r="A4" s="74"/>
      <c r="B4" s="74"/>
      <c r="C4" s="74"/>
      <c r="D4" s="91"/>
      <c r="E4" s="58"/>
      <c r="F4" s="59"/>
      <c r="G4" s="58"/>
      <c r="H4" s="59"/>
      <c r="I4" s="59"/>
      <c r="J4" s="59"/>
      <c r="K4" s="60"/>
      <c r="L4" s="69" t="s">
        <v>0</v>
      </c>
    </row>
    <row r="5" spans="1:12" ht="92.25" customHeight="1" thickBot="1">
      <c r="A5" s="49" t="s">
        <v>3</v>
      </c>
      <c r="B5" s="61" t="s">
        <v>76</v>
      </c>
      <c r="C5" s="61" t="s">
        <v>90</v>
      </c>
      <c r="D5" s="62" t="s">
        <v>77</v>
      </c>
      <c r="E5" s="61" t="s">
        <v>66</v>
      </c>
      <c r="F5" s="62" t="s">
        <v>78</v>
      </c>
      <c r="G5" s="61" t="s">
        <v>91</v>
      </c>
      <c r="H5" s="62" t="s">
        <v>80</v>
      </c>
      <c r="I5" s="62" t="s">
        <v>83</v>
      </c>
      <c r="J5" s="62" t="s">
        <v>51</v>
      </c>
      <c r="K5" s="63" t="s">
        <v>81</v>
      </c>
      <c r="L5" s="71" t="s">
        <v>82</v>
      </c>
    </row>
    <row r="6" spans="1:12" ht="12.75">
      <c r="A6" s="131" t="s">
        <v>87</v>
      </c>
      <c r="B6" s="15"/>
      <c r="C6" s="15"/>
      <c r="D6" s="117"/>
      <c r="E6" s="16"/>
      <c r="F6" s="17"/>
      <c r="G6" s="16"/>
      <c r="H6" s="17"/>
      <c r="I6" s="16"/>
      <c r="J6" s="17"/>
      <c r="K6" s="21"/>
      <c r="L6" s="18"/>
    </row>
    <row r="7" spans="1:12" ht="12.75">
      <c r="A7" s="14" t="s">
        <v>88</v>
      </c>
      <c r="B7" s="20">
        <f>19549+17316</f>
        <v>36865</v>
      </c>
      <c r="C7" s="20"/>
      <c r="D7" s="118">
        <f>SUM(C7/B7)*100</f>
        <v>0</v>
      </c>
      <c r="E7" s="21"/>
      <c r="F7" s="22">
        <f aca="true" t="shared" si="0" ref="F7:F18">SUM(E7/B7)*100</f>
        <v>0</v>
      </c>
      <c r="G7" s="21"/>
      <c r="H7" s="22">
        <f>SUM(G7/B7*100)</f>
        <v>0</v>
      </c>
      <c r="I7" s="21">
        <v>36865</v>
      </c>
      <c r="J7" s="17">
        <f aca="true" t="shared" si="1" ref="J7:J24">SUM(I7/B7*100)</f>
        <v>100</v>
      </c>
      <c r="K7" s="21">
        <f aca="true" t="shared" si="2" ref="K7:K18">SUM(B7-C7-E7-G7-I7)</f>
        <v>0</v>
      </c>
      <c r="L7" s="23">
        <f>SUM(K7/B7)*100</f>
        <v>0</v>
      </c>
    </row>
    <row r="8" spans="1:12" ht="12.75">
      <c r="A8" s="14" t="s">
        <v>89</v>
      </c>
      <c r="B8" s="20">
        <f>5000+15113</f>
        <v>20113</v>
      </c>
      <c r="C8" s="20">
        <v>20113</v>
      </c>
      <c r="D8" s="118">
        <f>SUM(C8/B8)*100</f>
        <v>100</v>
      </c>
      <c r="E8" s="21"/>
      <c r="F8" s="22">
        <f t="shared" si="0"/>
        <v>0</v>
      </c>
      <c r="G8" s="21"/>
      <c r="H8" s="22">
        <f>SUM(G8/B8*100)</f>
        <v>0</v>
      </c>
      <c r="I8" s="21"/>
      <c r="J8" s="17">
        <f t="shared" si="1"/>
        <v>0</v>
      </c>
      <c r="K8" s="21">
        <f t="shared" si="2"/>
        <v>0</v>
      </c>
      <c r="L8" s="23">
        <f>SUM(K8/B8)*100</f>
        <v>0</v>
      </c>
    </row>
    <row r="9" spans="1:12" ht="12.75">
      <c r="A9" s="132" t="s">
        <v>92</v>
      </c>
      <c r="B9" s="20"/>
      <c r="C9" s="20"/>
      <c r="D9" s="118"/>
      <c r="E9" s="21"/>
      <c r="F9" s="22"/>
      <c r="G9" s="21"/>
      <c r="H9" s="22"/>
      <c r="I9" s="21"/>
      <c r="J9" s="17"/>
      <c r="K9" s="21"/>
      <c r="L9" s="23"/>
    </row>
    <row r="10" spans="1:12" ht="12.75">
      <c r="A10" s="14" t="s">
        <v>88</v>
      </c>
      <c r="B10" s="20">
        <f>826292-'kötelező2017.felh.'!C9-12932-3480</f>
        <v>792496</v>
      </c>
      <c r="C10" s="20"/>
      <c r="D10" s="118">
        <f aca="true" t="shared" si="3" ref="D10:D24">SUM(C10/B10)*100</f>
        <v>0</v>
      </c>
      <c r="E10" s="21"/>
      <c r="F10" s="22">
        <f t="shared" si="0"/>
        <v>0</v>
      </c>
      <c r="G10" s="21"/>
      <c r="H10" s="22">
        <f aca="true" t="shared" si="4" ref="H10:H19">SUM(G10/B10*100)</f>
        <v>0</v>
      </c>
      <c r="I10" s="21">
        <v>792496</v>
      </c>
      <c r="J10" s="17">
        <f t="shared" si="1"/>
        <v>100</v>
      </c>
      <c r="K10" s="21">
        <f t="shared" si="2"/>
        <v>0</v>
      </c>
      <c r="L10" s="23">
        <f aca="true" t="shared" si="5" ref="L10:L22">SUM(K10/B10)*100</f>
        <v>0</v>
      </c>
    </row>
    <row r="11" spans="1:12" ht="12.75">
      <c r="A11" s="14" t="s">
        <v>89</v>
      </c>
      <c r="B11" s="20">
        <f>535060-100000-10000-51955-20000</f>
        <v>353105</v>
      </c>
      <c r="C11" s="20"/>
      <c r="D11" s="118">
        <f>SUM(C11/B11)*100</f>
        <v>0</v>
      </c>
      <c r="E11" s="21"/>
      <c r="F11" s="22">
        <f>SUM(E11/B11)*100</f>
        <v>0</v>
      </c>
      <c r="G11" s="21"/>
      <c r="H11" s="22">
        <f>SUM(G11/B11*100)</f>
        <v>0</v>
      </c>
      <c r="I11" s="21">
        <v>353105</v>
      </c>
      <c r="J11" s="17">
        <f>SUM(I11/B11*100)</f>
        <v>100</v>
      </c>
      <c r="K11" s="21">
        <f>SUM(B11-C11-E11-G11-I11)</f>
        <v>0</v>
      </c>
      <c r="L11" s="23">
        <f>SUM(K11/B11)*100</f>
        <v>0</v>
      </c>
    </row>
    <row r="12" spans="1:12" ht="12.75">
      <c r="A12" s="132" t="s">
        <v>93</v>
      </c>
      <c r="B12" s="20"/>
      <c r="C12" s="20"/>
      <c r="D12" s="118"/>
      <c r="E12" s="21"/>
      <c r="F12" s="22"/>
      <c r="G12" s="21"/>
      <c r="H12" s="22"/>
      <c r="I12" s="21"/>
      <c r="J12" s="17"/>
      <c r="K12" s="21"/>
      <c r="L12" s="23"/>
    </row>
    <row r="13" spans="1:12" ht="12.75">
      <c r="A13" s="14" t="s">
        <v>88</v>
      </c>
      <c r="B13" s="20">
        <v>541155</v>
      </c>
      <c r="C13" s="20"/>
      <c r="D13" s="118">
        <f>SUM(C13/B13)*100</f>
        <v>0</v>
      </c>
      <c r="E13" s="21"/>
      <c r="F13" s="22">
        <f>SUM(E13/B13)*100</f>
        <v>0</v>
      </c>
      <c r="G13" s="21"/>
      <c r="H13" s="22">
        <f>SUM(G13/B13*100)</f>
        <v>0</v>
      </c>
      <c r="I13" s="21">
        <v>541155</v>
      </c>
      <c r="J13" s="17">
        <f>SUM(I13/B13*100)</f>
        <v>100</v>
      </c>
      <c r="K13" s="21">
        <f>SUM(B13-C13-E13-G13-I13)</f>
        <v>0</v>
      </c>
      <c r="L13" s="23">
        <f>SUM(K13/B13)*100</f>
        <v>0</v>
      </c>
    </row>
    <row r="14" spans="1:12" ht="12.75">
      <c r="A14" s="14" t="s">
        <v>89</v>
      </c>
      <c r="B14" s="20">
        <v>347750</v>
      </c>
      <c r="C14" s="20">
        <v>217208</v>
      </c>
      <c r="D14" s="118">
        <f>SUM(C14/B14)*100</f>
        <v>62.460963335729694</v>
      </c>
      <c r="E14" s="21"/>
      <c r="F14" s="22">
        <f>SUM(E14/B14)*100</f>
        <v>0</v>
      </c>
      <c r="G14" s="21"/>
      <c r="H14" s="22">
        <f>SUM(G14/B14*100)</f>
        <v>0</v>
      </c>
      <c r="I14" s="21">
        <v>130542</v>
      </c>
      <c r="J14" s="17">
        <f>SUM(I14/B14*100)</f>
        <v>37.539036664270306</v>
      </c>
      <c r="K14" s="21">
        <f>SUM(B14-C14-E14-G14-I14)</f>
        <v>0</v>
      </c>
      <c r="L14" s="23">
        <f>SUM(K14/B14)*100</f>
        <v>0</v>
      </c>
    </row>
    <row r="15" spans="1:12" ht="12.75">
      <c r="A15" s="132" t="s">
        <v>94</v>
      </c>
      <c r="B15" s="20"/>
      <c r="C15" s="20"/>
      <c r="D15" s="118"/>
      <c r="E15" s="21"/>
      <c r="F15" s="22"/>
      <c r="G15" s="21"/>
      <c r="H15" s="22"/>
      <c r="I15" s="21"/>
      <c r="J15" s="17"/>
      <c r="K15" s="21"/>
      <c r="L15" s="23"/>
    </row>
    <row r="16" spans="1:12" ht="12.75">
      <c r="A16" s="14" t="s">
        <v>88</v>
      </c>
      <c r="B16" s="20">
        <v>5000</v>
      </c>
      <c r="C16" s="20"/>
      <c r="D16" s="118">
        <f t="shared" si="3"/>
        <v>0</v>
      </c>
      <c r="E16" s="21"/>
      <c r="F16" s="22">
        <f t="shared" si="0"/>
        <v>0</v>
      </c>
      <c r="G16" s="21"/>
      <c r="H16" s="22">
        <f t="shared" si="4"/>
        <v>0</v>
      </c>
      <c r="I16" s="21">
        <v>5000</v>
      </c>
      <c r="J16" s="17">
        <f t="shared" si="1"/>
        <v>100</v>
      </c>
      <c r="K16" s="21">
        <f t="shared" si="2"/>
        <v>0</v>
      </c>
      <c r="L16" s="23">
        <f t="shared" si="5"/>
        <v>0</v>
      </c>
    </row>
    <row r="17" spans="1:12" ht="12.75">
      <c r="A17" s="14" t="s">
        <v>89</v>
      </c>
      <c r="B17" s="20">
        <v>10000</v>
      </c>
      <c r="C17" s="20">
        <v>10000</v>
      </c>
      <c r="D17" s="118">
        <f t="shared" si="3"/>
        <v>100</v>
      </c>
      <c r="E17" s="21"/>
      <c r="F17" s="22">
        <f t="shared" si="0"/>
        <v>0</v>
      </c>
      <c r="G17" s="21"/>
      <c r="H17" s="22">
        <f t="shared" si="4"/>
        <v>0</v>
      </c>
      <c r="I17" s="21"/>
      <c r="J17" s="17">
        <f t="shared" si="1"/>
        <v>0</v>
      </c>
      <c r="K17" s="21">
        <f t="shared" si="2"/>
        <v>0</v>
      </c>
      <c r="L17" s="23">
        <f t="shared" si="5"/>
        <v>0</v>
      </c>
    </row>
    <row r="18" spans="1:12" ht="13.5" thickBot="1">
      <c r="A18" s="133" t="s">
        <v>95</v>
      </c>
      <c r="B18" s="39">
        <v>4423583</v>
      </c>
      <c r="C18" s="39"/>
      <c r="D18" s="123">
        <f t="shared" si="3"/>
        <v>0</v>
      </c>
      <c r="E18" s="40"/>
      <c r="F18" s="41">
        <f t="shared" si="0"/>
        <v>0</v>
      </c>
      <c r="G18" s="40"/>
      <c r="H18" s="41">
        <f t="shared" si="4"/>
        <v>0</v>
      </c>
      <c r="I18" s="40">
        <v>4423583</v>
      </c>
      <c r="J18" s="41">
        <f t="shared" si="1"/>
        <v>100</v>
      </c>
      <c r="K18" s="40">
        <f t="shared" si="2"/>
        <v>0</v>
      </c>
      <c r="L18" s="42">
        <f t="shared" si="5"/>
        <v>0</v>
      </c>
    </row>
    <row r="19" spans="1:12" s="37" customFormat="1" ht="13.5" thickBot="1">
      <c r="A19" s="32" t="s">
        <v>42</v>
      </c>
      <c r="B19" s="29">
        <f>SUM(B6:B18)</f>
        <v>6530067</v>
      </c>
      <c r="C19" s="29">
        <f>SUM(C6:C17)</f>
        <v>247321</v>
      </c>
      <c r="D19" s="119">
        <f t="shared" si="3"/>
        <v>3.787419026481658</v>
      </c>
      <c r="E19" s="29">
        <f>SUM(E6:E17)</f>
        <v>0</v>
      </c>
      <c r="F19" s="73">
        <f>SUM(E19/B19*100)</f>
        <v>0</v>
      </c>
      <c r="G19" s="29">
        <f>SUM(G6:G17)</f>
        <v>0</v>
      </c>
      <c r="H19" s="33">
        <f t="shared" si="4"/>
        <v>0</v>
      </c>
      <c r="I19" s="29">
        <f>SUM(I6:I18)</f>
        <v>6282746</v>
      </c>
      <c r="J19" s="33">
        <f t="shared" si="1"/>
        <v>96.21258097351834</v>
      </c>
      <c r="K19" s="29">
        <f>SUM(K6:K18)</f>
        <v>0</v>
      </c>
      <c r="L19" s="53">
        <f t="shared" si="5"/>
        <v>0</v>
      </c>
    </row>
    <row r="20" spans="1:12" s="124" customFormat="1" ht="12.75">
      <c r="A20" s="132" t="s">
        <v>92</v>
      </c>
      <c r="B20" s="39"/>
      <c r="C20" s="39"/>
      <c r="D20" s="123"/>
      <c r="E20" s="39"/>
      <c r="F20" s="41"/>
      <c r="G20" s="39"/>
      <c r="H20" s="41"/>
      <c r="I20" s="39"/>
      <c r="J20" s="41"/>
      <c r="K20" s="40"/>
      <c r="L20" s="42"/>
    </row>
    <row r="21" spans="1:12" s="124" customFormat="1" ht="12.75">
      <c r="A21" s="14" t="s">
        <v>88</v>
      </c>
      <c r="B21" s="20">
        <v>3480</v>
      </c>
      <c r="C21" s="20"/>
      <c r="D21" s="118"/>
      <c r="E21" s="20"/>
      <c r="F21" s="22"/>
      <c r="G21" s="20"/>
      <c r="H21" s="22"/>
      <c r="I21" s="20">
        <v>3480</v>
      </c>
      <c r="J21" s="22"/>
      <c r="K21" s="21"/>
      <c r="L21" s="23"/>
    </row>
    <row r="22" spans="1:13" ht="13.5" thickBot="1">
      <c r="A22" s="14" t="s">
        <v>89</v>
      </c>
      <c r="B22" s="30">
        <v>10000</v>
      </c>
      <c r="C22" s="30">
        <v>10000</v>
      </c>
      <c r="D22" s="125">
        <f t="shared" si="3"/>
        <v>100</v>
      </c>
      <c r="E22" s="31"/>
      <c r="F22" s="51">
        <f>SUM(E22/B22)*100</f>
        <v>0</v>
      </c>
      <c r="G22" s="31"/>
      <c r="H22" s="51">
        <f>SUM(G22/B22*100)</f>
        <v>0</v>
      </c>
      <c r="I22" s="31"/>
      <c r="J22" s="51">
        <f t="shared" si="1"/>
        <v>0</v>
      </c>
      <c r="K22" s="31">
        <f>SUM(B22-C22-E22-G22-I22)</f>
        <v>0</v>
      </c>
      <c r="L22" s="52">
        <f t="shared" si="5"/>
        <v>0</v>
      </c>
      <c r="M22" s="3"/>
    </row>
    <row r="23" spans="1:13" s="37" customFormat="1" ht="13.5" thickBot="1">
      <c r="A23" s="32" t="s">
        <v>43</v>
      </c>
      <c r="B23" s="29">
        <f>SUM(B20:B22)</f>
        <v>13480</v>
      </c>
      <c r="C23" s="29">
        <f>SUM(C20:C22)</f>
        <v>10000</v>
      </c>
      <c r="D23" s="92">
        <f t="shared" si="3"/>
        <v>74.1839762611276</v>
      </c>
      <c r="E23" s="29">
        <f>SUM(E22)</f>
        <v>0</v>
      </c>
      <c r="F23" s="33">
        <f>SUM(E23/B23)*100</f>
        <v>0</v>
      </c>
      <c r="G23" s="29">
        <f>SUM(G20:G22)</f>
        <v>0</v>
      </c>
      <c r="H23" s="33">
        <f>SUM(H22)</f>
        <v>0</v>
      </c>
      <c r="I23" s="29">
        <f>SUM(I20:I22)</f>
        <v>3480</v>
      </c>
      <c r="J23" s="33">
        <f t="shared" si="1"/>
        <v>25.816023738872403</v>
      </c>
      <c r="K23" s="29">
        <f>SUM(K20:K22)</f>
        <v>0</v>
      </c>
      <c r="L23" s="53">
        <f>SUM(L22)</f>
        <v>0</v>
      </c>
      <c r="M23" s="44"/>
    </row>
    <row r="24" spans="1:15" s="37" customFormat="1" ht="13.5" thickBot="1">
      <c r="A24" s="28" t="s">
        <v>20</v>
      </c>
      <c r="B24" s="29">
        <f>SUM(B23,B19)</f>
        <v>6543547</v>
      </c>
      <c r="C24" s="29">
        <f aca="true" t="shared" si="6" ref="C24:K24">SUM(C23,C19)</f>
        <v>257321</v>
      </c>
      <c r="D24" s="92">
        <f t="shared" si="3"/>
        <v>3.9324390884637945</v>
      </c>
      <c r="E24" s="29">
        <f t="shared" si="6"/>
        <v>0</v>
      </c>
      <c r="F24" s="33">
        <f>SUM(E24/B24)*100</f>
        <v>0</v>
      </c>
      <c r="G24" s="29">
        <f t="shared" si="6"/>
        <v>0</v>
      </c>
      <c r="H24" s="33">
        <f>SUM(H23)</f>
        <v>0</v>
      </c>
      <c r="I24" s="29">
        <f t="shared" si="6"/>
        <v>6286226</v>
      </c>
      <c r="J24" s="33">
        <f t="shared" si="1"/>
        <v>96.0675609115362</v>
      </c>
      <c r="K24" s="29">
        <f t="shared" si="6"/>
        <v>0</v>
      </c>
      <c r="L24" s="53">
        <f>SUM(L23)</f>
        <v>0</v>
      </c>
      <c r="N24" s="44"/>
      <c r="O24" s="44"/>
    </row>
    <row r="25" spans="3:11" ht="12.75">
      <c r="C25" s="6"/>
      <c r="D25" s="93"/>
      <c r="E25" s="3"/>
      <c r="F25" s="2"/>
      <c r="G25" s="3"/>
      <c r="H25" s="2"/>
      <c r="I25" s="2"/>
      <c r="J25" s="2"/>
      <c r="K25" s="6"/>
    </row>
  </sheetData>
  <sheetProtection/>
  <mergeCells count="2">
    <mergeCell ref="K1:L1"/>
    <mergeCell ref="A2:L3"/>
  </mergeCells>
  <printOptions/>
  <pageMargins left="0.15748031496062992" right="0.15748031496062992" top="0.5905511811023623" bottom="0.3937007874015748" header="0.2755905511811024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25"/>
  <sheetViews>
    <sheetView tabSelected="1" zoomScalePageLayoutView="0" workbookViewId="0" topLeftCell="B1">
      <selection activeCell="L30" sqref="L30"/>
    </sheetView>
  </sheetViews>
  <sheetFormatPr defaultColWidth="9.00390625" defaultRowHeight="12.75"/>
  <cols>
    <col min="1" max="1" width="1.12109375" style="1" hidden="1" customWidth="1"/>
    <col min="2" max="2" width="33.25390625" style="1" customWidth="1"/>
    <col min="3" max="3" width="10.25390625" style="3" customWidth="1"/>
    <col min="4" max="4" width="9.375" style="3" bestFit="1" customWidth="1"/>
    <col min="5" max="5" width="9.75390625" style="2" customWidth="1"/>
    <col min="6" max="6" width="10.875" style="3" customWidth="1"/>
    <col min="7" max="7" width="9.75390625" style="7" customWidth="1"/>
    <col min="8" max="8" width="11.625" style="75" customWidth="1"/>
    <col min="9" max="9" width="8.375" style="79" customWidth="1"/>
    <col min="10" max="10" width="9.75390625" style="5" customWidth="1"/>
    <col min="11" max="11" width="10.00390625" style="87" customWidth="1"/>
    <col min="12" max="12" width="11.125" style="6" customWidth="1"/>
    <col min="13" max="13" width="13.00390625" style="1" customWidth="1"/>
    <col min="14" max="14" width="9.125" style="1" customWidth="1"/>
    <col min="15" max="15" width="10.125" style="1" bestFit="1" customWidth="1"/>
    <col min="16" max="16384" width="9.125" style="1" customWidth="1"/>
  </cols>
  <sheetData>
    <row r="1" spans="12:13" ht="12" customHeight="1">
      <c r="L1" s="137" t="s">
        <v>33</v>
      </c>
      <c r="M1" s="137"/>
    </row>
    <row r="2" spans="2:13" ht="18" customHeight="1">
      <c r="B2" s="136" t="s">
        <v>96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2:13" ht="12" customHeight="1" thickBot="1">
      <c r="B3" s="48"/>
      <c r="C3" s="64"/>
      <c r="D3" s="64"/>
      <c r="E3" s="65"/>
      <c r="F3" s="64"/>
      <c r="G3" s="66"/>
      <c r="H3" s="76"/>
      <c r="I3" s="80"/>
      <c r="J3" s="67"/>
      <c r="K3" s="88"/>
      <c r="L3" s="68"/>
      <c r="M3" s="69" t="s">
        <v>0</v>
      </c>
    </row>
    <row r="4" spans="2:13" s="72" customFormat="1" ht="51.75" customHeight="1" thickBot="1">
      <c r="B4" s="49" t="s">
        <v>3</v>
      </c>
      <c r="C4" s="61" t="s">
        <v>71</v>
      </c>
      <c r="D4" s="61" t="s">
        <v>90</v>
      </c>
      <c r="E4" s="62" t="s">
        <v>77</v>
      </c>
      <c r="F4" s="61" t="s">
        <v>66</v>
      </c>
      <c r="G4" s="62" t="s">
        <v>78</v>
      </c>
      <c r="H4" s="61" t="s">
        <v>91</v>
      </c>
      <c r="I4" s="62" t="s">
        <v>80</v>
      </c>
      <c r="J4" s="62" t="s">
        <v>83</v>
      </c>
      <c r="K4" s="62" t="s">
        <v>51</v>
      </c>
      <c r="L4" s="63" t="s">
        <v>81</v>
      </c>
      <c r="M4" s="71" t="s">
        <v>82</v>
      </c>
    </row>
    <row r="5" spans="2:13" ht="12" customHeight="1">
      <c r="B5" s="131" t="s">
        <v>87</v>
      </c>
      <c r="C5" s="20"/>
      <c r="D5" s="21"/>
      <c r="E5" s="22"/>
      <c r="F5" s="21"/>
      <c r="G5" s="17"/>
      <c r="H5" s="21"/>
      <c r="I5" s="81"/>
      <c r="J5" s="16"/>
      <c r="K5" s="17"/>
      <c r="L5" s="16">
        <f aca="true" t="shared" si="0" ref="L5:L10">SUM(C5-D5-F5-H5-J5)</f>
        <v>0</v>
      </c>
      <c r="M5" s="23"/>
    </row>
    <row r="6" spans="2:13" ht="12" customHeight="1">
      <c r="B6" s="14" t="s">
        <v>88</v>
      </c>
      <c r="C6" s="20">
        <f>103955-'önként2017.felh.'!B7</f>
        <v>67090</v>
      </c>
      <c r="D6" s="21"/>
      <c r="E6" s="22">
        <f>SUM(D6/C6)*100</f>
        <v>0</v>
      </c>
      <c r="F6" s="21"/>
      <c r="G6" s="17">
        <f>SUM(F6/C6)*100</f>
        <v>0</v>
      </c>
      <c r="H6" s="21"/>
      <c r="I6" s="81">
        <f aca="true" t="shared" si="1" ref="I6:I17">SUM(H6/C6)*100</f>
        <v>0</v>
      </c>
      <c r="J6" s="16">
        <v>67090</v>
      </c>
      <c r="K6" s="17">
        <f aca="true" t="shared" si="2" ref="K6:K17">SUM(J6/C6)*100</f>
        <v>100</v>
      </c>
      <c r="L6" s="16">
        <f t="shared" si="0"/>
        <v>0</v>
      </c>
      <c r="M6" s="23">
        <f>SUM(L6/C6)*100</f>
        <v>0</v>
      </c>
    </row>
    <row r="7" spans="2:13" ht="12" customHeight="1">
      <c r="B7" s="14" t="s">
        <v>89</v>
      </c>
      <c r="C7" s="20">
        <f>40000+65081</f>
        <v>105081</v>
      </c>
      <c r="D7" s="21">
        <v>105081</v>
      </c>
      <c r="E7" s="22">
        <f>SUM(D7/C7)*100</f>
        <v>100</v>
      </c>
      <c r="F7" s="21"/>
      <c r="G7" s="17">
        <f>SUM(F7/C7)*100</f>
        <v>0</v>
      </c>
      <c r="H7" s="21"/>
      <c r="I7" s="81">
        <f t="shared" si="1"/>
        <v>0</v>
      </c>
      <c r="J7" s="16"/>
      <c r="K7" s="17">
        <f t="shared" si="2"/>
        <v>0</v>
      </c>
      <c r="L7" s="16">
        <f t="shared" si="0"/>
        <v>0</v>
      </c>
      <c r="M7" s="23">
        <f>SUM(L7/C7)*100</f>
        <v>0</v>
      </c>
    </row>
    <row r="8" spans="2:13" ht="12" customHeight="1">
      <c r="B8" s="132" t="s">
        <v>92</v>
      </c>
      <c r="C8" s="20"/>
      <c r="D8" s="21"/>
      <c r="E8" s="22"/>
      <c r="F8" s="21"/>
      <c r="G8" s="22"/>
      <c r="H8" s="21"/>
      <c r="I8" s="81"/>
      <c r="J8" s="16"/>
      <c r="K8" s="17"/>
      <c r="L8" s="16"/>
      <c r="M8" s="23"/>
    </row>
    <row r="9" spans="2:13" ht="12" customHeight="1">
      <c r="B9" s="14" t="s">
        <v>88</v>
      </c>
      <c r="C9" s="20">
        <f>9405+3912+784+3283</f>
        <v>17384</v>
      </c>
      <c r="D9" s="21"/>
      <c r="E9" s="22">
        <f aca="true" t="shared" si="3" ref="E9:E21">SUM(D9/C9)*100</f>
        <v>0</v>
      </c>
      <c r="F9" s="21"/>
      <c r="G9" s="22">
        <f aca="true" t="shared" si="4" ref="G9:G19">SUM(F9/C9)*100</f>
        <v>0</v>
      </c>
      <c r="H9" s="21"/>
      <c r="I9" s="81">
        <f t="shared" si="1"/>
        <v>0</v>
      </c>
      <c r="J9" s="16">
        <v>17384</v>
      </c>
      <c r="K9" s="17">
        <f t="shared" si="2"/>
        <v>100</v>
      </c>
      <c r="L9" s="16">
        <f t="shared" si="0"/>
        <v>0</v>
      </c>
      <c r="M9" s="23">
        <f aca="true" t="shared" si="5" ref="M9:M21">SUM(L9/C9)*100</f>
        <v>0</v>
      </c>
    </row>
    <row r="10" spans="2:13" ht="12" customHeight="1" thickBot="1">
      <c r="B10" s="14" t="s">
        <v>89</v>
      </c>
      <c r="C10" s="20">
        <v>100000</v>
      </c>
      <c r="D10" s="21">
        <v>100000</v>
      </c>
      <c r="E10" s="22">
        <f t="shared" si="3"/>
        <v>100</v>
      </c>
      <c r="F10" s="21"/>
      <c r="G10" s="22">
        <f t="shared" si="4"/>
        <v>0</v>
      </c>
      <c r="H10" s="21"/>
      <c r="I10" s="81">
        <f t="shared" si="1"/>
        <v>0</v>
      </c>
      <c r="J10" s="16"/>
      <c r="K10" s="17">
        <f t="shared" si="2"/>
        <v>0</v>
      </c>
      <c r="L10" s="16">
        <f t="shared" si="0"/>
        <v>0</v>
      </c>
      <c r="M10" s="23">
        <f t="shared" si="5"/>
        <v>0</v>
      </c>
    </row>
    <row r="11" spans="2:13" s="37" customFormat="1" ht="12" customHeight="1" thickBot="1">
      <c r="B11" s="32" t="s">
        <v>42</v>
      </c>
      <c r="C11" s="29">
        <f>SUM(C5:C10)</f>
        <v>289555</v>
      </c>
      <c r="D11" s="29">
        <f>SUM(D5:D10)</f>
        <v>205081</v>
      </c>
      <c r="E11" s="73">
        <f t="shared" si="3"/>
        <v>70.8262678938371</v>
      </c>
      <c r="F11" s="29">
        <f>SUM(F5:F10)</f>
        <v>0</v>
      </c>
      <c r="G11" s="73">
        <f t="shared" si="4"/>
        <v>0</v>
      </c>
      <c r="H11" s="29">
        <f>SUM(H5:H10)</f>
        <v>0</v>
      </c>
      <c r="I11" s="73">
        <f t="shared" si="1"/>
        <v>0</v>
      </c>
      <c r="J11" s="29">
        <f>SUM(J5:J10)</f>
        <v>84474</v>
      </c>
      <c r="K11" s="33">
        <f t="shared" si="2"/>
        <v>29.173732106162902</v>
      </c>
      <c r="L11" s="29">
        <f>SUM(L5:L10)</f>
        <v>0</v>
      </c>
      <c r="M11" s="97">
        <f t="shared" si="5"/>
        <v>0</v>
      </c>
    </row>
    <row r="12" spans="2:13" s="104" customFormat="1" ht="12" customHeight="1">
      <c r="B12" s="131" t="s">
        <v>87</v>
      </c>
      <c r="C12" s="20"/>
      <c r="D12" s="99"/>
      <c r="E12" s="22"/>
      <c r="F12" s="99"/>
      <c r="G12" s="100"/>
      <c r="H12" s="99"/>
      <c r="I12" s="101"/>
      <c r="J12" s="102"/>
      <c r="K12" s="103"/>
      <c r="L12" s="16"/>
      <c r="M12" s="23"/>
    </row>
    <row r="13" spans="2:13" s="104" customFormat="1" ht="12" customHeight="1">
      <c r="B13" s="14" t="s">
        <v>89</v>
      </c>
      <c r="C13" s="20">
        <v>49286</v>
      </c>
      <c r="D13" s="99">
        <v>49286</v>
      </c>
      <c r="E13" s="22">
        <f t="shared" si="3"/>
        <v>100</v>
      </c>
      <c r="F13" s="99"/>
      <c r="G13" s="100">
        <f t="shared" si="4"/>
        <v>0</v>
      </c>
      <c r="H13" s="99"/>
      <c r="I13" s="101">
        <f t="shared" si="1"/>
        <v>0</v>
      </c>
      <c r="J13" s="102"/>
      <c r="K13" s="103">
        <f t="shared" si="2"/>
        <v>0</v>
      </c>
      <c r="L13" s="16">
        <f>SUM(C13-D13-F13-H13-J13)</f>
        <v>0</v>
      </c>
      <c r="M13" s="23">
        <f t="shared" si="5"/>
        <v>0</v>
      </c>
    </row>
    <row r="14" spans="2:13" s="104" customFormat="1" ht="12" customHeight="1">
      <c r="B14" s="132" t="s">
        <v>92</v>
      </c>
      <c r="C14" s="20"/>
      <c r="D14" s="99"/>
      <c r="E14" s="22"/>
      <c r="F14" s="99"/>
      <c r="G14" s="100"/>
      <c r="H14" s="99"/>
      <c r="I14" s="101"/>
      <c r="J14" s="102"/>
      <c r="K14" s="103"/>
      <c r="L14" s="16"/>
      <c r="M14" s="23"/>
    </row>
    <row r="15" spans="2:13" s="104" customFormat="1" ht="12" customHeight="1">
      <c r="B15" s="14" t="s">
        <v>88</v>
      </c>
      <c r="C15" s="20">
        <v>12932</v>
      </c>
      <c r="D15" s="99"/>
      <c r="E15" s="22">
        <f t="shared" si="3"/>
        <v>0</v>
      </c>
      <c r="F15" s="99"/>
      <c r="G15" s="100">
        <f t="shared" si="4"/>
        <v>0</v>
      </c>
      <c r="H15" s="99"/>
      <c r="I15" s="101">
        <f t="shared" si="1"/>
        <v>0</v>
      </c>
      <c r="J15" s="102">
        <v>12932</v>
      </c>
      <c r="K15" s="103">
        <f t="shared" si="2"/>
        <v>100</v>
      </c>
      <c r="L15" s="16">
        <f>SUM(C15-D15-F15-H15-J15)</f>
        <v>0</v>
      </c>
      <c r="M15" s="23">
        <f t="shared" si="5"/>
        <v>0</v>
      </c>
    </row>
    <row r="16" spans="2:13" s="104" customFormat="1" ht="12" customHeight="1" thickBot="1">
      <c r="B16" s="14" t="s">
        <v>89</v>
      </c>
      <c r="C16" s="25">
        <v>51955</v>
      </c>
      <c r="D16" s="106">
        <v>51955</v>
      </c>
      <c r="E16" s="27">
        <f t="shared" si="3"/>
        <v>100</v>
      </c>
      <c r="F16" s="106"/>
      <c r="G16" s="107">
        <f t="shared" si="4"/>
        <v>0</v>
      </c>
      <c r="H16" s="106"/>
      <c r="I16" s="101">
        <f t="shared" si="1"/>
        <v>0</v>
      </c>
      <c r="J16" s="108"/>
      <c r="K16" s="103">
        <f t="shared" si="2"/>
        <v>0</v>
      </c>
      <c r="L16" s="16">
        <f>SUM(C16-D16-F16-H16-J16)</f>
        <v>0</v>
      </c>
      <c r="M16" s="96">
        <f t="shared" si="5"/>
        <v>0</v>
      </c>
    </row>
    <row r="17" spans="2:13" s="37" customFormat="1" ht="12" customHeight="1" thickBot="1">
      <c r="B17" s="32" t="s">
        <v>41</v>
      </c>
      <c r="C17" s="29">
        <f>SUM(C12:C16)</f>
        <v>114173</v>
      </c>
      <c r="D17" s="29">
        <f aca="true" t="shared" si="6" ref="D17:L17">SUM(D12:D16)</f>
        <v>101241</v>
      </c>
      <c r="E17" s="33">
        <f t="shared" si="3"/>
        <v>88.67332907079607</v>
      </c>
      <c r="F17" s="29">
        <f t="shared" si="6"/>
        <v>0</v>
      </c>
      <c r="G17" s="33">
        <f t="shared" si="4"/>
        <v>0</v>
      </c>
      <c r="H17" s="29">
        <f t="shared" si="6"/>
        <v>0</v>
      </c>
      <c r="I17" s="73">
        <f t="shared" si="1"/>
        <v>0</v>
      </c>
      <c r="J17" s="29">
        <f>SUM(J12:J16)</f>
        <v>12932</v>
      </c>
      <c r="K17" s="33">
        <f t="shared" si="2"/>
        <v>11.326670929203928</v>
      </c>
      <c r="L17" s="29">
        <f t="shared" si="6"/>
        <v>0</v>
      </c>
      <c r="M17" s="53">
        <f t="shared" si="5"/>
        <v>0</v>
      </c>
    </row>
    <row r="18" spans="2:13" ht="12" customHeight="1">
      <c r="B18" s="132" t="s">
        <v>92</v>
      </c>
      <c r="C18" s="110"/>
      <c r="D18" s="111"/>
      <c r="E18" s="112"/>
      <c r="F18" s="111"/>
      <c r="G18" s="112"/>
      <c r="H18" s="111"/>
      <c r="I18" s="113"/>
      <c r="J18" s="111"/>
      <c r="K18" s="112"/>
      <c r="L18" s="111"/>
      <c r="M18" s="114"/>
    </row>
    <row r="19" spans="2:13" ht="12" customHeight="1" thickBot="1">
      <c r="B19" s="14" t="s">
        <v>89</v>
      </c>
      <c r="C19" s="30">
        <v>20000</v>
      </c>
      <c r="D19" s="31">
        <v>20000</v>
      </c>
      <c r="E19" s="51">
        <f t="shared" si="3"/>
        <v>100</v>
      </c>
      <c r="F19" s="31"/>
      <c r="G19" s="51">
        <f t="shared" si="4"/>
        <v>0</v>
      </c>
      <c r="H19" s="31"/>
      <c r="I19" s="83">
        <f>SUM(H19/C19)*100</f>
        <v>0</v>
      </c>
      <c r="J19" s="31"/>
      <c r="K19" s="51">
        <f>SUM(J19/C19)*100</f>
        <v>0</v>
      </c>
      <c r="L19" s="31">
        <f>SUM(C19-D19-F19-H19-J19)</f>
        <v>0</v>
      </c>
      <c r="M19" s="52">
        <f t="shared" si="5"/>
        <v>0</v>
      </c>
    </row>
    <row r="20" spans="2:13" ht="12" customHeight="1" thickBot="1">
      <c r="B20" s="32" t="s">
        <v>55</v>
      </c>
      <c r="C20" s="29">
        <f>SUM(C18:C19)</f>
        <v>20000</v>
      </c>
      <c r="D20" s="29">
        <f>SUM(D18:D19)</f>
        <v>20000</v>
      </c>
      <c r="E20" s="73">
        <f t="shared" si="3"/>
        <v>100</v>
      </c>
      <c r="F20" s="29">
        <f aca="true" t="shared" si="7" ref="F20:L21">SUM(F18:F19)</f>
        <v>0</v>
      </c>
      <c r="G20" s="73">
        <f t="shared" si="7"/>
        <v>0</v>
      </c>
      <c r="H20" s="29">
        <f t="shared" si="7"/>
        <v>0</v>
      </c>
      <c r="I20" s="73">
        <f t="shared" si="7"/>
        <v>0</v>
      </c>
      <c r="J20" s="29">
        <f t="shared" si="7"/>
        <v>0</v>
      </c>
      <c r="K20" s="33">
        <f t="shared" si="7"/>
        <v>0</v>
      </c>
      <c r="L20" s="29">
        <f t="shared" si="7"/>
        <v>0</v>
      </c>
      <c r="M20" s="97">
        <f t="shared" si="5"/>
        <v>0</v>
      </c>
    </row>
    <row r="21" spans="2:16" s="4" customFormat="1" ht="12" customHeight="1" thickBot="1">
      <c r="B21" s="28" t="s">
        <v>20</v>
      </c>
      <c r="C21" s="29">
        <f>SUM(C20,C17,C11)</f>
        <v>423728</v>
      </c>
      <c r="D21" s="29">
        <f aca="true" t="shared" si="8" ref="D21:L21">SUM(D20,D17,D11)</f>
        <v>326322</v>
      </c>
      <c r="E21" s="73">
        <f t="shared" si="3"/>
        <v>77.01213986330853</v>
      </c>
      <c r="F21" s="29">
        <f t="shared" si="8"/>
        <v>0</v>
      </c>
      <c r="G21" s="73">
        <f t="shared" si="7"/>
        <v>0</v>
      </c>
      <c r="H21" s="29">
        <f t="shared" si="8"/>
        <v>0</v>
      </c>
      <c r="I21" s="73">
        <f t="shared" si="7"/>
        <v>0</v>
      </c>
      <c r="J21" s="29">
        <f t="shared" si="8"/>
        <v>97406</v>
      </c>
      <c r="K21" s="51">
        <f>SUM(J21/C21)*100</f>
        <v>22.987860136691463</v>
      </c>
      <c r="L21" s="29">
        <f t="shared" si="8"/>
        <v>0</v>
      </c>
      <c r="M21" s="97">
        <f t="shared" si="5"/>
        <v>0</v>
      </c>
      <c r="O21" s="116"/>
      <c r="P21" s="116"/>
    </row>
    <row r="22" spans="2:13" ht="12.75">
      <c r="B22" s="8"/>
      <c r="C22" s="9"/>
      <c r="D22" s="9"/>
      <c r="E22" s="13"/>
      <c r="F22" s="9"/>
      <c r="G22" s="10"/>
      <c r="H22" s="77"/>
      <c r="I22" s="86"/>
      <c r="J22" s="11"/>
      <c r="K22" s="89"/>
      <c r="L22" s="12"/>
      <c r="M22" s="8"/>
    </row>
    <row r="23" spans="8:11" s="3" customFormat="1" ht="12.75">
      <c r="H23" s="75"/>
      <c r="I23" s="75"/>
      <c r="J23" s="75"/>
      <c r="K23" s="75"/>
    </row>
    <row r="25" ht="12.75">
      <c r="J25" s="75"/>
    </row>
  </sheetData>
  <sheetProtection/>
  <mergeCells count="2">
    <mergeCell ref="L1:M1"/>
    <mergeCell ref="B2:M2"/>
  </mergeCells>
  <printOptions/>
  <pageMargins left="0.5905511811023623" right="0.15748031496062992" top="0.1968503937007874" bottom="0.2362204724409449" header="0.15748031496062992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Morvai Éva</cp:lastModifiedBy>
  <cp:lastPrinted>2017-01-19T12:54:25Z</cp:lastPrinted>
  <dcterms:created xsi:type="dcterms:W3CDTF">2009-02-04T11:37:44Z</dcterms:created>
  <dcterms:modified xsi:type="dcterms:W3CDTF">2017-01-19T12:54:29Z</dcterms:modified>
  <cp:category/>
  <cp:version/>
  <cp:contentType/>
  <cp:contentStatus/>
</cp:coreProperties>
</file>