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tabRatio="895" firstSheet="4" activeTab="10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felhki" sheetId="8" r:id="rId8"/>
    <sheet name="9.Tartalékok" sheetId="9" r:id="rId9"/>
    <sheet name="10. Normatívák" sheetId="10" r:id="rId10"/>
    <sheet name="11. EU projektek" sheetId="11" r:id="rId11"/>
  </sheets>
  <definedNames>
    <definedName name="_xlnm.Print_Titles" localSheetId="0">'1. bevételek'!$5:$6</definedName>
    <definedName name="_xlnm.Print_Titles" localSheetId="10">'11. EU projektek'!$6:$9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'8.felhki'!$6:$7</definedName>
    <definedName name="_xlnm.Print_Area" localSheetId="0">'1. bevételek'!$A$1:$J$201</definedName>
    <definedName name="_xlnm.Print_Area" localSheetId="9">'10. Normatívák'!$A$1:$L$55</definedName>
    <definedName name="_xlnm.Print_Area" localSheetId="10">'11. EU projektek'!$A$1:$L$167</definedName>
    <definedName name="_xlnm.Print_Area" localSheetId="1">'2. kiadások '!$A$1:$J$79</definedName>
    <definedName name="_xlnm.Print_Area" localSheetId="3">'4.önkorm.kiad.feladat'!$A$1:$Y$53</definedName>
    <definedName name="_xlnm.Print_Area" localSheetId="4">'5. Óvoda, Kult. kiad. feladat'!$A$1:$K$39</definedName>
    <definedName name="_xlnm.Print_Area" localSheetId="5">'6. kiadások megbontása'!$A$1:$M$88</definedName>
    <definedName name="_xlnm.Print_Area" localSheetId="6">'7. források sz. bontás'!$A$1:$AC$68</definedName>
    <definedName name="_xlnm.Print_Area" localSheetId="7">'8.felhki'!$A$1:$D$101</definedName>
  </definedNames>
  <calcPr fullCalcOnLoad="1"/>
</workbook>
</file>

<file path=xl/sharedStrings.xml><?xml version="1.0" encoding="utf-8"?>
<sst xmlns="http://schemas.openxmlformats.org/spreadsheetml/2006/main" count="1837" uniqueCount="1062">
  <si>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</si>
  <si>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</si>
  <si>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</si>
  <si>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</si>
  <si>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</si>
  <si>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</si>
  <si>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</si>
  <si>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</si>
  <si>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</si>
  <si>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</si>
  <si>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</si>
  <si>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</si>
  <si>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</si>
  <si>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</si>
  <si>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</si>
  <si>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</si>
  <si>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</si>
  <si>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</si>
  <si>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</si>
  <si>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</si>
  <si>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</si>
  <si>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</si>
  <si>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</si>
  <si>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</si>
  <si>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</si>
  <si>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</si>
  <si>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</si>
  <si>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</si>
  <si>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</si>
  <si>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</si>
  <si>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</si>
  <si>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</si>
  <si>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</si>
  <si>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</si>
  <si>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</si>
  <si>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</si>
  <si>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</si>
  <si>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</si>
  <si>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</si>
  <si>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</si>
  <si>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</si>
  <si>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</si>
  <si>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</si>
  <si>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</si>
  <si>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</si>
  <si>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</si>
  <si>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</si>
  <si>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</si>
  <si>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</si>
  <si>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</si>
  <si>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</si>
  <si>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</si>
  <si>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</si>
  <si>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</si>
  <si>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</si>
  <si>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</si>
  <si>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</si>
  <si>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</si>
  <si>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</si>
  <si>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</si>
  <si>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</si>
  <si>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</si>
  <si>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</si>
  <si>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</si>
  <si>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</si>
  <si>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</si>
  <si>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</si>
  <si>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</si>
  <si>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</si>
  <si>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</si>
  <si>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</si>
  <si>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</si>
  <si>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</si>
  <si>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</si>
  <si>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</si>
  <si>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</si>
  <si>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</si>
  <si>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</si>
  <si>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</si>
  <si>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</si>
  <si>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</si>
  <si>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</si>
  <si>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</si>
  <si>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</si>
  <si>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</si>
  <si>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Jánoshalma Városi Önkormányzat</t>
  </si>
  <si>
    <t>Költségvetési egyenleg</t>
  </si>
  <si>
    <t>működési</t>
  </si>
  <si>
    <t>összesen</t>
  </si>
  <si>
    <t>Ingatlan, termőföld értékesítés</t>
  </si>
  <si>
    <t>Állami feladat kiadása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</si>
  <si>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</si>
  <si>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</si>
  <si>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</si>
  <si>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</si>
  <si>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</si>
  <si>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</si>
  <si>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</si>
  <si>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</si>
  <si>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</si>
  <si>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</si>
  <si>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</si>
  <si>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</si>
  <si>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</si>
  <si>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</si>
  <si>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</si>
  <si>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</si>
  <si>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</si>
  <si>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</si>
  <si>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</si>
  <si>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</si>
  <si>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</si>
  <si>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</si>
  <si>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</si>
  <si>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</si>
  <si>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</si>
  <si>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</si>
  <si>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</si>
  <si>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</si>
  <si>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</si>
  <si>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</si>
  <si>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</si>
  <si>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</si>
  <si>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</si>
  <si>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</si>
  <si>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</si>
  <si>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</si>
  <si>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</si>
  <si>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</si>
  <si>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</si>
  <si>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</si>
  <si>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</si>
  <si>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</si>
  <si>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</si>
  <si>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</si>
  <si>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</si>
  <si>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</si>
  <si>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</si>
  <si>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</si>
  <si>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</si>
  <si>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</si>
  <si>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</si>
  <si>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</si>
  <si>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</si>
  <si>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</si>
  <si>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</si>
  <si>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</si>
  <si>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</si>
  <si>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</si>
  <si>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</si>
  <si>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</si>
  <si>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</si>
  <si>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</si>
  <si>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</si>
  <si>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</si>
  <si>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</si>
  <si>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</si>
  <si>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</si>
  <si>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</si>
  <si>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</si>
  <si>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</si>
  <si>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</si>
  <si>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</si>
  <si>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</si>
  <si>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</si>
  <si>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</si>
  <si>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</si>
  <si>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</si>
  <si>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</si>
  <si>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</si>
  <si>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</si>
  <si>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</si>
  <si>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</si>
  <si>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</si>
  <si>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</si>
  <si>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</si>
  <si>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</si>
  <si>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</si>
  <si>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</si>
  <si>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</si>
  <si>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</si>
  <si>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</si>
  <si>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</si>
  <si>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</si>
  <si>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</si>
  <si>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</si>
  <si>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</si>
  <si>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</si>
  <si>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</si>
  <si>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</si>
  <si>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</si>
  <si>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</si>
  <si>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</si>
  <si>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</si>
  <si>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</si>
  <si>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</si>
  <si>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</si>
  <si>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</si>
  <si>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</si>
  <si>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</si>
  <si>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</si>
  <si>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</si>
  <si>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</si>
  <si>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</si>
  <si>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</si>
  <si>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</si>
  <si>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</si>
  <si>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</si>
  <si>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</si>
  <si>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</si>
  <si>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</si>
  <si>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</si>
  <si>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</si>
  <si>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</si>
  <si>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</si>
  <si>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</si>
  <si>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</si>
  <si>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</si>
  <si>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</si>
  <si>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</si>
  <si>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</si>
  <si>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</si>
  <si>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</si>
  <si>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</si>
  <si>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</si>
  <si>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</si>
  <si>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</si>
  <si>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</si>
  <si>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</si>
  <si>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</si>
  <si>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</si>
  <si>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</si>
  <si>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</si>
  <si>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</si>
  <si>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</si>
  <si>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</si>
  <si>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</si>
  <si>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</si>
  <si>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</si>
  <si>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</si>
  <si>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</si>
  <si>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</si>
  <si>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</si>
  <si>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</si>
  <si>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</si>
  <si>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</si>
  <si>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</si>
  <si>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</si>
  <si>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</si>
  <si>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</si>
  <si>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</si>
  <si>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</si>
  <si>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</si>
  <si>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</si>
  <si>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</si>
  <si>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</si>
  <si>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</si>
  <si>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</si>
  <si>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</si>
  <si>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</si>
  <si>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</si>
  <si>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</si>
  <si>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</si>
  <si>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</si>
  <si>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</si>
  <si>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</si>
  <si>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</si>
  <si>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</si>
  <si>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</si>
  <si>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</si>
  <si>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</si>
  <si>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</si>
  <si>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</si>
  <si>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</si>
  <si>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</si>
  <si>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</si>
  <si>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</si>
  <si>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</si>
  <si>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</si>
  <si>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</si>
  <si>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</si>
  <si>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</si>
  <si>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</si>
  <si>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</si>
  <si>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</si>
  <si>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</si>
  <si>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</si>
  <si>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</si>
  <si>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</si>
  <si>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</si>
  <si>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</si>
  <si>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</si>
  <si>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</si>
  <si>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</si>
  <si>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</si>
  <si>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</si>
  <si>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</si>
  <si>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</si>
  <si>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</si>
  <si>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</si>
  <si>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</si>
  <si>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</si>
  <si>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</si>
  <si>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</si>
  <si>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</si>
  <si>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</si>
  <si>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</si>
  <si>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</si>
  <si>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</si>
  <si>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</si>
  <si>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</si>
  <si>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</si>
  <si>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</si>
  <si>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</si>
  <si>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</si>
  <si>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</si>
  <si>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</si>
  <si>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</si>
  <si>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</si>
  <si>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</si>
  <si>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</si>
  <si>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</si>
  <si>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</si>
  <si>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</si>
  <si>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</si>
  <si>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</si>
  <si>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</si>
  <si>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</si>
  <si>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</si>
  <si>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</si>
  <si>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</si>
  <si>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</si>
  <si>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</si>
  <si>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</si>
  <si>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</si>
  <si>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</si>
  <si>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</si>
  <si>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Megnevezés</t>
  </si>
  <si>
    <t>Kiadások</t>
  </si>
  <si>
    <t>Dologi kiadás</t>
  </si>
  <si>
    <t>Összesen:</t>
  </si>
  <si>
    <t>Mindösszesen: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</si>
  <si>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</si>
  <si>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</si>
  <si>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</si>
  <si>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</si>
  <si>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</si>
  <si>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</si>
  <si>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</si>
  <si>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</si>
  <si>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</si>
  <si>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</si>
  <si>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</si>
  <si>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</si>
  <si>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</si>
  <si>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</si>
  <si>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</si>
  <si>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</si>
  <si>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</si>
  <si>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</si>
  <si>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</si>
  <si>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</si>
  <si>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</si>
  <si>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</si>
  <si>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</si>
  <si>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</si>
  <si>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</si>
  <si>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</si>
  <si>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</si>
  <si>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</si>
  <si>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</si>
  <si>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</si>
  <si>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</si>
  <si>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</si>
  <si>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</si>
  <si>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</si>
  <si>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</si>
  <si>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</si>
  <si>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</si>
  <si>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</si>
  <si>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</si>
  <si>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</si>
  <si>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</si>
  <si>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</si>
  <si>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</si>
  <si>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</si>
  <si>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</si>
  <si>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</si>
  <si>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</si>
  <si>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</si>
  <si>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</si>
  <si>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</si>
  <si>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</si>
  <si>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</si>
  <si>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</si>
  <si>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</si>
  <si>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</si>
  <si>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</si>
  <si>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</si>
  <si>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</si>
  <si>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</si>
  <si>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</si>
  <si>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</si>
  <si>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</si>
  <si>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</si>
  <si>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</si>
  <si>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</si>
  <si>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</si>
  <si>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</si>
  <si>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</si>
  <si>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</si>
  <si>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</si>
  <si>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</si>
  <si>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</si>
  <si>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</si>
  <si>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2020. év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</si>
  <si>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</si>
  <si>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</si>
  <si>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</si>
  <si>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</si>
  <si>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</si>
  <si>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</si>
  <si>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</si>
  <si>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Önkormányzati hivatal működésének támogatása</t>
  </si>
  <si>
    <t>Óvodaműködtetési támogatás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</si>
  <si>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</si>
  <si>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</si>
  <si>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</si>
  <si>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</si>
  <si>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</si>
  <si>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</si>
  <si>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</si>
  <si>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</si>
  <si>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</si>
  <si>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</si>
  <si>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</si>
  <si>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</si>
  <si>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</si>
  <si>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</si>
  <si>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</si>
  <si>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</si>
  <si>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</si>
  <si>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</si>
  <si>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</si>
  <si>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</si>
  <si>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</si>
  <si>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</si>
  <si>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</si>
  <si>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</si>
  <si>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</si>
  <si>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</si>
  <si>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</si>
  <si>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</si>
  <si>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</si>
  <si>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Tűzoltóság BM támogatása</t>
  </si>
  <si>
    <t>Továbbszámlázott szolg. bevételei</t>
  </si>
  <si>
    <t>Étkeztetéssel kapcsolatos térítési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</si>
  <si>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</si>
  <si>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</si>
  <si>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</si>
  <si>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Kiegészítő támogatás az óvodapedagógusok minősítéséből adódó többletkiadásokhoz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</si>
  <si>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</si>
  <si>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</si>
  <si>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</si>
  <si>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</si>
  <si>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</si>
  <si>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</si>
  <si>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</si>
  <si>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</si>
  <si>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</si>
  <si>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</si>
  <si>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</si>
  <si>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</si>
  <si>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</si>
  <si>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</si>
  <si>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</si>
  <si>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</si>
  <si>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</si>
  <si>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</si>
  <si>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</si>
  <si>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</si>
  <si>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</si>
  <si>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</si>
  <si>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</si>
  <si>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</si>
  <si>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</si>
  <si>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</si>
  <si>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</si>
  <si>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</si>
  <si>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</si>
  <si>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</si>
  <si>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</si>
  <si>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</si>
  <si>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</si>
  <si>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</si>
  <si>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</si>
  <si>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</si>
  <si>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</si>
  <si>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</si>
  <si>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</si>
  <si>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</si>
  <si>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</si>
  <si>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</si>
  <si>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</si>
  <si>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</si>
  <si>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</si>
  <si>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</si>
  <si>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</si>
  <si>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</si>
  <si>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</si>
  <si>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Család- és Gyermekjóléti Központ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</si>
  <si>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</si>
  <si>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</si>
  <si>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</si>
  <si>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</si>
  <si>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</si>
  <si>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</si>
  <si>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</si>
  <si>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</si>
  <si>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</si>
  <si>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</si>
  <si>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</si>
  <si>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</si>
  <si>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</si>
  <si>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</si>
  <si>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</si>
  <si>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</si>
  <si>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</si>
  <si>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</si>
  <si>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Önkormányzati bérlakások felújítása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</si>
  <si>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</si>
  <si>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</si>
  <si>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</si>
  <si>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</si>
  <si>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</si>
  <si>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Gyvt. 40/A. §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</si>
  <si>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</si>
  <si>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</si>
  <si>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</si>
  <si>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adatok Ft-ban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</si>
  <si>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</si>
  <si>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</si>
  <si>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</si>
  <si>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</si>
  <si>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</si>
  <si>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</si>
  <si>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</si>
  <si>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</si>
  <si>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</si>
  <si>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</si>
  <si>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</si>
  <si>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</si>
  <si>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</si>
  <si>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</si>
  <si>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</si>
  <si>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</si>
  <si>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</si>
  <si>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</si>
  <si>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</si>
  <si>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</si>
  <si>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</si>
  <si>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</si>
  <si>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</si>
  <si>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</si>
  <si>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</si>
  <si>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</si>
  <si>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</si>
  <si>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</si>
  <si>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</si>
  <si>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</si>
  <si>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</si>
  <si>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</si>
  <si>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</si>
  <si>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</si>
  <si>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</si>
  <si>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</si>
  <si>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</si>
  <si>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</si>
  <si>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</si>
  <si>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</si>
  <si>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</si>
  <si>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</si>
  <si>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</si>
  <si>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</si>
  <si>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</si>
  <si>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</si>
  <si>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</si>
  <si>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</si>
  <si>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</si>
  <si>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</si>
  <si>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</si>
  <si>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</si>
  <si>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</si>
  <si>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</si>
  <si>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</si>
  <si>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</si>
  <si>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</si>
  <si>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</si>
  <si>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</si>
  <si>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</si>
  <si>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</si>
  <si>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</si>
  <si>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</si>
  <si>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</si>
  <si>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</si>
  <si>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</si>
  <si>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</si>
  <si>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</si>
  <si>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</si>
  <si>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</si>
  <si>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</si>
  <si>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</si>
  <si>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</si>
  <si>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</si>
  <si>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</si>
  <si>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</si>
  <si>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</si>
  <si>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Mötv. 13.§ (1) 2.</t>
  </si>
  <si>
    <t>Mötv. 13.§ (1) 11.</t>
  </si>
  <si>
    <t>Mötv. 13.§ (1) 19.</t>
  </si>
  <si>
    <t>Mötv. 13.§ (1) 5., 19.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</si>
  <si>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</si>
  <si>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</si>
  <si>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</si>
  <si>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</si>
  <si>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</si>
  <si>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</si>
  <si>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</si>
  <si>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</si>
  <si>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</si>
  <si>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</si>
  <si>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</si>
  <si>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</si>
  <si>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</si>
  <si>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</si>
  <si>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</si>
  <si>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</si>
  <si>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</si>
  <si>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</si>
  <si>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</si>
  <si>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</si>
  <si>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</si>
  <si>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</si>
  <si>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</si>
  <si>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</si>
  <si>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</si>
  <si>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</si>
  <si>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Gyermeklánc Óvoda és Bölcsőde, Család- és Gyermekjóléti Központ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</si>
  <si>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</si>
  <si>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</si>
  <si>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</si>
  <si>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</si>
  <si>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</si>
  <si>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</si>
  <si>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041232</t>
  </si>
  <si>
    <t>041233</t>
  </si>
  <si>
    <t>Közművelődés- hagyományos közösségi kult. értékek gondozása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</si>
  <si>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</si>
  <si>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</si>
  <si>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</si>
  <si>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</si>
  <si>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</si>
  <si>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Bölcsőde támogatása</t>
  </si>
  <si>
    <t>Köztemetés kiadásának megtérítése</t>
  </si>
  <si>
    <t>Könyvtári szolgáltatások ellenértéke</t>
  </si>
  <si>
    <t>Közművelődési szolgáltatások ellenértéke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</si>
  <si>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</si>
  <si>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</si>
  <si>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</si>
  <si>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</si>
  <si>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</si>
  <si>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</si>
  <si>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</si>
  <si>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</si>
  <si>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</si>
  <si>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</si>
  <si>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Óvodai és iskolai szociális segítő tevékenység támogatása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</si>
  <si>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</si>
  <si>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</si>
  <si>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</si>
  <si>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</si>
  <si>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 xml:space="preserve">EFOP-3.3.2-16-2016-00284 "Kultúrával az oktatás színesítéséért" projekt </t>
  </si>
  <si>
    <t>Óvodai nevelés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</si>
  <si>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</si>
  <si>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</si>
  <si>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</si>
  <si>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</si>
  <si>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</si>
  <si>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</si>
  <si>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</si>
  <si>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Közművelődés- közösségi és társadalmi részvétel fejlesztése</t>
  </si>
  <si>
    <t>Óvodai nevelés, ellátás működtetési feladatai</t>
  </si>
  <si>
    <t>Iskolarendszeren kívüli egyéb oktatás, képzés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</si>
  <si>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</si>
  <si>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</si>
  <si>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</si>
  <si>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</si>
  <si>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</si>
  <si>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</si>
  <si>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</si>
  <si>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</si>
  <si>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</si>
  <si>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</si>
  <si>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047450</t>
  </si>
  <si>
    <t>053010</t>
  </si>
  <si>
    <t>062020</t>
  </si>
  <si>
    <t>082061</t>
  </si>
  <si>
    <t>082091</t>
  </si>
  <si>
    <t>095020</t>
  </si>
  <si>
    <t>Q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</si>
  <si>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</si>
  <si>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</si>
  <si>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</si>
  <si>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</si>
  <si>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</si>
  <si>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</si>
  <si>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>EFOP-1.5.3-16-2017-00082  "Együtt vagyunk, otthon vagyunk és itt maradunk" c. projekt felújítási kiadásai</t>
  </si>
  <si>
    <t>Közművelődés-közösségi és társadalmi részvétel fejlesztése</t>
  </si>
  <si>
    <t>Szoc. tv. 86.§ (1) c,</t>
  </si>
  <si>
    <t xml:space="preserve">Óvodai nevelés, ellátás 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</si>
  <si>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</si>
  <si>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</si>
  <si>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</si>
  <si>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Gyermeklánc Óvoda és Bölcsőde, Család- és Gyermekjóléti Központ  összesen:</t>
  </si>
  <si>
    <t>Működési célú tartalék - elektronikus közbeszerzés rendszerhasználati díja</t>
  </si>
  <si>
    <t>Céltartalék -elektr. közbesz. rendszer- haszn. díja</t>
  </si>
  <si>
    <t>utak használata ellenében beszedett használati díj, pótdíj, elektr. útdíj</t>
  </si>
  <si>
    <t>Jánoshalma Városi Önkormányzat és költségvetési szervei 2020. évi költségvetésének bevételi előirányzatai</t>
  </si>
  <si>
    <t>Jánoshalma Városi Önkormányzat és költségvetési szervei 2020. évi költségvetésének kiadási előirányzatai</t>
  </si>
  <si>
    <t>Jánoshalma Város Önkormányzat 2020. évi költségvetése működési és felhalmozási célú bontásban</t>
  </si>
  <si>
    <t>Jánoshalma Városi Önkormányzat  2020. évi költségvetési kiadásai feladatonként</t>
  </si>
  <si>
    <t>Telepszerű lakókörnyezetek felszámolását célzó programok</t>
  </si>
  <si>
    <t>A helyi önkormányzat által irányított költségvetési szervek 2020. évi költségvetési kiadásai feladatonként</t>
  </si>
  <si>
    <t>EFOP-3.9.2-16-2017-00057 "Járásokat összekötő humán kapacitások fejlesztése térségi szemléletben" projekt - 3 fő többletfeladat ellátása</t>
  </si>
  <si>
    <t>Óvoda fenntartási kiadások</t>
  </si>
  <si>
    <t>Kiemelt állami és önkormányzai rendezvények</t>
  </si>
  <si>
    <t>2020. évi felhalmozási kiadások feladatonként, felújítási kiadások célonként</t>
  </si>
  <si>
    <t>Viziközművek fejlesztése a viziközművek 2020. évi bérleti díj bevételéből és a Viziközmű fejlesztési tartalékból</t>
  </si>
  <si>
    <t xml:space="preserve">Közvilágítási rendszer korszerűsítése LED technológia felhasználásával </t>
  </si>
  <si>
    <t>Térfigyelő kamerarendszer felújítása</t>
  </si>
  <si>
    <t>Naperőmű túlfeszültség levezető csere</t>
  </si>
  <si>
    <t>Karácsonyi díszkivilágításhoz áramfelvételi leállások létesítése</t>
  </si>
  <si>
    <t>Karácsonyi díszkivilágítás (fénysorok) beszerzése</t>
  </si>
  <si>
    <t>Tűzgátló berendezés beszerzése</t>
  </si>
  <si>
    <t>Jánoshalma Városi Önkormányzat és költségvetési szerveinek 2020 évi költségvetési kiadásai kötelező-, önként vállalt-, és állami (államigazgatási) feladatok szerinti bontásban</t>
  </si>
  <si>
    <t>Esélyegyenlőség elősegítését célzó tevékenységek és programok (EFOP-3.3.2-16-2016-00284 pr.)</t>
  </si>
  <si>
    <t>Jánoshalma Városi Önkormányzat  és költségvetési szerveinek 2020. évi költségvetési bevételei és  kiadásai kötelező-, önként vállalt-, és állami (államigazgatási) feladatok szerinti bontásban</t>
  </si>
  <si>
    <t>Járdaépítésre átvett p.e. háztartásoktól</t>
  </si>
  <si>
    <t>EFOP-2.1.2-16-2018-00075 "Egy fedél alatt" pr.  támogatása</t>
  </si>
  <si>
    <t>Homokértékesítés bevétele</t>
  </si>
  <si>
    <t>Család- és nővédelmi eü. gondozáshoz Nemzeti Egészségbizt. Alapkezelőtől finanszírozás</t>
  </si>
  <si>
    <t>EFOP-3.9.2-16-2017-00057 "Járásokat összekötő... "pr.  támogatása</t>
  </si>
  <si>
    <t>EFOP-3.3.2-16-2016-00284 "Kulturával az oktatás színesítéséért"pr maradvány igénybevétele (működési)</t>
  </si>
  <si>
    <t>EFOP 3.9.2-16-2017-00057 pr.Működési célú maradvány igénybevétele</t>
  </si>
  <si>
    <t>061040</t>
  </si>
  <si>
    <t>Bölcsődei gyermekétkeztetés</t>
  </si>
  <si>
    <t>Óvodai gyermekétkeztetés</t>
  </si>
  <si>
    <t>Ttv. 2.§ (2) bek., Mötv.13.§ (1) 12.</t>
  </si>
  <si>
    <t>Mötv. 13.§ (1) 12.</t>
  </si>
  <si>
    <t>Mötv. 13.§ (1) bek. 11., 21. pontja</t>
  </si>
  <si>
    <t>Mötv. 13.§ (1) 1., 7., 9., 14. pontjai</t>
  </si>
  <si>
    <t>Mötv. 13.§ (1) 11.,  21. pontjai</t>
  </si>
  <si>
    <t>Mötv. 13.§ (1) 2., 5., 9., 11., 12. pontjai</t>
  </si>
  <si>
    <t>Mötv. 13.§ (1) 4.,  Eü tv. 5.§ (1) bek.</t>
  </si>
  <si>
    <t>Gyvt. 21/A § (3) bek.</t>
  </si>
  <si>
    <t>Területfejlesztés igazgatása                                                   (EFOP-3.9.2-16-2017-00057 projekt)</t>
  </si>
  <si>
    <t>Esélyegyenlőség elősegítését célzó tevékenységek és programok                                          (EFOP-1.5.3-16-2017-00082 projekt)</t>
  </si>
  <si>
    <t>Esélyegyenlőség elősegítését célzó tevékenységek és programok                                              (EFOP-1.5.3-16-2017-00082 projekt)</t>
  </si>
  <si>
    <t>Területfejlesztés igazgatása                                           (EFOP-3.9.2-16-2017-00057 projekt)</t>
  </si>
  <si>
    <t>Jánoshalmi Polgármesteri Hivatal</t>
  </si>
  <si>
    <t>Imre Zoltán Művelődési Központ és Könyvtár kiadásai összesen:</t>
  </si>
  <si>
    <t>Jánoshalmi Polgármesteri Hivatal kiadásai összesen:</t>
  </si>
  <si>
    <t>Jánoshalma Városi Önkormányzat kiadásai összesen:</t>
  </si>
  <si>
    <t>Vízkárelhárítási terv elkészíttetése</t>
  </si>
  <si>
    <t>Energiamegtakarítási intézkedési terv elkészíttetése</t>
  </si>
  <si>
    <t>Védőnői szolgálat eszközbeszerzései (veszélyes hulladéktároláshoz hűtő, vércukormérő, Lang teszt II.)</t>
  </si>
  <si>
    <t>Számítógépek fejlesztése (rendszergazda felmérése alapján )</t>
  </si>
  <si>
    <t>EFOP-1.5.3-16-2017-00082  "Együtt vagyunk, otthon vagyunk és itt maradunk" c. projekt beruházási kiadásai</t>
  </si>
  <si>
    <t>EFOP-2.1.2-16-2018-00075  "Egy fedél alatt" c. projekt beruházási kiadásai</t>
  </si>
  <si>
    <t>Tavalyi évről elhalasztott eszközbeszerzések (irodai székek, PH konyhai kiegészítő bútor beszerzés)</t>
  </si>
  <si>
    <t>Hang- és fénytechnikai eszközök (jelfeldolgozó, fényvezérlő) beszerzése</t>
  </si>
  <si>
    <t>54/2019.(IV.25.) Kt. hat.  Óvoda épület hőszigetelése</t>
  </si>
  <si>
    <t>Bölcsődei ellátás eszközbeszerzései (homokozó eszközök, játékok, sporteszközök)</t>
  </si>
  <si>
    <t>Család- és Gyermekjóléti Központ beruházási kiadásai (Windows 10 szoftver, számítógép, szünetmentes tápegység beszerzése, telefonvonal szétválasztása)</t>
  </si>
  <si>
    <t>Család- és Gyermekjóléti Szolgálat beruházási kiadásai (Windows 10 szoftver beszerzése; árnyékoló; székek vásárlása a kapcsolattartó szobába)</t>
  </si>
  <si>
    <t>Polgármesteri Hivatal épületében belső festés, felújítási munkák</t>
  </si>
  <si>
    <t>TOP-2.1.2-16-BK1 -2017-00003  "Zöld tér felújítása Jánoshalmán" c. projekt felújítási kiadásai</t>
  </si>
  <si>
    <t>EFOP-3.9.2-16-2017-00057"Járásokat összekötő humán kap. fejl. térs. szemléletben" pr. EU tám.</t>
  </si>
  <si>
    <t>2 fő takarítónő foglalkoztatása 2020.03.01-2020.10.31. -Munkaügyi Központ támogatása</t>
  </si>
  <si>
    <t>Állati hullagyűjtő telep kialakítása</t>
  </si>
  <si>
    <t>Hosszabb időtartamú közfogl. felh. c.  tám.</t>
  </si>
  <si>
    <t>Startmunka programok felh. c. támogatása</t>
  </si>
  <si>
    <t>Járási startmunka mintaprogram (2020.03.01-2021.02.28) - kisértékű tárgyi eszköz beszerzés</t>
  </si>
  <si>
    <t>Könyvtár részére beszerzett könyvek</t>
  </si>
  <si>
    <t>B1131</t>
  </si>
  <si>
    <t>B1132</t>
  </si>
  <si>
    <t xml:space="preserve">Települési önkormányzatok egyes szociális és gyermekjóléti felaladatainak tám. </t>
  </si>
  <si>
    <t xml:space="preserve">Települési önkormányzatok gyermekétkeztetési felaladatainak támogatása </t>
  </si>
  <si>
    <t>074040</t>
  </si>
  <si>
    <t>Fertőző megbetegedések megelőzése, járványügyi ellátás</t>
  </si>
  <si>
    <t>42</t>
  </si>
  <si>
    <t>Mötv. 13.§ (1) 5.</t>
  </si>
  <si>
    <t>Koronavírus elleni védekezéshez adományok</t>
  </si>
  <si>
    <t>EFOP-1.4.2-16 Integrált térs. gyermekpr. "Együtt könnyebb" működési c. támogatása</t>
  </si>
  <si>
    <t>EFOP-1.4.2-16 Integrált térs. gyermekpr. "Együtt könnyebb" felhalm. c. támogatása</t>
  </si>
  <si>
    <t>EFOP-1.5.3-16 ... "Együtt vagyunk, otthon vagyunk…." működési c. támogatása</t>
  </si>
  <si>
    <t>3. sz. fogorvosi körzet tartós helyettesítése-  NEA finanszírozás</t>
  </si>
  <si>
    <t>Támogatott foglalkoztatás</t>
  </si>
  <si>
    <t>Koronavírus-járvány okozta veszélyhelyzet kezelésének eszközök beszerzésével kapcsolatos kiadásai</t>
  </si>
  <si>
    <t>EFOP-1.4.2-16-2016-00020  "Együtt könnyebb" c. projekt beruházási kiadásai</t>
  </si>
  <si>
    <t>EFOP-1.5.3-16-2017-00082  "Együtt vagyunk, otthon vagyunk és itt maradunk" c. projekt rendezvényeinek megvalósításához kapcsolódó eszközbeszerzések</t>
  </si>
  <si>
    <t>A 2020. évi költségvetésben tervezett, EU-forrásból finanszírozott  támogatással megvalósuló projektek kiadásai, a helyi önkormányzat ilyen projektekhez történő hozzájárulásai</t>
  </si>
  <si>
    <t xml:space="preserve">Támogatási szerződés szerinti bevételek, kiadások  (Ft)     </t>
  </si>
  <si>
    <t>2020. évi költségvetésben tervezett 2019. évi maradvány igénybevétel</t>
  </si>
  <si>
    <t xml:space="preserve">2020. évi költségvetésben tervezett bevételi előirányzatok    </t>
  </si>
  <si>
    <t xml:space="preserve">2020. évi költségvetésben tervezett kiadási előirányzatok   </t>
  </si>
  <si>
    <t>évenkénti üteme</t>
  </si>
  <si>
    <t>2017. év</t>
  </si>
  <si>
    <t>2018. év</t>
  </si>
  <si>
    <t>2019. év</t>
  </si>
  <si>
    <t>2021. év</t>
  </si>
  <si>
    <t>2022. év</t>
  </si>
  <si>
    <t>Integrált térségi gyermekprogramok  - "Együtt könnyebb" komplex prevenciós és társadalmi felzárkóztató program a gyermekszegénység ellen (EFOP-1.4.2-16-2016-00020)</t>
  </si>
  <si>
    <t xml:space="preserve">Saját erő </t>
  </si>
  <si>
    <t>EU-s és hazai forrás együtt</t>
  </si>
  <si>
    <t>Források összesen</t>
  </si>
  <si>
    <t>Bér+járulék kiadások (elszámolható)</t>
  </si>
  <si>
    <t>Dologi kiadások (elszámolható)</t>
  </si>
  <si>
    <t>Beruházási kiadások (elszámolható)</t>
  </si>
  <si>
    <t>Iparterület fejlesztése Jánoshalmán (TOP-1.1.1-15-BK1-2016-00006)</t>
  </si>
  <si>
    <t>Beruházási kiadások (nem elszámolható)</t>
  </si>
  <si>
    <t>Bér+járulék kiadások (elszámolható) Gyermekjóléti Szolgálatnál</t>
  </si>
  <si>
    <t>Bér+járulék kiadások (elszámolható) Polgármesteri Hivatalnál</t>
  </si>
  <si>
    <t>Felújítási kiadások (elszámolható)</t>
  </si>
  <si>
    <t>Támogatás (elszámolható)</t>
  </si>
  <si>
    <t>Jánoshalma térségi szerepének erősítése a mg-ban (TOP-1.1.2-16-BK1-2017-00005)</t>
  </si>
  <si>
    <t>Dologi kiadások (nem elszámolható)</t>
  </si>
  <si>
    <t>Agrárlogisztikai központ építése Jánoshalmán (TOP-1.1.3-16-BK1-2017-00007)</t>
  </si>
  <si>
    <t>Zöld tér felújítása Jánoshalmán (TOP-2.1.2-16-BK1-2017-00003)</t>
  </si>
  <si>
    <t>Felújítási kiadások (nem elszámolható)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</si>
  <si>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</si>
  <si>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</si>
  <si>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</si>
  <si>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Saját erő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</si>
  <si>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</si>
  <si>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</si>
  <si>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"Egy fedél alatt" projekt (EFOP-2.1.2-16-2018-00075)</t>
  </si>
  <si>
    <t xml:space="preserve">"Kulturával az oktatás színesítéséért" c. projekt (EFOP-3.3.2-16-2016-00284) </t>
  </si>
  <si>
    <t>Tervezett tartalékok</t>
  </si>
  <si>
    <t>Vis maior tartalék (működési)</t>
  </si>
  <si>
    <t>Céltartalék (működési)</t>
  </si>
  <si>
    <t>Környezetvédelmi alap a 2020. évre tervezett talajterhelési díj bevételből</t>
  </si>
  <si>
    <t>Elektronikus közbeszerzési eljárás során fizetendő rendszerhasználati díj (5 projektekben nem elszámolható ktg. 40.000 Ft/projekt)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</si>
  <si>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</si>
  <si>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</si>
  <si>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</si>
  <si>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</si>
  <si>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>Felhalmozási tartalékok összesen (II.):</t>
  </si>
  <si>
    <t>Tartalékok mindösszesen (I.+II.)</t>
  </si>
  <si>
    <t>Koronavírus-járvány okozta veszélyhelyzet kezelése</t>
  </si>
  <si>
    <t>Konzorciumi tagok pénzátadása</t>
  </si>
  <si>
    <t>Fordított Áfa befizetés 2020. év (elszámolható)</t>
  </si>
  <si>
    <t>Tartalék (elszámolható)</t>
  </si>
  <si>
    <t>Ellátási díjak (szoc. alapszolg., ált. isk. étkezés)</t>
  </si>
  <si>
    <t>Telep. önk-ok egyes szoc. és gyerm. jóléti fel.tám.</t>
  </si>
  <si>
    <t>2019. évi Szüreti Napokkal kapcs. szolgáltatási bevétel</t>
  </si>
  <si>
    <t>Imre Z. Műv. Közp. épületfelújítás tervezésének tám.</t>
  </si>
  <si>
    <t>Eü-i dolgozók egyszeri rendkívüli juttatása</t>
  </si>
  <si>
    <t>Szociális étkeztetés, házi segítségnyújtás önk-i munkavégzése feltételei biztosításához eszközbeszerzések</t>
  </si>
  <si>
    <t>Alaptevékenység maradványából képzett tartalék</t>
  </si>
  <si>
    <t>Kistérségi szélessávú internet hálózat ért. maradványából képzett tartalék</t>
  </si>
  <si>
    <t>Alaptev. maradványából képzett tartalék</t>
  </si>
  <si>
    <t>S</t>
  </si>
  <si>
    <t>R</t>
  </si>
  <si>
    <t>Önkormányzatok elszámolásai a központi költségvetéssel</t>
  </si>
  <si>
    <t>Kistérs. szélessávú internet ért. maradványából képzett tartalék</t>
  </si>
  <si>
    <t>018010</t>
  </si>
  <si>
    <t>018030</t>
  </si>
  <si>
    <t>Támogatási célú finanszírozási műveletek</t>
  </si>
  <si>
    <t>43</t>
  </si>
  <si>
    <t xml:space="preserve">EFOP-3.2.9-16-2016-00044 "Segítsd, hogy segíthessen!" c. projekt </t>
  </si>
  <si>
    <t>Nyári diákmunka program</t>
  </si>
  <si>
    <t>44</t>
  </si>
  <si>
    <t>Vállalkozási maradvány igénybevétele</t>
  </si>
  <si>
    <t>Nyári diákmunka program támogatása</t>
  </si>
  <si>
    <t>Nyitnikék Gyerekház maradvány igénybevétel</t>
  </si>
  <si>
    <t>EFOP 3.2.9-16-2016-00044 pr.Működési célú maradvány igénybevétele</t>
  </si>
  <si>
    <t>Meglévő számítógépek fejlesztése</t>
  </si>
  <si>
    <t>Polgármesteri Hivatal  összesen:</t>
  </si>
  <si>
    <t>Szélessávú internet hálózat értékesítése kapcsán JKT-tól átvett pénzeszköz tartaléka</t>
  </si>
  <si>
    <t>2019. évi alaptevékenység maradványából tartalék képzés</t>
  </si>
  <si>
    <t>2019. évi maradványt terhelő kötelezettségek</t>
  </si>
  <si>
    <t>Ingatlanértékesítés bevétel kiesésének kompenzálása</t>
  </si>
  <si>
    <t>Környezetvédelmi alap (előző évek maradványa)</t>
  </si>
  <si>
    <t>Környezetvédelmi alap összesen:</t>
  </si>
  <si>
    <t>Elektronikus közbeszerzési eljárás során fizetendő rendszerhasználati díj összesen:</t>
  </si>
  <si>
    <t>Szélessávú internet hálózat értékesítése kapcsán JKT-tól átvett pénzeszköz</t>
  </si>
  <si>
    <t>EFOP-1.5.3-16-2017-00082 "Együtt vagyunk, otthon vagyunk és itt maradunk" projekt - 3 fő többletfeladat ellátása</t>
  </si>
  <si>
    <t>Egyéb működési bevétel</t>
  </si>
  <si>
    <t>VP6-7.2.7.4.1.1. "Művésztelep energetikai felújítása" pályázat utófinanszírozás</t>
  </si>
  <si>
    <t>TOP-2.1.3-16-BK1-2017-00010 "Jh. belvíz elvezetés I." pr.  támogatása</t>
  </si>
  <si>
    <t>Elektronikus közbeszerzési eljárás során fizetendő rendszerhasználati díj TOP-1.1.3-16-BK1-2017-00007 "Agrárlogisztikai Központ építése Jánoshalmán" projekthez kapcsolódóan 3 x 40.000 Ft</t>
  </si>
  <si>
    <t>Elektronikus közbeszerzési eljárás során fizetendő rendszerhasználati díj TOP-1.1.2-16-BK1-2017-00005 "Jánoshalma térségi szerepének erősítése a mezőgazdaságban" projekthez kapcsolódóan  40.000 Ft</t>
  </si>
  <si>
    <t xml:space="preserve">Hosszabb időtartamú közfoglalkoztatás (2020.03.01-2021.02.28.) - kisértékű tárgyi eszköz beszerzés </t>
  </si>
  <si>
    <t>Önkormányzati bérlakásokhoz kapcsolódó eszközbeszerzések (Magyar L. u. 19. bojler beszerzés)</t>
  </si>
  <si>
    <t>Járdaépítés (Kapocs utca)</t>
  </si>
  <si>
    <t xml:space="preserve">Önkormányzati igazgatási feladathoz kapcsolódó eszközbeszerzések </t>
  </si>
  <si>
    <t>Informatikai eszközök beszerzése (USB pendrive, USB igazolvány olvasó, egér stb.)</t>
  </si>
  <si>
    <t>Ajtó kialakítás a Polgármesteri Hivatalban (szerverszoba leválasztása, Rack szekrény külön helyiségben történő elhelyezése)</t>
  </si>
  <si>
    <t>A koronavírus második hulláma elleni védekezéshez plexi védőfalak elhelyezése</t>
  </si>
  <si>
    <t>Könyvtári érdekeltségnövelő támogatás felhasználása kapcsán beszerzett könyvek</t>
  </si>
  <si>
    <t xml:space="preserve">101/2020.(VIII.28.) Kt. hat.  Imre Z. Műv. Központ és Könyvtár épület felújítás-  pály. felújítási önerő </t>
  </si>
  <si>
    <t>Polgármesteri Hivatal épületének felújítása kapcsán irodabútorok, szőnyeg, egyéb lakberendezési tárgyak vásárlása</t>
  </si>
  <si>
    <t>Önk-i feladatellátást szolg. fejlesztések támogatása (járdaépítés)</t>
  </si>
  <si>
    <t>VP6-19.2.1-32-2-17kódsz."Kulturális értékmegőrző rendezvények tám. " 2019.évi rend.</t>
  </si>
  <si>
    <t>Önk-i feladatellátást szolg.fejlesztések támogatásából - belterületi járdák felújítása (Jókai M., Rákóczi F., Kélesi, Téglagyár utcák)</t>
  </si>
  <si>
    <t>Csapadékcsatorna felújítás (betoncsövek vásárlása)</t>
  </si>
  <si>
    <t>Rendkívüli települési támogatás</t>
  </si>
  <si>
    <t>Óvodai nevelés eszközbeszerzései (udvari játékok, sportszerek, óvodai ágyak, ágytároló szekrény, kuka, porszívó, takarítógép, létra, tárolószekrények, egyéb eszköz beszerzés)</t>
  </si>
  <si>
    <t>104031</t>
  </si>
  <si>
    <t>Gyermekek bölcsődében és mini bölcsődében történő ellátása</t>
  </si>
  <si>
    <t>042130</t>
  </si>
  <si>
    <t>Növénytermesztés, állattenyésztés és kapcsolódó szolgáltatások</t>
  </si>
  <si>
    <t>25. Egészségügyi ellátás</t>
  </si>
  <si>
    <t xml:space="preserve">1997. évi XXXI. törvény a gyermekek védelméről és a gyámügyi igazgatásról </t>
  </si>
  <si>
    <t>Gyvt.</t>
  </si>
  <si>
    <t>Gyvt. 42 § (1) bek.</t>
  </si>
  <si>
    <t>45</t>
  </si>
  <si>
    <t>TOP-1.4.1-19-BK1-2020-00041 "Bölcsőde építése Jh-n" pr.  támogatása</t>
  </si>
  <si>
    <t>Főtér, buszpályaudvar, vasútállomás és környezetük területére ingyenes wifi szolgáltatás biztosításához szükséges eszközbeszerzés</t>
  </si>
  <si>
    <t xml:space="preserve">Városi Piac fejlesztése Jánoshalmán - VP6-7.2.1.1-20 pályázati önerő </t>
  </si>
  <si>
    <t>TOP-1.4.1-19-BK1-2020-00041 "Bölcsőde építése Jánoshalmán" projekt beruházási kiadásai</t>
  </si>
  <si>
    <t>"Bölcsőde építése Jánoshalmán" projekt (TOP-1.4.1-19-BK1-2020-00041)</t>
  </si>
  <si>
    <t>Iparterületre 2 db sorompó telepítése</t>
  </si>
  <si>
    <t>Nyitnikék Gyerekház beruházási kiadásai (fejlesztő játékok vásárlása, tágulási tartály és tartozékainak beszerzése, kültéri fészekhinta)</t>
  </si>
  <si>
    <t>Jánoshalma Városi Önkormányzat 2020. évi költségvetésében tervezett köponti költségvetési támogatások</t>
  </si>
  <si>
    <t>a Magyarország 2020. évi központi költségvetéséről szóló 2019. évi LXXI. törvény 2. sz. és 3. sz. mellékletének jogcímei szerint</t>
  </si>
  <si>
    <t>Jogcím</t>
  </si>
  <si>
    <t>Gyermeklánc Óvoda és Egységes Óvoda-Bölcsőde, Család- és Gyermekjóléti Központ</t>
  </si>
  <si>
    <t>Mindösszesen</t>
  </si>
  <si>
    <t>Ell.szám</t>
  </si>
  <si>
    <t>száma</t>
  </si>
  <si>
    <t>megnevezése</t>
  </si>
  <si>
    <t>mutató</t>
  </si>
  <si>
    <t>fajlagos Ft</t>
  </si>
  <si>
    <t>összeg Ft</t>
  </si>
  <si>
    <t>mutató    (8 hó)</t>
  </si>
  <si>
    <t xml:space="preserve">fajlagos Ft </t>
  </si>
  <si>
    <t>mutató   (4 hó)</t>
  </si>
  <si>
    <t>összeg  Ft</t>
  </si>
  <si>
    <t xml:space="preserve">Helyi önkormányzatok működésének általános támogatása </t>
  </si>
  <si>
    <t>2.mell. I.</t>
  </si>
  <si>
    <t>I.1.a</t>
  </si>
  <si>
    <t>I.1.b</t>
  </si>
  <si>
    <t>Településüzemeltetéshez kapcsolódó feladatellátás alaptámogatása</t>
  </si>
  <si>
    <t>I.1.ba</t>
  </si>
  <si>
    <t>A zöldterület-gazdálkodással kapcsolatos feladatok ellátásának alaptámogatása</t>
  </si>
  <si>
    <t>I.1.bb</t>
  </si>
  <si>
    <t>Közvilágítás fenntartásának alaptámogatása</t>
  </si>
  <si>
    <t>I.1.bc</t>
  </si>
  <si>
    <t>Köztemető-fenntartással kapcsolatos feladatok alaptámogatása</t>
  </si>
  <si>
    <t>I.1.bd</t>
  </si>
  <si>
    <t>Közutak fenntartásának alaptámogatása</t>
  </si>
  <si>
    <t>I.1.c</t>
  </si>
  <si>
    <t>Egyéb önkormányzati feladatok támogatása (beszámítás után)</t>
  </si>
  <si>
    <t>I.1.d</t>
  </si>
  <si>
    <t>Lakott külterülettel kapcsolatos feladatok támogatása</t>
  </si>
  <si>
    <t>I.5.</t>
  </si>
  <si>
    <t>Polgármesteri illetmény támogatása</t>
  </si>
  <si>
    <t>3.mell. I.</t>
  </si>
  <si>
    <t xml:space="preserve">11. </t>
  </si>
  <si>
    <t>A költségvetési szerveknél foglalkoztatottak 2019. évi áthúzódó és 2020. évi kompenzációja</t>
  </si>
  <si>
    <t>A települési önkormányzatok egyes köznevelési feladatainak támogatása</t>
  </si>
  <si>
    <t>2.mell. II.</t>
  </si>
  <si>
    <t>II.1</t>
  </si>
  <si>
    <t>Óvodapedagógusok, és az óvodapedagógusok nevelő munkáját közvetlenül segítők bértámogatása</t>
  </si>
  <si>
    <t>II.1 (1)1,2</t>
  </si>
  <si>
    <t>Óvodapedagógusok bértámogatása</t>
  </si>
  <si>
    <t>II.1 (2)1,2</t>
  </si>
  <si>
    <t>Pedagógus szakképzettséggel nem rendelkező, óvodapedagógusok nevelő munkáját közvetlenül segítők bértámogatása</t>
  </si>
  <si>
    <t>II.2</t>
  </si>
  <si>
    <t>II.4</t>
  </si>
  <si>
    <t xml:space="preserve">II.4 a (1) </t>
  </si>
  <si>
    <t>Alapfokú végzettségű pedagógus II. kategóriába sorolt óvodapedagógusok kiegészítő támogatása, akik a minősítést 2019.01.01-ig szerezték meg</t>
  </si>
  <si>
    <t>Alapfokú végzettségű pedagógus II. kategóriába sorolt óvodapedagógusok kiegészítő támogatása, akik a minősítést a 2020. január 1-jei átsorolással szerezték meg</t>
  </si>
  <si>
    <t xml:space="preserve">II.4 a (2) </t>
  </si>
  <si>
    <t>Alapfokú végzettségű mesterpedagógus kategóriába sorolt óvodapedagógusok kiegészítő támogatása, akik a minősítést 2019.01.01-ig szerezték meg</t>
  </si>
  <si>
    <t>Alapfokú végzettségű mesterpedagógus kategóriába sorolt óvodapedagógusok kiegészítő támogatása, akik a minősítést a 2020. január 1-jei átsorolással szerezték meg</t>
  </si>
  <si>
    <t>Települési önkormányzatok egyes szociális és gyermekjóléti feladatainak támogatása</t>
  </si>
  <si>
    <t>2.mell. III.</t>
  </si>
  <si>
    <t>III.1</t>
  </si>
  <si>
    <t>A települési önkormányzatok szociális feladatainak egyéb támogatása</t>
  </si>
  <si>
    <t>III.2</t>
  </si>
  <si>
    <t>Egyes szociális és gyermekjóléti feladatok támogatása</t>
  </si>
  <si>
    <t xml:space="preserve">III.2.a </t>
  </si>
  <si>
    <t>Család- és gyermekjóléti szolgálat</t>
  </si>
  <si>
    <t>III.2.b</t>
  </si>
  <si>
    <t>Család- és gyermekjóléti központ</t>
  </si>
  <si>
    <t>III.2.c</t>
  </si>
  <si>
    <t>III.2.d-db)</t>
  </si>
  <si>
    <t>Házi segítségnyújtás - személyi gondozás</t>
  </si>
  <si>
    <t>III.2.n</t>
  </si>
  <si>
    <t xml:space="preserve">III.3. </t>
  </si>
  <si>
    <t>Bölcsőde, minibölcsőde támogatása</t>
  </si>
  <si>
    <t>III.3. a (1)</t>
  </si>
  <si>
    <t>Felsőfokú végzettségű kisgyermeknevelők, szaktanácsadók bértámogatása</t>
  </si>
  <si>
    <t>III.3. a (2)</t>
  </si>
  <si>
    <t>Bölcsődei dajkák, középfokú végzettségű kisgyermeknevelők, szaktanácsadók bértámogatása</t>
  </si>
  <si>
    <t>Bölcsődében foglalkoztatott kisgyermeknevelők, dajkák és szaktanácsadók 2020. évi illetményéhez kapcsolódó bölcsődei kiegészítő támogatás</t>
  </si>
  <si>
    <t>III.3.b</t>
  </si>
  <si>
    <t>Bölcsőde üzemeltetési támogatás</t>
  </si>
  <si>
    <t>12.</t>
  </si>
  <si>
    <t>Szociális ágazati összevont pótlék és egészségügyi kiegészítő pótlék</t>
  </si>
  <si>
    <t>Települési önkormányzatok gyermekétkeztetési feladatainak támogatása</t>
  </si>
  <si>
    <t>III.5</t>
  </si>
  <si>
    <t>Gyermekétkeztetés támogatása</t>
  </si>
  <si>
    <t>III.5.aa</t>
  </si>
  <si>
    <t>Étkeztetési feladatot ellátók után járó bértámogatás</t>
  </si>
  <si>
    <t>III.5.ab</t>
  </si>
  <si>
    <t>Gyermekétkeztetés üzemeltetési támogatása</t>
  </si>
  <si>
    <t>III.5.b</t>
  </si>
  <si>
    <t>A rászoruló gyermekek szünidei étkeztetésének támogatása</t>
  </si>
  <si>
    <t>2.mell. IV.</t>
  </si>
  <si>
    <t>IV.b</t>
  </si>
  <si>
    <t>Települési önkormányzatok nyilvános könyvtári és közművelődési feladatainak támogatása</t>
  </si>
  <si>
    <t>13.d</t>
  </si>
  <si>
    <t>Települési önkormányzatok könyvtári célú érdekeltségnövelő támogatása</t>
  </si>
  <si>
    <t>14.</t>
  </si>
  <si>
    <t>Kulturális illetménypótlék</t>
  </si>
  <si>
    <t>3.mell. II.</t>
  </si>
  <si>
    <t>2.</t>
  </si>
  <si>
    <t>Önkormányzati feladatellátást szolgáló fejlesztések - járda felújítás</t>
  </si>
  <si>
    <t>Központi költségvetési támogatások mindösszesen:</t>
  </si>
  <si>
    <t>xxx</t>
  </si>
  <si>
    <t>Víziközmű fejlesztési céltartalék</t>
  </si>
  <si>
    <t>Céltartalék - Víziközmű fejlesztési tartalék</t>
  </si>
  <si>
    <t>"A hazai és határon túli óvodai tehetség-kibontakoztató programok támogatása" pályázat</t>
  </si>
  <si>
    <t>Telep. Önk-ok kulturális feladatainak támogatása</t>
  </si>
  <si>
    <t>Szociális ágazati összevont pótlék és bérkompenzáció</t>
  </si>
  <si>
    <t>Működési célú költségvetési támogatások és kiegészítő támogatások</t>
  </si>
  <si>
    <t>2021. évi finanszírozási előleg</t>
  </si>
  <si>
    <t>"A hazai és a határon túli óvodai tehetség-kibontakoztató programok támogatása"</t>
  </si>
  <si>
    <t>Illegális hulladéklerakók felszámolásának támogatása</t>
  </si>
  <si>
    <t>1.mell.IX.</t>
  </si>
  <si>
    <t>31.</t>
  </si>
  <si>
    <t>Szennyvíz átemelő szivattyú csere, szennyvíz szivattyú beszerzés</t>
  </si>
  <si>
    <t>Vízi- és szennyvízközművekkel kapcsolatos Gördülő Fejlesztési Terv - hozzájárulás a tervezési díjhoz</t>
  </si>
  <si>
    <t>TOP-1.1.3-16-BK1-2017-00007 "Agrárlogisztikai központ építése Jánoshalmán" projekt támogatás visszafizetési kötelezettség</t>
  </si>
  <si>
    <t>"A hazai és határon túli óvodai tehetség-kibontakoztató programok támogatása" pályázat beruházási kiadása</t>
  </si>
  <si>
    <t>Kerékpártárolók felújítása és hozzá tartozó kerítésfelújítás ( Radnóti utcai óvoda), kerítésfelújítás (Batthyány utcai óvoda, Radnóti utcai óvoda)</t>
  </si>
  <si>
    <t>Támogatás visszafizetési kötelezettség</t>
  </si>
  <si>
    <t>1. melléklet a 1/2021.(II.16.) önkormányzati rendelethez</t>
  </si>
  <si>
    <t>2. melléklet a 1/2021.(II.16.) önkormányzati rendelethez</t>
  </si>
  <si>
    <t>3. melléklet a 1/2021.(II.16.) önkormányzati rendelethez</t>
  </si>
  <si>
    <t>4. melléklet a 1/2021.(II.16.) önkormányzati rendelethez</t>
  </si>
  <si>
    <t>5. melléklet a 1/2021.(II.16.) önkormányzati rendelethez</t>
  </si>
  <si>
    <t>6. melléklet a 1/2021.(II.16.) önkormányzati rendelethez</t>
  </si>
  <si>
    <t>7. melléklet a 1/2021.(II.16.) önkormányzati rendelethez</t>
  </si>
  <si>
    <t>8. melléklet a 1/2021.(II.16.) önkormányzati rendelethez</t>
  </si>
  <si>
    <t>9. melléklet a 1/2021.(II.16.) önkormányzati rendelethez</t>
  </si>
  <si>
    <t>10. melléklet a 1/2021. (II.16.) önkormányzati rendelethez</t>
  </si>
  <si>
    <t>11. melléklet a 1/2021. (II.16.)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</si>
</sst>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17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sz val="8"/>
      <name val="Arial CE"/>
      <family val="0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i/>
      <sz val="11"/>
      <name val="Times New Roman"/>
      <family val="1"/>
    </font>
    <font>
      <b/>
      <sz val="10"/>
      <name val="Arial CE"/>
      <family val="2"/>
    </font>
    <font>
      <sz val="8"/>
      <name val="Times New Roman CE"/>
      <family val="1"/>
    </font>
    <font>
      <b/>
      <sz val="12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3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40"/>
      <name val="Times New Roman"/>
      <family val="1"/>
    </font>
    <font>
      <b/>
      <sz val="12"/>
      <color indexed="30"/>
      <name val="Times New Roman"/>
      <family val="1"/>
    </font>
    <font>
      <b/>
      <i/>
      <sz val="10"/>
      <color indexed="40"/>
      <name val="Times New Roman"/>
      <family val="1"/>
    </font>
    <font>
      <i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0"/>
      <color rgb="FF00B0F0"/>
      <name val="Times New Roman"/>
      <family val="1"/>
    </font>
    <font>
      <i/>
      <sz val="10"/>
      <color rgb="FF00B0F0"/>
      <name val="Times New Roman"/>
      <family val="1"/>
    </font>
    <font>
      <sz val="10"/>
      <color rgb="FF00B0F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ck"/>
    </border>
    <border>
      <left/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4" fillId="19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2" applyNumberFormat="0" applyFill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9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0" fillId="21" borderId="7" applyNumberFormat="0" applyFont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102" fillId="28" borderId="0" applyNumberFormat="0" applyBorder="0" applyAlignment="0" applyProtection="0"/>
    <xf numFmtId="0" fontId="103" fillId="29" borderId="8" applyNumberFormat="0" applyAlignment="0" applyProtection="0"/>
    <xf numFmtId="0" fontId="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0" borderId="0" applyNumberFormat="0" applyBorder="0" applyAlignment="0" applyProtection="0"/>
    <xf numFmtId="0" fontId="107" fillId="31" borderId="0" applyNumberFormat="0" applyBorder="0" applyAlignment="0" applyProtection="0"/>
    <xf numFmtId="0" fontId="108" fillId="29" borderId="1" applyNumberFormat="0" applyAlignment="0" applyProtection="0"/>
    <xf numFmtId="9" fontId="0" fillId="0" borderId="0" applyFont="0" applyFill="0" applyBorder="0" applyAlignment="0" applyProtection="0"/>
  </cellStyleXfs>
  <cellXfs count="1290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11" fillId="0" borderId="0" xfId="57" applyFont="1">
      <alignment/>
      <protection/>
    </xf>
    <xf numFmtId="0" fontId="10" fillId="0" borderId="0" xfId="57" applyFont="1" applyAlignment="1">
      <alignment vertical="center"/>
      <protection/>
    </xf>
    <xf numFmtId="0" fontId="12" fillId="0" borderId="21" xfId="57" applyFont="1" applyBorder="1" applyAlignment="1">
      <alignment horizontal="center" vertical="center" wrapText="1"/>
      <protection/>
    </xf>
    <xf numFmtId="0" fontId="14" fillId="0" borderId="21" xfId="57" applyFont="1" applyBorder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4" fillId="0" borderId="0" xfId="57" applyFont="1">
      <alignment/>
      <protection/>
    </xf>
    <xf numFmtId="0" fontId="13" fillId="0" borderId="21" xfId="57" applyFont="1" applyBorder="1">
      <alignment/>
      <protection/>
    </xf>
    <xf numFmtId="0" fontId="13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6" fillId="0" borderId="21" xfId="57" applyFont="1" applyBorder="1">
      <alignment/>
      <protection/>
    </xf>
    <xf numFmtId="0" fontId="18" fillId="0" borderId="0" xfId="57" applyFont="1">
      <alignment/>
      <protection/>
    </xf>
    <xf numFmtId="0" fontId="13" fillId="0" borderId="0" xfId="57" applyFont="1" applyBorder="1">
      <alignment/>
      <protection/>
    </xf>
    <xf numFmtId="0" fontId="16" fillId="0" borderId="21" xfId="57" applyFont="1" applyBorder="1" applyAlignment="1">
      <alignment horizontal="left" vertical="center" indent="2"/>
      <protection/>
    </xf>
    <xf numFmtId="16" fontId="16" fillId="0" borderId="21" xfId="57" applyNumberFormat="1" applyFont="1" applyBorder="1" applyAlignment="1">
      <alignment horizontal="left" vertical="center" indent="2"/>
      <protection/>
    </xf>
    <xf numFmtId="0" fontId="16" fillId="0" borderId="21" xfId="57" applyFont="1" applyBorder="1" applyAlignment="1">
      <alignment horizontal="left" indent="2"/>
      <protection/>
    </xf>
    <xf numFmtId="3" fontId="14" fillId="0" borderId="21" xfId="42" applyNumberFormat="1" applyFont="1" applyBorder="1" applyAlignment="1">
      <alignment horizontal="right"/>
    </xf>
    <xf numFmtId="3" fontId="13" fillId="0" borderId="21" xfId="42" applyNumberFormat="1" applyFont="1" applyBorder="1" applyAlignment="1">
      <alignment horizontal="right"/>
    </xf>
    <xf numFmtId="3" fontId="16" fillId="0" borderId="21" xfId="42" applyNumberFormat="1" applyFont="1" applyBorder="1" applyAlignment="1">
      <alignment horizontal="right"/>
    </xf>
    <xf numFmtId="0" fontId="21" fillId="0" borderId="21" xfId="57" applyFont="1" applyBorder="1" applyAlignment="1">
      <alignment horizontal="left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3" fontId="21" fillId="0" borderId="21" xfId="42" applyNumberFormat="1" applyFont="1" applyBorder="1" applyAlignment="1">
      <alignment horizontal="right"/>
    </xf>
    <xf numFmtId="0" fontId="21" fillId="0" borderId="21" xfId="57" applyFont="1" applyBorder="1">
      <alignment/>
      <protection/>
    </xf>
    <xf numFmtId="0" fontId="22" fillId="0" borderId="0" xfId="57" applyFont="1">
      <alignment/>
      <protection/>
    </xf>
    <xf numFmtId="0" fontId="23" fillId="0" borderId="21" xfId="57" applyFont="1" applyBorder="1" applyAlignment="1">
      <alignment horizontal="right"/>
      <protection/>
    </xf>
    <xf numFmtId="0" fontId="24" fillId="0" borderId="0" xfId="57" applyFont="1">
      <alignment/>
      <protection/>
    </xf>
    <xf numFmtId="0" fontId="25" fillId="0" borderId="21" xfId="57" applyFont="1" applyBorder="1" applyAlignment="1">
      <alignment vertical="center"/>
      <protection/>
    </xf>
    <xf numFmtId="3" fontId="25" fillId="0" borderId="21" xfId="42" applyNumberFormat="1" applyFont="1" applyBorder="1" applyAlignment="1">
      <alignment horizontal="right"/>
    </xf>
    <xf numFmtId="0" fontId="25" fillId="0" borderId="21" xfId="57" applyFont="1" applyBorder="1">
      <alignment/>
      <protection/>
    </xf>
    <xf numFmtId="0" fontId="25" fillId="0" borderId="0" xfId="57" applyFont="1">
      <alignment/>
      <protection/>
    </xf>
    <xf numFmtId="0" fontId="25" fillId="0" borderId="21" xfId="57" applyFont="1" applyBorder="1" applyAlignment="1">
      <alignment vertical="center" wrapText="1"/>
      <protection/>
    </xf>
    <xf numFmtId="0" fontId="25" fillId="0" borderId="21" xfId="57" applyFont="1" applyBorder="1" applyAlignment="1">
      <alignment horizontal="left" vertical="center"/>
      <protection/>
    </xf>
    <xf numFmtId="0" fontId="26" fillId="0" borderId="0" xfId="57" applyFont="1">
      <alignment/>
      <protection/>
    </xf>
    <xf numFmtId="0" fontId="25" fillId="0" borderId="21" xfId="57" applyFont="1" applyBorder="1" applyAlignment="1">
      <alignment horizontal="left" vertical="center" wrapText="1"/>
      <protection/>
    </xf>
    <xf numFmtId="0" fontId="27" fillId="0" borderId="0" xfId="57" applyFont="1">
      <alignment/>
      <protection/>
    </xf>
    <xf numFmtId="0" fontId="14" fillId="0" borderId="21" xfId="57" applyFont="1" applyBorder="1" applyAlignment="1">
      <alignment horizontal="left" vertical="center" indent="1"/>
      <protection/>
    </xf>
    <xf numFmtId="0" fontId="14" fillId="0" borderId="21" xfId="57" applyFont="1" applyBorder="1" applyAlignment="1">
      <alignment horizontal="left" indent="1"/>
      <protection/>
    </xf>
    <xf numFmtId="3" fontId="28" fillId="0" borderId="21" xfId="57" applyNumberFormat="1" applyFont="1" applyBorder="1" applyAlignment="1">
      <alignment horizontal="right" vertical="center"/>
      <protection/>
    </xf>
    <xf numFmtId="3" fontId="28" fillId="0" borderId="21" xfId="42" applyNumberFormat="1" applyFont="1" applyBorder="1" applyAlignment="1">
      <alignment horizontal="right"/>
    </xf>
    <xf numFmtId="0" fontId="14" fillId="0" borderId="21" xfId="57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1" xfId="57" applyFont="1" applyBorder="1" applyAlignment="1">
      <alignment horizontal="center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15" fillId="0" borderId="0" xfId="57" applyFont="1" applyAlignment="1">
      <alignment horizontal="center"/>
      <protection/>
    </xf>
    <xf numFmtId="0" fontId="15" fillId="0" borderId="21" xfId="57" applyFont="1" applyBorder="1" applyAlignment="1">
      <alignment horizontal="center"/>
      <protection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3" fontId="12" fillId="0" borderId="21" xfId="57" applyNumberFormat="1" applyFont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1" fillId="0" borderId="21" xfId="58" applyFont="1" applyBorder="1">
      <alignment/>
      <protection/>
    </xf>
    <xf numFmtId="0" fontId="31" fillId="0" borderId="14" xfId="58" applyFont="1" applyBorder="1" applyAlignment="1">
      <alignment horizontal="left"/>
      <protection/>
    </xf>
    <xf numFmtId="0" fontId="31" fillId="0" borderId="17" xfId="58" applyFont="1" applyBorder="1" applyAlignment="1">
      <alignment horizontal="left"/>
      <protection/>
    </xf>
    <xf numFmtId="3" fontId="31" fillId="0" borderId="21" xfId="58" applyNumberFormat="1" applyFont="1" applyBorder="1">
      <alignment/>
      <protection/>
    </xf>
    <xf numFmtId="3" fontId="14" fillId="0" borderId="21" xfId="58" applyNumberFormat="1" applyFont="1" applyBorder="1">
      <alignment/>
      <protection/>
    </xf>
    <xf numFmtId="0" fontId="13" fillId="0" borderId="0" xfId="0" applyFont="1" applyAlignment="1">
      <alignment/>
    </xf>
    <xf numFmtId="0" fontId="32" fillId="0" borderId="21" xfId="58" applyFont="1" applyBorder="1">
      <alignment/>
      <protection/>
    </xf>
    <xf numFmtId="3" fontId="32" fillId="0" borderId="21" xfId="58" applyNumberFormat="1" applyFont="1" applyBorder="1">
      <alignment/>
      <protection/>
    </xf>
    <xf numFmtId="0" fontId="33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31" fillId="0" borderId="0" xfId="58" applyFont="1" applyFill="1" applyAlignment="1">
      <alignment horizontal="center" vertical="center"/>
      <protection/>
    </xf>
    <xf numFmtId="0" fontId="13" fillId="0" borderId="0" xfId="58" applyFont="1" applyFill="1" applyAlignment="1">
      <alignment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21" xfId="5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4" fillId="0" borderId="21" xfId="58" applyFont="1" applyBorder="1">
      <alignment/>
      <protection/>
    </xf>
    <xf numFmtId="3" fontId="36" fillId="0" borderId="21" xfId="58" applyNumberFormat="1" applyFont="1" applyBorder="1">
      <alignment/>
      <protection/>
    </xf>
    <xf numFmtId="0" fontId="37" fillId="0" borderId="21" xfId="58" applyFont="1" applyBorder="1">
      <alignment/>
      <protection/>
    </xf>
    <xf numFmtId="0" fontId="37" fillId="0" borderId="21" xfId="58" applyFont="1" applyBorder="1" applyAlignment="1">
      <alignment horizontal="left"/>
      <protection/>
    </xf>
    <xf numFmtId="3" fontId="37" fillId="0" borderId="21" xfId="58" applyNumberFormat="1" applyFont="1" applyBorder="1">
      <alignment/>
      <protection/>
    </xf>
    <xf numFmtId="0" fontId="13" fillId="0" borderId="21" xfId="58" applyFont="1" applyBorder="1">
      <alignment/>
      <protection/>
    </xf>
    <xf numFmtId="0" fontId="37" fillId="0" borderId="21" xfId="58" applyFont="1" applyBorder="1" applyAlignment="1">
      <alignment horizontal="right"/>
      <protection/>
    </xf>
    <xf numFmtId="0" fontId="37" fillId="0" borderId="14" xfId="58" applyFont="1" applyBorder="1" applyAlignment="1">
      <alignment horizontal="left"/>
      <protection/>
    </xf>
    <xf numFmtId="0" fontId="37" fillId="0" borderId="17" xfId="58" applyFont="1" applyBorder="1" applyAlignment="1">
      <alignment horizontal="left"/>
      <protection/>
    </xf>
    <xf numFmtId="0" fontId="13" fillId="0" borderId="14" xfId="58" applyFont="1" applyBorder="1">
      <alignment/>
      <protection/>
    </xf>
    <xf numFmtId="0" fontId="13" fillId="0" borderId="0" xfId="58" applyFont="1">
      <alignment/>
      <protection/>
    </xf>
    <xf numFmtId="3" fontId="14" fillId="0" borderId="14" xfId="58" applyNumberFormat="1" applyFont="1" applyBorder="1">
      <alignment/>
      <protection/>
    </xf>
    <xf numFmtId="3" fontId="14" fillId="0" borderId="17" xfId="58" applyNumberFormat="1" applyFont="1" applyBorder="1">
      <alignment/>
      <protection/>
    </xf>
    <xf numFmtId="3" fontId="10" fillId="0" borderId="21" xfId="58" applyNumberFormat="1" applyFont="1" applyBorder="1">
      <alignment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/>
    </xf>
    <xf numFmtId="3" fontId="38" fillId="0" borderId="21" xfId="0" applyNumberFormat="1" applyFont="1" applyBorder="1" applyAlignment="1">
      <alignment/>
    </xf>
    <xf numFmtId="0" fontId="39" fillId="0" borderId="0" xfId="0" applyFont="1" applyAlignment="1">
      <alignment/>
    </xf>
    <xf numFmtId="0" fontId="31" fillId="0" borderId="21" xfId="0" applyFont="1" applyBorder="1" applyAlignment="1">
      <alignment/>
    </xf>
    <xf numFmtId="3" fontId="31" fillId="0" borderId="21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3" fontId="32" fillId="0" borderId="21" xfId="0" applyNumberFormat="1" applyFont="1" applyBorder="1" applyAlignment="1">
      <alignment/>
    </xf>
    <xf numFmtId="3" fontId="36" fillId="0" borderId="21" xfId="0" applyNumberFormat="1" applyFont="1" applyBorder="1" applyAlignment="1">
      <alignment/>
    </xf>
    <xf numFmtId="0" fontId="40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left"/>
    </xf>
    <xf numFmtId="3" fontId="37" fillId="0" borderId="21" xfId="0" applyNumberFormat="1" applyFont="1" applyBorder="1" applyAlignment="1">
      <alignment/>
    </xf>
    <xf numFmtId="3" fontId="41" fillId="0" borderId="21" xfId="0" applyNumberFormat="1" applyFont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1" xfId="0" applyFont="1" applyFill="1" applyBorder="1" applyAlignment="1">
      <alignment horizontal="left"/>
    </xf>
    <xf numFmtId="0" fontId="16" fillId="0" borderId="21" xfId="0" applyFont="1" applyBorder="1" applyAlignment="1">
      <alignment/>
    </xf>
    <xf numFmtId="0" fontId="37" fillId="0" borderId="21" xfId="0" applyFont="1" applyBorder="1" applyAlignment="1">
      <alignment horizontal="left" vertical="center" wrapText="1"/>
    </xf>
    <xf numFmtId="3" fontId="37" fillId="32" borderId="21" xfId="0" applyNumberFormat="1" applyFont="1" applyFill="1" applyBorder="1" applyAlignment="1">
      <alignment/>
    </xf>
    <xf numFmtId="0" fontId="37" fillId="0" borderId="21" xfId="0" applyFont="1" applyBorder="1" applyAlignment="1">
      <alignment horizontal="left" vertical="top"/>
    </xf>
    <xf numFmtId="0" fontId="37" fillId="0" borderId="21" xfId="0" applyFont="1" applyBorder="1" applyAlignment="1">
      <alignment horizontal="left" wrapText="1"/>
    </xf>
    <xf numFmtId="3" fontId="37" fillId="0" borderId="30" xfId="0" applyNumberFormat="1" applyFont="1" applyFill="1" applyBorder="1" applyAlignment="1">
      <alignment/>
    </xf>
    <xf numFmtId="0" fontId="42" fillId="0" borderId="21" xfId="0" applyFont="1" applyBorder="1" applyAlignment="1">
      <alignment/>
    </xf>
    <xf numFmtId="3" fontId="42" fillId="0" borderId="21" xfId="0" applyNumberFormat="1" applyFont="1" applyBorder="1" applyAlignment="1">
      <alignment/>
    </xf>
    <xf numFmtId="3" fontId="43" fillId="0" borderId="21" xfId="0" applyNumberFormat="1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1" xfId="0" applyFont="1" applyBorder="1" applyAlignment="1">
      <alignment horizontal="right"/>
    </xf>
    <xf numFmtId="3" fontId="44" fillId="0" borderId="21" xfId="0" applyNumberFormat="1" applyFont="1" applyBorder="1" applyAlignment="1">
      <alignment/>
    </xf>
    <xf numFmtId="3" fontId="45" fillId="0" borderId="21" xfId="0" applyNumberFormat="1" applyFont="1" applyBorder="1" applyAlignment="1">
      <alignment/>
    </xf>
    <xf numFmtId="0" fontId="16" fillId="0" borderId="0" xfId="0" applyFont="1" applyAlignment="1">
      <alignment/>
    </xf>
    <xf numFmtId="3" fontId="14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9" fillId="0" borderId="0" xfId="0" applyFont="1" applyAlignment="1">
      <alignment/>
    </xf>
    <xf numFmtId="0" fontId="46" fillId="0" borderId="21" xfId="58" applyFont="1" applyBorder="1" applyAlignment="1">
      <alignment horizontal="left"/>
      <protection/>
    </xf>
    <xf numFmtId="49" fontId="31" fillId="0" borderId="0" xfId="60" applyNumberFormat="1" applyFont="1" applyFill="1" applyAlignment="1">
      <alignment horizontal="center" vertical="center"/>
      <protection/>
    </xf>
    <xf numFmtId="0" fontId="31" fillId="0" borderId="0" xfId="60" applyFont="1" applyFill="1" applyAlignment="1">
      <alignment vertical="center"/>
      <protection/>
    </xf>
    <xf numFmtId="0" fontId="47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horizontal="left" vertical="center"/>
      <protection/>
    </xf>
    <xf numFmtId="0" fontId="13" fillId="0" borderId="0" xfId="60" applyFont="1" applyAlignment="1">
      <alignment horizontal="left"/>
      <protection/>
    </xf>
    <xf numFmtId="0" fontId="14" fillId="0" borderId="0" xfId="60" applyFont="1" applyFill="1" applyAlignment="1">
      <alignment vertical="center"/>
      <protection/>
    </xf>
    <xf numFmtId="0" fontId="14" fillId="0" borderId="0" xfId="60" applyFont="1" applyFill="1" applyAlignment="1">
      <alignment horizontal="left" vertical="center"/>
      <protection/>
    </xf>
    <xf numFmtId="0" fontId="32" fillId="0" borderId="31" xfId="60" applyFont="1" applyFill="1" applyBorder="1" applyAlignment="1">
      <alignment horizontal="center" vertical="center"/>
      <protection/>
    </xf>
    <xf numFmtId="0" fontId="15" fillId="0" borderId="29" xfId="60" applyFont="1" applyFill="1" applyBorder="1" applyAlignment="1">
      <alignment horizontal="center" vertical="center" wrapText="1"/>
      <protection/>
    </xf>
    <xf numFmtId="0" fontId="15" fillId="0" borderId="18" xfId="60" applyFont="1" applyFill="1" applyBorder="1" applyAlignment="1">
      <alignment horizontal="center" vertical="center" wrapText="1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20" xfId="60" applyFont="1" applyFill="1" applyBorder="1" applyAlignment="1">
      <alignment horizontal="center" vertical="center" wrapText="1"/>
      <protection/>
    </xf>
    <xf numFmtId="49" fontId="31" fillId="0" borderId="33" xfId="60" applyNumberFormat="1" applyFont="1" applyFill="1" applyBorder="1" applyAlignment="1">
      <alignment horizontal="center" vertical="center"/>
      <protection/>
    </xf>
    <xf numFmtId="0" fontId="15" fillId="0" borderId="34" xfId="60" applyFont="1" applyFill="1" applyBorder="1" applyAlignment="1">
      <alignment vertical="center" wrapText="1"/>
      <protection/>
    </xf>
    <xf numFmtId="3" fontId="32" fillId="0" borderId="10" xfId="60" applyNumberFormat="1" applyFont="1" applyFill="1" applyBorder="1" applyAlignment="1">
      <alignment vertical="center" wrapText="1"/>
      <protection/>
    </xf>
    <xf numFmtId="3" fontId="32" fillId="0" borderId="35" xfId="60" applyNumberFormat="1" applyFont="1" applyFill="1" applyBorder="1" applyAlignment="1">
      <alignment vertical="center" wrapText="1"/>
      <protection/>
    </xf>
    <xf numFmtId="3" fontId="32" fillId="0" borderId="36" xfId="60" applyNumberFormat="1" applyFont="1" applyFill="1" applyBorder="1" applyAlignment="1">
      <alignment vertical="center" wrapText="1"/>
      <protection/>
    </xf>
    <xf numFmtId="3" fontId="32" fillId="0" borderId="23" xfId="60" applyNumberFormat="1" applyFont="1" applyFill="1" applyBorder="1" applyAlignment="1">
      <alignment vertical="center" wrapText="1"/>
      <protection/>
    </xf>
    <xf numFmtId="3" fontId="32" fillId="0" borderId="37" xfId="60" applyNumberFormat="1" applyFont="1" applyFill="1" applyBorder="1" applyAlignment="1">
      <alignment vertical="center" wrapText="1"/>
      <protection/>
    </xf>
    <xf numFmtId="3" fontId="31" fillId="0" borderId="37" xfId="60" applyNumberFormat="1" applyFont="1" applyFill="1" applyBorder="1" applyAlignment="1">
      <alignment vertical="center"/>
      <protection/>
    </xf>
    <xf numFmtId="3" fontId="31" fillId="0" borderId="36" xfId="60" applyNumberFormat="1" applyFont="1" applyFill="1" applyBorder="1" applyAlignment="1">
      <alignment vertical="center"/>
      <protection/>
    </xf>
    <xf numFmtId="3" fontId="15" fillId="0" borderId="38" xfId="60" applyNumberFormat="1" applyFont="1" applyFill="1" applyBorder="1" applyAlignment="1">
      <alignment vertical="center"/>
      <protection/>
    </xf>
    <xf numFmtId="49" fontId="31" fillId="0" borderId="35" xfId="60" applyNumberFormat="1" applyFont="1" applyFill="1" applyBorder="1" applyAlignment="1">
      <alignment horizontal="center" vertical="center"/>
      <protection/>
    </xf>
    <xf numFmtId="3" fontId="32" fillId="0" borderId="39" xfId="60" applyNumberFormat="1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vertical="center" wrapText="1"/>
      <protection/>
    </xf>
    <xf numFmtId="49" fontId="31" fillId="0" borderId="28" xfId="60" applyNumberFormat="1" applyFont="1" applyFill="1" applyBorder="1" applyAlignment="1">
      <alignment horizontal="center" vertical="center"/>
      <protection/>
    </xf>
    <xf numFmtId="3" fontId="32" fillId="0" borderId="28" xfId="60" applyNumberFormat="1" applyFont="1" applyFill="1" applyBorder="1" applyAlignment="1">
      <alignment vertical="center" wrapText="1"/>
      <protection/>
    </xf>
    <xf numFmtId="3" fontId="32" fillId="0" borderId="21" xfId="60" applyNumberFormat="1" applyFont="1" applyFill="1" applyBorder="1" applyAlignment="1">
      <alignment vertical="center" wrapText="1"/>
      <protection/>
    </xf>
    <xf numFmtId="3" fontId="32" fillId="0" borderId="17" xfId="60" applyNumberFormat="1" applyFont="1" applyFill="1" applyBorder="1" applyAlignment="1">
      <alignment vertical="center" wrapText="1"/>
      <protection/>
    </xf>
    <xf numFmtId="3" fontId="31" fillId="0" borderId="17" xfId="60" applyNumberFormat="1" applyFont="1" applyFill="1" applyBorder="1" applyAlignment="1">
      <alignment vertical="center"/>
      <protection/>
    </xf>
    <xf numFmtId="3" fontId="31" fillId="0" borderId="21" xfId="60" applyNumberFormat="1" applyFont="1" applyFill="1" applyBorder="1" applyAlignment="1">
      <alignment vertical="center"/>
      <protection/>
    </xf>
    <xf numFmtId="0" fontId="15" fillId="0" borderId="15" xfId="60" applyFont="1" applyFill="1" applyBorder="1" applyAlignment="1">
      <alignment vertical="center" wrapText="1"/>
      <protection/>
    </xf>
    <xf numFmtId="3" fontId="32" fillId="0" borderId="23" xfId="60" applyNumberFormat="1" applyFont="1" applyFill="1" applyBorder="1" applyAlignment="1">
      <alignment vertical="center"/>
      <protection/>
    </xf>
    <xf numFmtId="3" fontId="32" fillId="0" borderId="17" xfId="60" applyNumberFormat="1" applyFont="1" applyFill="1" applyBorder="1" applyAlignment="1">
      <alignment horizontal="right" vertical="center" wrapText="1"/>
      <protection/>
    </xf>
    <xf numFmtId="3" fontId="32" fillId="0" borderId="23" xfId="60" applyNumberFormat="1" applyFont="1" applyFill="1" applyBorder="1" applyAlignment="1">
      <alignment horizontal="left" vertical="center" wrapText="1"/>
      <protection/>
    </xf>
    <xf numFmtId="3" fontId="32" fillId="0" borderId="28" xfId="60" applyNumberFormat="1" applyFont="1" applyFill="1" applyBorder="1" applyAlignment="1">
      <alignment vertical="center"/>
      <protection/>
    </xf>
    <xf numFmtId="3" fontId="32" fillId="0" borderId="21" xfId="60" applyNumberFormat="1" applyFont="1" applyFill="1" applyBorder="1" applyAlignment="1">
      <alignment vertical="center"/>
      <protection/>
    </xf>
    <xf numFmtId="3" fontId="32" fillId="0" borderId="17" xfId="60" applyNumberFormat="1" applyFont="1" applyFill="1" applyBorder="1" applyAlignment="1">
      <alignment vertical="center"/>
      <protection/>
    </xf>
    <xf numFmtId="3" fontId="32" fillId="32" borderId="39" xfId="60" applyNumberFormat="1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horizontal="left" vertical="center" wrapText="1"/>
      <protection/>
    </xf>
    <xf numFmtId="3" fontId="48" fillId="0" borderId="21" xfId="60" applyNumberFormat="1" applyFont="1" applyFill="1" applyBorder="1" applyAlignment="1">
      <alignment vertical="center"/>
      <protection/>
    </xf>
    <xf numFmtId="3" fontId="46" fillId="0" borderId="17" xfId="60" applyNumberFormat="1" applyFont="1" applyFill="1" applyBorder="1" applyAlignment="1">
      <alignment vertical="center"/>
      <protection/>
    </xf>
    <xf numFmtId="3" fontId="48" fillId="0" borderId="17" xfId="60" applyNumberFormat="1" applyFont="1" applyFill="1" applyBorder="1" applyAlignment="1">
      <alignment vertical="center"/>
      <protection/>
    </xf>
    <xf numFmtId="3" fontId="32" fillId="0" borderId="33" xfId="60" applyNumberFormat="1" applyFont="1" applyFill="1" applyBorder="1" applyAlignment="1">
      <alignment vertical="center" wrapText="1"/>
      <protection/>
    </xf>
    <xf numFmtId="3" fontId="32" fillId="0" borderId="34" xfId="60" applyNumberFormat="1" applyFont="1" applyFill="1" applyBorder="1" applyAlignment="1">
      <alignment vertical="center" wrapText="1"/>
      <protection/>
    </xf>
    <xf numFmtId="0" fontId="15" fillId="0" borderId="21" xfId="60" applyFont="1" applyFill="1" applyBorder="1" applyAlignment="1">
      <alignment vertical="center" wrapText="1"/>
      <protection/>
    </xf>
    <xf numFmtId="3" fontId="32" fillId="0" borderId="11" xfId="60" applyNumberFormat="1" applyFont="1" applyFill="1" applyBorder="1" applyAlignment="1">
      <alignment vertical="center" wrapText="1"/>
      <protection/>
    </xf>
    <xf numFmtId="3" fontId="32" fillId="0" borderId="40" xfId="60" applyNumberFormat="1" applyFont="1" applyFill="1" applyBorder="1" applyAlignment="1">
      <alignment vertical="center" wrapText="1"/>
      <protection/>
    </xf>
    <xf numFmtId="0" fontId="15" fillId="0" borderId="41" xfId="60" applyFont="1" applyFill="1" applyBorder="1" applyAlignment="1">
      <alignment vertical="center" wrapText="1"/>
      <protection/>
    </xf>
    <xf numFmtId="3" fontId="32" fillId="0" borderId="42" xfId="60" applyNumberFormat="1" applyFont="1" applyFill="1" applyBorder="1" applyAlignment="1">
      <alignment vertical="center" wrapText="1"/>
      <protection/>
    </xf>
    <xf numFmtId="3" fontId="32" fillId="0" borderId="41" xfId="60" applyNumberFormat="1" applyFont="1" applyFill="1" applyBorder="1" applyAlignment="1">
      <alignment vertical="center" wrapText="1"/>
      <protection/>
    </xf>
    <xf numFmtId="3" fontId="49" fillId="0" borderId="25" xfId="60" applyNumberFormat="1" applyFont="1" applyFill="1" applyBorder="1" applyAlignment="1">
      <alignment vertical="center"/>
      <protection/>
    </xf>
    <xf numFmtId="3" fontId="49" fillId="0" borderId="31" xfId="60" applyNumberFormat="1" applyFont="1" applyFill="1" applyBorder="1" applyAlignment="1">
      <alignment vertical="center"/>
      <protection/>
    </xf>
    <xf numFmtId="3" fontId="49" fillId="0" borderId="43" xfId="60" applyNumberFormat="1" applyFont="1" applyFill="1" applyBorder="1" applyAlignment="1">
      <alignment vertical="center"/>
      <protection/>
    </xf>
    <xf numFmtId="166" fontId="3" fillId="0" borderId="23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3" fillId="0" borderId="44" xfId="0" applyNumberFormat="1" applyFont="1" applyFill="1" applyBorder="1" applyAlignment="1">
      <alignment vertical="center"/>
    </xf>
    <xf numFmtId="166" fontId="4" fillId="0" borderId="39" xfId="0" applyNumberFormat="1" applyFont="1" applyFill="1" applyBorder="1" applyAlignment="1">
      <alignment horizontal="right" vertical="center"/>
    </xf>
    <xf numFmtId="166" fontId="3" fillId="0" borderId="45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vertical="center"/>
    </xf>
    <xf numFmtId="3" fontId="32" fillId="0" borderId="40" xfId="60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/>
    </xf>
    <xf numFmtId="0" fontId="13" fillId="0" borderId="46" xfId="0" applyFont="1" applyBorder="1" applyAlignment="1">
      <alignment/>
    </xf>
    <xf numFmtId="0" fontId="14" fillId="0" borderId="47" xfId="59" applyFont="1" applyBorder="1" applyAlignment="1">
      <alignment horizontal="center"/>
      <protection/>
    </xf>
    <xf numFmtId="0" fontId="14" fillId="0" borderId="48" xfId="60" applyFont="1" applyFill="1" applyBorder="1" applyAlignment="1">
      <alignment horizontal="center" vertical="center" wrapText="1"/>
      <protection/>
    </xf>
    <xf numFmtId="0" fontId="16" fillId="0" borderId="49" xfId="59" applyFont="1" applyBorder="1">
      <alignment/>
      <protection/>
    </xf>
    <xf numFmtId="0" fontId="16" fillId="0" borderId="0" xfId="59" applyFont="1" applyBorder="1">
      <alignment/>
      <protection/>
    </xf>
    <xf numFmtId="0" fontId="16" fillId="0" borderId="50" xfId="59" applyFont="1" applyBorder="1">
      <alignment/>
      <protection/>
    </xf>
    <xf numFmtId="0" fontId="16" fillId="0" borderId="51" xfId="59" applyFont="1" applyBorder="1">
      <alignment/>
      <protection/>
    </xf>
    <xf numFmtId="0" fontId="16" fillId="0" borderId="52" xfId="59" applyFont="1" applyBorder="1">
      <alignment/>
      <protection/>
    </xf>
    <xf numFmtId="3" fontId="16" fillId="0" borderId="0" xfId="59" applyNumberFormat="1" applyFont="1" applyBorder="1">
      <alignment/>
      <protection/>
    </xf>
    <xf numFmtId="3" fontId="16" fillId="0" borderId="53" xfId="59" applyNumberFormat="1" applyFont="1" applyBorder="1">
      <alignment/>
      <protection/>
    </xf>
    <xf numFmtId="0" fontId="16" fillId="0" borderId="0" xfId="59" applyFont="1" applyBorder="1" applyAlignment="1">
      <alignment horizontal="left"/>
      <protection/>
    </xf>
    <xf numFmtId="3" fontId="10" fillId="0" borderId="54" xfId="59" applyNumberFormat="1" applyFont="1" applyBorder="1" applyAlignment="1">
      <alignment horizontal="right" vertical="center"/>
      <protection/>
    </xf>
    <xf numFmtId="3" fontId="10" fillId="0" borderId="30" xfId="59" applyNumberFormat="1" applyFont="1" applyBorder="1" applyAlignment="1">
      <alignment horizontal="right" vertical="center"/>
      <protection/>
    </xf>
    <xf numFmtId="3" fontId="10" fillId="0" borderId="0" xfId="59" applyNumberFormat="1" applyFont="1" applyBorder="1" applyAlignment="1">
      <alignment horizontal="right" vertical="center"/>
      <protection/>
    </xf>
    <xf numFmtId="0" fontId="10" fillId="0" borderId="54" xfId="60" applyFont="1" applyFill="1" applyBorder="1" applyAlignment="1">
      <alignment horizontal="center" vertical="center" wrapText="1"/>
      <protection/>
    </xf>
    <xf numFmtId="0" fontId="10" fillId="0" borderId="30" xfId="60" applyFont="1" applyFill="1" applyBorder="1" applyAlignment="1">
      <alignment horizontal="center" vertical="center" wrapText="1"/>
      <protection/>
    </xf>
    <xf numFmtId="0" fontId="10" fillId="0" borderId="55" xfId="60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3" fontId="10" fillId="0" borderId="49" xfId="59" applyNumberFormat="1" applyFont="1" applyBorder="1" applyAlignment="1">
      <alignment horizontal="right" vertical="center"/>
      <protection/>
    </xf>
    <xf numFmtId="3" fontId="16" fillId="0" borderId="56" xfId="59" applyNumberFormat="1" applyFont="1" applyBorder="1">
      <alignment/>
      <protection/>
    </xf>
    <xf numFmtId="0" fontId="16" fillId="0" borderId="30" xfId="59" applyFont="1" applyBorder="1">
      <alignment/>
      <protection/>
    </xf>
    <xf numFmtId="0" fontId="49" fillId="0" borderId="52" xfId="59" applyFont="1" applyBorder="1" applyAlignment="1">
      <alignment horizontal="right" vertical="center"/>
      <protection/>
    </xf>
    <xf numFmtId="0" fontId="17" fillId="0" borderId="49" xfId="59" applyFont="1" applyBorder="1" applyAlignment="1">
      <alignment horizontal="right"/>
      <protection/>
    </xf>
    <xf numFmtId="0" fontId="17" fillId="0" borderId="0" xfId="59" applyFont="1" applyBorder="1" applyAlignment="1">
      <alignment horizontal="right"/>
      <protection/>
    </xf>
    <xf numFmtId="0" fontId="17" fillId="0" borderId="51" xfId="59" applyFont="1" applyBorder="1" applyAlignment="1">
      <alignment horizontal="right"/>
      <protection/>
    </xf>
    <xf numFmtId="3" fontId="14" fillId="0" borderId="51" xfId="59" applyNumberFormat="1" applyFont="1" applyBorder="1" applyAlignment="1">
      <alignment horizontal="right"/>
      <protection/>
    </xf>
    <xf numFmtId="3" fontId="14" fillId="0" borderId="0" xfId="59" applyNumberFormat="1" applyFont="1" applyBorder="1">
      <alignment/>
      <protection/>
    </xf>
    <xf numFmtId="3" fontId="14" fillId="0" borderId="52" xfId="59" applyNumberFormat="1" applyFont="1" applyBorder="1">
      <alignment/>
      <protection/>
    </xf>
    <xf numFmtId="3" fontId="49" fillId="0" borderId="49" xfId="59" applyNumberFormat="1" applyFont="1" applyBorder="1" applyAlignment="1">
      <alignment horizontal="right" vertical="center"/>
      <protection/>
    </xf>
    <xf numFmtId="3" fontId="49" fillId="0" borderId="30" xfId="59" applyNumberFormat="1" applyFont="1" applyBorder="1" applyAlignment="1">
      <alignment horizontal="right" vertical="center"/>
      <protection/>
    </xf>
    <xf numFmtId="3" fontId="16" fillId="0" borderId="49" xfId="59" applyNumberFormat="1" applyFont="1" applyBorder="1">
      <alignment/>
      <protection/>
    </xf>
    <xf numFmtId="3" fontId="16" fillId="0" borderId="30" xfId="59" applyNumberFormat="1" applyFont="1" applyBorder="1">
      <alignment/>
      <protection/>
    </xf>
    <xf numFmtId="3" fontId="49" fillId="0" borderId="52" xfId="59" applyNumberFormat="1" applyFont="1" applyBorder="1" applyAlignment="1">
      <alignment horizontal="right" vertical="center"/>
      <protection/>
    </xf>
    <xf numFmtId="0" fontId="16" fillId="0" borderId="49" xfId="59" applyFont="1" applyBorder="1" applyAlignment="1">
      <alignment horizontal="right"/>
      <protection/>
    </xf>
    <xf numFmtId="0" fontId="16" fillId="0" borderId="0" xfId="59" applyFont="1" applyBorder="1" applyAlignment="1">
      <alignment horizontal="right"/>
      <protection/>
    </xf>
    <xf numFmtId="0" fontId="16" fillId="0" borderId="51" xfId="59" applyFont="1" applyBorder="1" applyAlignment="1">
      <alignment horizontal="right"/>
      <protection/>
    </xf>
    <xf numFmtId="0" fontId="49" fillId="0" borderId="52" xfId="59" applyFont="1" applyBorder="1">
      <alignment/>
      <protection/>
    </xf>
    <xf numFmtId="3" fontId="16" fillId="0" borderId="57" xfId="59" applyNumberFormat="1" applyFont="1" applyBorder="1">
      <alignment/>
      <protection/>
    </xf>
    <xf numFmtId="3" fontId="49" fillId="0" borderId="49" xfId="59" applyNumberFormat="1" applyFont="1" applyBorder="1">
      <alignment/>
      <protection/>
    </xf>
    <xf numFmtId="3" fontId="49" fillId="0" borderId="30" xfId="59" applyNumberFormat="1" applyFont="1" applyBorder="1">
      <alignment/>
      <protection/>
    </xf>
    <xf numFmtId="3" fontId="49" fillId="0" borderId="56" xfId="59" applyNumberFormat="1" applyFont="1" applyBorder="1">
      <alignment/>
      <protection/>
    </xf>
    <xf numFmtId="3" fontId="49" fillId="0" borderId="52" xfId="59" applyNumberFormat="1" applyFont="1" applyBorder="1">
      <alignment/>
      <protection/>
    </xf>
    <xf numFmtId="0" fontId="13" fillId="0" borderId="49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13" fillId="0" borderId="51" xfId="59" applyFont="1" applyBorder="1" applyAlignment="1">
      <alignment horizontal="right"/>
      <protection/>
    </xf>
    <xf numFmtId="0" fontId="13" fillId="0" borderId="0" xfId="59" applyFont="1" applyBorder="1">
      <alignment/>
      <protection/>
    </xf>
    <xf numFmtId="0" fontId="13" fillId="0" borderId="52" xfId="59" applyFont="1" applyBorder="1">
      <alignment/>
      <protection/>
    </xf>
    <xf numFmtId="3" fontId="50" fillId="0" borderId="0" xfId="59" applyNumberFormat="1" applyFont="1" applyBorder="1">
      <alignment/>
      <protection/>
    </xf>
    <xf numFmtId="0" fontId="50" fillId="0" borderId="49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3" fontId="16" fillId="0" borderId="58" xfId="59" applyNumberFormat="1" applyFont="1" applyBorder="1">
      <alignment/>
      <protection/>
    </xf>
    <xf numFmtId="0" fontId="50" fillId="0" borderId="0" xfId="59" applyFont="1" applyBorder="1">
      <alignment/>
      <protection/>
    </xf>
    <xf numFmtId="0" fontId="13" fillId="0" borderId="46" xfId="59" applyFont="1" applyBorder="1" applyAlignment="1">
      <alignment horizontal="right"/>
      <protection/>
    </xf>
    <xf numFmtId="0" fontId="13" fillId="0" borderId="59" xfId="59" applyFont="1" applyBorder="1" applyAlignment="1">
      <alignment horizontal="right"/>
      <protection/>
    </xf>
    <xf numFmtId="0" fontId="13" fillId="0" borderId="46" xfId="59" applyFont="1" applyBorder="1">
      <alignment/>
      <protection/>
    </xf>
    <xf numFmtId="0" fontId="13" fillId="0" borderId="60" xfId="59" applyFont="1" applyBorder="1">
      <alignment/>
      <protection/>
    </xf>
    <xf numFmtId="0" fontId="16" fillId="0" borderId="46" xfId="59" applyFont="1" applyBorder="1" applyAlignment="1">
      <alignment horizontal="left"/>
      <protection/>
    </xf>
    <xf numFmtId="0" fontId="50" fillId="0" borderId="61" xfId="59" applyFont="1" applyBorder="1" applyAlignment="1">
      <alignment horizontal="left"/>
      <protection/>
    </xf>
    <xf numFmtId="0" fontId="50" fillId="0" borderId="46" xfId="59" applyFont="1" applyBorder="1" applyAlignment="1">
      <alignment horizontal="left"/>
      <protection/>
    </xf>
    <xf numFmtId="3" fontId="50" fillId="0" borderId="46" xfId="59" applyNumberFormat="1" applyFont="1" applyFill="1" applyBorder="1">
      <alignment/>
      <protection/>
    </xf>
    <xf numFmtId="3" fontId="10" fillId="0" borderId="61" xfId="59" applyNumberFormat="1" applyFont="1" applyBorder="1" applyAlignment="1">
      <alignment horizontal="right" vertical="center"/>
      <protection/>
    </xf>
    <xf numFmtId="3" fontId="49" fillId="0" borderId="62" xfId="59" applyNumberFormat="1" applyFont="1" applyBorder="1" applyAlignment="1">
      <alignment horizontal="right" vertical="center"/>
      <protection/>
    </xf>
    <xf numFmtId="3" fontId="49" fillId="0" borderId="63" xfId="59" applyNumberFormat="1" applyFont="1" applyBorder="1" applyAlignment="1">
      <alignment horizontal="right" vertical="center"/>
      <protection/>
    </xf>
    <xf numFmtId="3" fontId="16" fillId="0" borderId="64" xfId="59" applyNumberFormat="1" applyFont="1" applyBorder="1">
      <alignment/>
      <protection/>
    </xf>
    <xf numFmtId="3" fontId="16" fillId="0" borderId="62" xfId="59" applyNumberFormat="1" applyFont="1" applyBorder="1">
      <alignment/>
      <protection/>
    </xf>
    <xf numFmtId="3" fontId="16" fillId="0" borderId="63" xfId="59" applyNumberFormat="1" applyFont="1" applyBorder="1">
      <alignment/>
      <protection/>
    </xf>
    <xf numFmtId="3" fontId="49" fillId="0" borderId="60" xfId="59" applyNumberFormat="1" applyFont="1" applyBorder="1" applyAlignment="1">
      <alignment horizontal="right" vertical="center"/>
      <protection/>
    </xf>
    <xf numFmtId="3" fontId="49" fillId="0" borderId="65" xfId="59" applyNumberFormat="1" applyFont="1" applyBorder="1" applyAlignment="1">
      <alignment horizontal="right" vertical="center"/>
      <protection/>
    </xf>
    <xf numFmtId="0" fontId="13" fillId="0" borderId="66" xfId="59" applyFont="1" applyBorder="1">
      <alignment/>
      <protection/>
    </xf>
    <xf numFmtId="0" fontId="13" fillId="0" borderId="51" xfId="59" applyFont="1" applyBorder="1">
      <alignment/>
      <protection/>
    </xf>
    <xf numFmtId="0" fontId="13" fillId="0" borderId="30" xfId="59" applyFont="1" applyBorder="1">
      <alignment/>
      <protection/>
    </xf>
    <xf numFmtId="3" fontId="50" fillId="0" borderId="57" xfId="59" applyNumberFormat="1" applyFont="1" applyBorder="1" applyAlignment="1">
      <alignment/>
      <protection/>
    </xf>
    <xf numFmtId="0" fontId="13" fillId="0" borderId="67" xfId="59" applyFont="1" applyBorder="1">
      <alignment/>
      <protection/>
    </xf>
    <xf numFmtId="0" fontId="13" fillId="0" borderId="63" xfId="59" applyFont="1" applyBorder="1">
      <alignment/>
      <protection/>
    </xf>
    <xf numFmtId="0" fontId="13" fillId="0" borderId="68" xfId="59" applyFont="1" applyBorder="1">
      <alignment/>
      <protection/>
    </xf>
    <xf numFmtId="3" fontId="14" fillId="0" borderId="30" xfId="59" applyNumberFormat="1" applyFont="1" applyBorder="1" applyAlignment="1">
      <alignment horizontal="right"/>
      <protection/>
    </xf>
    <xf numFmtId="0" fontId="16" fillId="0" borderId="49" xfId="59" applyFont="1" applyBorder="1" applyAlignment="1">
      <alignment horizontal="left"/>
      <protection/>
    </xf>
    <xf numFmtId="3" fontId="49" fillId="0" borderId="69" xfId="59" applyNumberFormat="1" applyFont="1" applyBorder="1" applyAlignment="1">
      <alignment horizontal="right"/>
      <protection/>
    </xf>
    <xf numFmtId="3" fontId="49" fillId="0" borderId="49" xfId="59" applyNumberFormat="1" applyFont="1" applyBorder="1" applyAlignment="1">
      <alignment horizontal="right"/>
      <protection/>
    </xf>
    <xf numFmtId="0" fontId="13" fillId="0" borderId="70" xfId="0" applyFont="1" applyBorder="1" applyAlignment="1">
      <alignment/>
    </xf>
    <xf numFmtId="0" fontId="10" fillId="0" borderId="0" xfId="59" applyFont="1" applyBorder="1" applyAlignment="1">
      <alignment horizontal="right" vertical="center"/>
      <protection/>
    </xf>
    <xf numFmtId="0" fontId="10" fillId="0" borderId="71" xfId="59" applyFont="1" applyBorder="1" applyAlignment="1">
      <alignment horizontal="right" vertical="center"/>
      <protection/>
    </xf>
    <xf numFmtId="0" fontId="16" fillId="0" borderId="56" xfId="59" applyFont="1" applyBorder="1">
      <alignment/>
      <protection/>
    </xf>
    <xf numFmtId="0" fontId="13" fillId="0" borderId="49" xfId="59" applyFont="1" applyBorder="1">
      <alignment/>
      <protection/>
    </xf>
    <xf numFmtId="0" fontId="13" fillId="0" borderId="30" xfId="59" applyFont="1" applyBorder="1" applyAlignment="1">
      <alignment horizontal="right"/>
      <protection/>
    </xf>
    <xf numFmtId="3" fontId="49" fillId="0" borderId="0" xfId="59" applyNumberFormat="1" applyFont="1" applyBorder="1" applyAlignment="1">
      <alignment horizontal="right" vertical="center"/>
      <protection/>
    </xf>
    <xf numFmtId="3" fontId="13" fillId="0" borderId="0" xfId="59" applyNumberFormat="1" applyFont="1" applyBorder="1">
      <alignment/>
      <protection/>
    </xf>
    <xf numFmtId="0" fontId="13" fillId="0" borderId="72" xfId="59" applyFont="1" applyBorder="1">
      <alignment/>
      <protection/>
    </xf>
    <xf numFmtId="0" fontId="13" fillId="0" borderId="73" xfId="59" applyFont="1" applyBorder="1" applyAlignment="1">
      <alignment horizontal="right"/>
      <protection/>
    </xf>
    <xf numFmtId="0" fontId="13" fillId="0" borderId="74" xfId="59" applyFont="1" applyBorder="1" applyAlignment="1">
      <alignment horizontal="right"/>
      <protection/>
    </xf>
    <xf numFmtId="0" fontId="13" fillId="0" borderId="73" xfId="59" applyFont="1" applyBorder="1">
      <alignment/>
      <protection/>
    </xf>
    <xf numFmtId="0" fontId="13" fillId="0" borderId="65" xfId="59" applyFont="1" applyBorder="1">
      <alignment/>
      <protection/>
    </xf>
    <xf numFmtId="0" fontId="13" fillId="0" borderId="73" xfId="59" applyFont="1" applyBorder="1" applyAlignment="1">
      <alignment/>
      <protection/>
    </xf>
    <xf numFmtId="0" fontId="10" fillId="0" borderId="75" xfId="59" applyFont="1" applyBorder="1" applyAlignment="1">
      <alignment horizontal="right"/>
      <protection/>
    </xf>
    <xf numFmtId="0" fontId="13" fillId="0" borderId="76" xfId="59" applyFont="1" applyBorder="1">
      <alignment/>
      <protection/>
    </xf>
    <xf numFmtId="3" fontId="10" fillId="0" borderId="77" xfId="59" applyNumberFormat="1" applyFont="1" applyBorder="1" applyAlignment="1">
      <alignment horizontal="right"/>
      <protection/>
    </xf>
    <xf numFmtId="0" fontId="10" fillId="0" borderId="73" xfId="59" applyFont="1" applyBorder="1" applyAlignment="1">
      <alignment horizontal="right"/>
      <protection/>
    </xf>
    <xf numFmtId="0" fontId="10" fillId="0" borderId="74" xfId="59" applyFont="1" applyBorder="1" applyAlignment="1">
      <alignment horizontal="right"/>
      <protection/>
    </xf>
    <xf numFmtId="0" fontId="13" fillId="0" borderId="78" xfId="59" applyFont="1" applyBorder="1">
      <alignment/>
      <protection/>
    </xf>
    <xf numFmtId="0" fontId="13" fillId="0" borderId="74" xfId="59" applyFont="1" applyBorder="1">
      <alignment/>
      <protection/>
    </xf>
    <xf numFmtId="0" fontId="49" fillId="0" borderId="79" xfId="59" applyFont="1" applyBorder="1" applyAlignment="1">
      <alignment horizontal="right" vertical="center"/>
      <protection/>
    </xf>
    <xf numFmtId="0" fontId="13" fillId="0" borderId="0" xfId="59" applyFont="1">
      <alignment/>
      <protection/>
    </xf>
    <xf numFmtId="0" fontId="13" fillId="0" borderId="56" xfId="59" applyFont="1" applyBorder="1">
      <alignment/>
      <protection/>
    </xf>
    <xf numFmtId="3" fontId="49" fillId="0" borderId="0" xfId="59" applyNumberFormat="1" applyFont="1" applyBorder="1">
      <alignment/>
      <protection/>
    </xf>
    <xf numFmtId="3" fontId="49" fillId="0" borderId="69" xfId="59" applyNumberFormat="1" applyFont="1" applyBorder="1">
      <alignment/>
      <protection/>
    </xf>
    <xf numFmtId="0" fontId="13" fillId="0" borderId="0" xfId="0" applyFont="1" applyBorder="1" applyAlignment="1">
      <alignment horizontal="right"/>
    </xf>
    <xf numFmtId="0" fontId="13" fillId="0" borderId="57" xfId="59" applyFont="1" applyBorder="1">
      <alignment/>
      <protection/>
    </xf>
    <xf numFmtId="0" fontId="17" fillId="0" borderId="54" xfId="59" applyFont="1" applyBorder="1" applyAlignment="1">
      <alignment horizontal="right"/>
      <protection/>
    </xf>
    <xf numFmtId="0" fontId="13" fillId="0" borderId="53" xfId="0" applyFont="1" applyBorder="1" applyAlignment="1">
      <alignment horizontal="right"/>
    </xf>
    <xf numFmtId="3" fontId="14" fillId="0" borderId="71" xfId="59" applyNumberFormat="1" applyFont="1" applyBorder="1" applyAlignment="1">
      <alignment horizontal="right"/>
      <protection/>
    </xf>
    <xf numFmtId="3" fontId="14" fillId="0" borderId="53" xfId="59" applyNumberFormat="1" applyFont="1" applyBorder="1">
      <alignment/>
      <protection/>
    </xf>
    <xf numFmtId="3" fontId="14" fillId="0" borderId="55" xfId="59" applyNumberFormat="1" applyFont="1" applyBorder="1">
      <alignment/>
      <protection/>
    </xf>
    <xf numFmtId="3" fontId="16" fillId="0" borderId="58" xfId="59" applyNumberFormat="1" applyFont="1" applyBorder="1" applyAlignment="1">
      <alignment/>
      <protection/>
    </xf>
    <xf numFmtId="0" fontId="13" fillId="0" borderId="58" xfId="59" applyFont="1" applyBorder="1">
      <alignment/>
      <protection/>
    </xf>
    <xf numFmtId="3" fontId="49" fillId="0" borderId="54" xfId="59" applyNumberFormat="1" applyFont="1" applyBorder="1" applyAlignment="1">
      <alignment horizontal="right" vertical="center"/>
      <protection/>
    </xf>
    <xf numFmtId="3" fontId="49" fillId="0" borderId="71" xfId="59" applyNumberFormat="1" applyFont="1" applyBorder="1" applyAlignment="1">
      <alignment horizontal="right" vertical="center"/>
      <protection/>
    </xf>
    <xf numFmtId="3" fontId="49" fillId="0" borderId="80" xfId="59" applyNumberFormat="1" applyFont="1" applyBorder="1">
      <alignment/>
      <protection/>
    </xf>
    <xf numFmtId="3" fontId="49" fillId="0" borderId="54" xfId="59" applyNumberFormat="1" applyFont="1" applyBorder="1">
      <alignment/>
      <protection/>
    </xf>
    <xf numFmtId="3" fontId="49" fillId="0" borderId="71" xfId="59" applyNumberFormat="1" applyFont="1" applyBorder="1">
      <alignment/>
      <protection/>
    </xf>
    <xf numFmtId="3" fontId="49" fillId="0" borderId="55" xfId="59" applyNumberFormat="1" applyFont="1" applyBorder="1" applyAlignment="1">
      <alignment horizontal="right" vertical="center"/>
      <protection/>
    </xf>
    <xf numFmtId="3" fontId="50" fillId="0" borderId="0" xfId="59" applyNumberFormat="1" applyFont="1" applyBorder="1" applyAlignment="1">
      <alignment/>
      <protection/>
    </xf>
    <xf numFmtId="3" fontId="35" fillId="0" borderId="81" xfId="59" applyNumberFormat="1" applyFont="1" applyBorder="1" applyAlignment="1">
      <alignment horizontal="center"/>
      <protection/>
    </xf>
    <xf numFmtId="3" fontId="35" fillId="0" borderId="82" xfId="59" applyNumberFormat="1" applyFont="1" applyBorder="1">
      <alignment/>
      <protection/>
    </xf>
    <xf numFmtId="0" fontId="16" fillId="0" borderId="83" xfId="59" applyFont="1" applyBorder="1" applyAlignment="1">
      <alignment horizontal="left"/>
      <protection/>
    </xf>
    <xf numFmtId="0" fontId="13" fillId="0" borderId="83" xfId="59" applyFont="1" applyBorder="1">
      <alignment/>
      <protection/>
    </xf>
    <xf numFmtId="3" fontId="10" fillId="0" borderId="84" xfId="59" applyNumberFormat="1" applyFont="1" applyBorder="1">
      <alignment/>
      <protection/>
    </xf>
    <xf numFmtId="0" fontId="13" fillId="0" borderId="70" xfId="59" applyFont="1" applyBorder="1">
      <alignment/>
      <protection/>
    </xf>
    <xf numFmtId="3" fontId="35" fillId="0" borderId="81" xfId="59" applyNumberFormat="1" applyFont="1" applyBorder="1">
      <alignment/>
      <protection/>
    </xf>
    <xf numFmtId="3" fontId="35" fillId="0" borderId="85" xfId="59" applyNumberFormat="1" applyFont="1" applyBorder="1">
      <alignment/>
      <protection/>
    </xf>
    <xf numFmtId="0" fontId="16" fillId="0" borderId="46" xfId="59" applyFont="1" applyBorder="1">
      <alignment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 applyAlignment="1">
      <alignment horizontal="right"/>
      <protection/>
    </xf>
    <xf numFmtId="0" fontId="9" fillId="0" borderId="0" xfId="59" applyFont="1">
      <alignment/>
      <protection/>
    </xf>
    <xf numFmtId="0" fontId="14" fillId="0" borderId="0" xfId="59" applyFont="1" applyAlignment="1">
      <alignment horizontal="left"/>
      <protection/>
    </xf>
    <xf numFmtId="3" fontId="13" fillId="0" borderId="0" xfId="59" applyNumberFormat="1" applyFont="1">
      <alignment/>
      <protection/>
    </xf>
    <xf numFmtId="0" fontId="16" fillId="0" borderId="0" xfId="59" applyFont="1" applyFill="1" applyBorder="1">
      <alignment/>
      <protection/>
    </xf>
    <xf numFmtId="0" fontId="31" fillId="0" borderId="26" xfId="59" applyFont="1" applyBorder="1">
      <alignment/>
      <protection/>
    </xf>
    <xf numFmtId="3" fontId="13" fillId="0" borderId="26" xfId="59" applyNumberFormat="1" applyFont="1" applyBorder="1">
      <alignment/>
      <protection/>
    </xf>
    <xf numFmtId="0" fontId="13" fillId="0" borderId="26" xfId="59" applyFont="1" applyBorder="1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/>
      <protection/>
    </xf>
    <xf numFmtId="0" fontId="13" fillId="0" borderId="0" xfId="0" applyFont="1" applyAlignment="1">
      <alignment horizontal="left"/>
    </xf>
    <xf numFmtId="0" fontId="14" fillId="0" borderId="0" xfId="59" applyFont="1">
      <alignment/>
      <protection/>
    </xf>
    <xf numFmtId="3" fontId="14" fillId="0" borderId="0" xfId="59" applyNumberFormat="1" applyFont="1">
      <alignment/>
      <protection/>
    </xf>
    <xf numFmtId="0" fontId="14" fillId="0" borderId="86" xfId="59" applyFont="1" applyBorder="1" applyAlignment="1">
      <alignment horizontal="center"/>
      <protection/>
    </xf>
    <xf numFmtId="0" fontId="14" fillId="0" borderId="87" xfId="59" applyFont="1" applyBorder="1" applyAlignment="1">
      <alignment horizontal="center" vertical="center"/>
      <protection/>
    </xf>
    <xf numFmtId="0" fontId="14" fillId="0" borderId="86" xfId="59" applyFont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16" fillId="0" borderId="66" xfId="59" applyFont="1" applyBorder="1" applyAlignment="1">
      <alignment horizontal="left" wrapText="1"/>
      <protection/>
    </xf>
    <xf numFmtId="0" fontId="50" fillId="0" borderId="66" xfId="59" applyFont="1" applyBorder="1" applyAlignment="1">
      <alignment horizontal="left" wrapText="1"/>
      <protection/>
    </xf>
    <xf numFmtId="0" fontId="50" fillId="0" borderId="0" xfId="59" applyFont="1" applyBorder="1" applyAlignment="1">
      <alignment horizontal="left" wrapText="1"/>
      <protection/>
    </xf>
    <xf numFmtId="3" fontId="16" fillId="0" borderId="58" xfId="0" applyNumberFormat="1" applyFont="1" applyBorder="1" applyAlignment="1">
      <alignment/>
    </xf>
    <xf numFmtId="3" fontId="16" fillId="0" borderId="57" xfId="0" applyNumberFormat="1" applyFont="1" applyBorder="1" applyAlignment="1">
      <alignment/>
    </xf>
    <xf numFmtId="3" fontId="49" fillId="33" borderId="88" xfId="59" applyNumberFormat="1" applyFont="1" applyFill="1" applyBorder="1" applyAlignment="1">
      <alignment horizontal="right" vertical="center"/>
      <protection/>
    </xf>
    <xf numFmtId="0" fontId="13" fillId="0" borderId="50" xfId="0" applyFont="1" applyBorder="1" applyAlignment="1">
      <alignment horizontal="right"/>
    </xf>
    <xf numFmtId="0" fontId="13" fillId="33" borderId="89" xfId="59" applyFont="1" applyFill="1" applyBorder="1" applyAlignment="1">
      <alignment vertical="center"/>
      <protection/>
    </xf>
    <xf numFmtId="3" fontId="10" fillId="33" borderId="90" xfId="59" applyNumberFormat="1" applyFont="1" applyFill="1" applyBorder="1" applyAlignment="1">
      <alignment vertical="center"/>
      <protection/>
    </xf>
    <xf numFmtId="0" fontId="13" fillId="33" borderId="91" xfId="59" applyFont="1" applyFill="1" applyBorder="1" applyAlignment="1">
      <alignment vertical="center"/>
      <protection/>
    </xf>
    <xf numFmtId="3" fontId="49" fillId="33" borderId="92" xfId="59" applyNumberFormat="1" applyFont="1" applyFill="1" applyBorder="1" applyAlignment="1">
      <alignment vertical="center"/>
      <protection/>
    </xf>
    <xf numFmtId="3" fontId="49" fillId="33" borderId="81" xfId="59" applyNumberFormat="1" applyFont="1" applyFill="1" applyBorder="1" applyAlignment="1">
      <alignment vertical="center"/>
      <protection/>
    </xf>
    <xf numFmtId="3" fontId="49" fillId="33" borderId="79" xfId="59" applyNumberFormat="1" applyFont="1" applyFill="1" applyBorder="1" applyAlignment="1">
      <alignment vertical="center"/>
      <protection/>
    </xf>
    <xf numFmtId="3" fontId="49" fillId="33" borderId="93" xfId="59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3" fontId="16" fillId="0" borderId="0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/>
      <protection/>
    </xf>
    <xf numFmtId="3" fontId="16" fillId="0" borderId="57" xfId="59" applyNumberFormat="1" applyFont="1" applyBorder="1" applyAlignment="1">
      <alignment vertical="center"/>
      <protection/>
    </xf>
    <xf numFmtId="3" fontId="16" fillId="0" borderId="45" xfId="59" applyNumberFormat="1" applyFont="1" applyFill="1" applyBorder="1" applyAlignment="1">
      <alignment vertical="center"/>
      <protection/>
    </xf>
    <xf numFmtId="3" fontId="16" fillId="0" borderId="57" xfId="59" applyNumberFormat="1" applyFont="1" applyFill="1" applyBorder="1" applyAlignment="1">
      <alignment vertical="center"/>
      <protection/>
    </xf>
    <xf numFmtId="3" fontId="16" fillId="0" borderId="0" xfId="59" applyNumberFormat="1" applyFont="1" applyBorder="1" applyAlignment="1">
      <alignment vertical="center"/>
      <protection/>
    </xf>
    <xf numFmtId="3" fontId="16" fillId="0" borderId="58" xfId="59" applyNumberFormat="1" applyFont="1" applyFill="1" applyBorder="1" applyAlignment="1">
      <alignment vertical="center"/>
      <protection/>
    </xf>
    <xf numFmtId="0" fontId="34" fillId="0" borderId="0" xfId="60" applyFont="1" applyFill="1" applyAlignment="1">
      <alignment vertical="center" wrapText="1"/>
      <protection/>
    </xf>
    <xf numFmtId="0" fontId="34" fillId="0" borderId="73" xfId="60" applyFont="1" applyFill="1" applyBorder="1" applyAlignment="1">
      <alignment vertical="center" wrapText="1"/>
      <protection/>
    </xf>
    <xf numFmtId="0" fontId="13" fillId="0" borderId="62" xfId="59" applyFont="1" applyBorder="1" applyAlignment="1">
      <alignment horizontal="right"/>
      <protection/>
    </xf>
    <xf numFmtId="3" fontId="16" fillId="0" borderId="94" xfId="0" applyNumberFormat="1" applyFont="1" applyBorder="1" applyAlignment="1">
      <alignment/>
    </xf>
    <xf numFmtId="3" fontId="49" fillId="0" borderId="95" xfId="60" applyNumberFormat="1" applyFont="1" applyFill="1" applyBorder="1" applyAlignment="1">
      <alignment vertical="center"/>
      <protection/>
    </xf>
    <xf numFmtId="0" fontId="31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vertical="center"/>
    </xf>
    <xf numFmtId="49" fontId="31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3" fontId="32" fillId="0" borderId="36" xfId="0" applyNumberFormat="1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 wrapText="1"/>
    </xf>
    <xf numFmtId="3" fontId="32" fillId="0" borderId="37" xfId="0" applyNumberFormat="1" applyFont="1" applyFill="1" applyBorder="1" applyAlignment="1">
      <alignment vertical="center"/>
    </xf>
    <xf numFmtId="3" fontId="32" fillId="0" borderId="36" xfId="0" applyNumberFormat="1" applyFont="1" applyFill="1" applyBorder="1" applyAlignment="1">
      <alignment vertical="center"/>
    </xf>
    <xf numFmtId="3" fontId="32" fillId="0" borderId="21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 wrapText="1"/>
    </xf>
    <xf numFmtId="3" fontId="32" fillId="0" borderId="17" xfId="0" applyNumberFormat="1" applyFont="1" applyFill="1" applyBorder="1" applyAlignment="1">
      <alignment vertical="center"/>
    </xf>
    <xf numFmtId="3" fontId="31" fillId="0" borderId="0" xfId="0" applyNumberFormat="1" applyFont="1" applyFill="1" applyAlignment="1">
      <alignment vertical="center"/>
    </xf>
    <xf numFmtId="0" fontId="15" fillId="0" borderId="21" xfId="0" applyFont="1" applyFill="1" applyBorder="1" applyAlignment="1">
      <alignment horizontal="left" vertical="center" wrapText="1"/>
    </xf>
    <xf numFmtId="3" fontId="32" fillId="0" borderId="21" xfId="0" applyNumberFormat="1" applyFont="1" applyFill="1" applyBorder="1" applyAlignment="1">
      <alignment horizontal="right" vertical="center"/>
    </xf>
    <xf numFmtId="49" fontId="31" fillId="0" borderId="42" xfId="0" applyNumberFormat="1" applyFont="1" applyFill="1" applyBorder="1" applyAlignment="1">
      <alignment horizontal="center" vertical="center"/>
    </xf>
    <xf numFmtId="3" fontId="32" fillId="0" borderId="41" xfId="0" applyNumberFormat="1" applyFont="1" applyFill="1" applyBorder="1" applyAlignment="1">
      <alignment vertical="center"/>
    </xf>
    <xf numFmtId="3" fontId="32" fillId="0" borderId="24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4" fillId="0" borderId="29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3" fontId="53" fillId="0" borderId="32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left"/>
    </xf>
    <xf numFmtId="0" fontId="11" fillId="0" borderId="0" xfId="0" applyFont="1" applyBorder="1" applyAlignment="1">
      <alignment/>
    </xf>
    <xf numFmtId="3" fontId="38" fillId="0" borderId="97" xfId="0" applyNumberFormat="1" applyFont="1" applyBorder="1" applyAlignment="1">
      <alignment/>
    </xf>
    <xf numFmtId="3" fontId="15" fillId="0" borderId="97" xfId="0" applyNumberFormat="1" applyFont="1" applyBorder="1" applyAlignment="1">
      <alignment/>
    </xf>
    <xf numFmtId="3" fontId="36" fillId="0" borderId="97" xfId="0" applyNumberFormat="1" applyFont="1" applyBorder="1" applyAlignment="1">
      <alignment/>
    </xf>
    <xf numFmtId="3" fontId="41" fillId="0" borderId="97" xfId="0" applyNumberFormat="1" applyFont="1" applyBorder="1" applyAlignment="1">
      <alignment/>
    </xf>
    <xf numFmtId="3" fontId="43" fillId="0" borderId="97" xfId="0" applyNumberFormat="1" applyFont="1" applyBorder="1" applyAlignment="1">
      <alignment/>
    </xf>
    <xf numFmtId="3" fontId="45" fillId="0" borderId="97" xfId="0" applyNumberFormat="1" applyFont="1" applyBorder="1" applyAlignment="1">
      <alignment/>
    </xf>
    <xf numFmtId="3" fontId="14" fillId="0" borderId="97" xfId="0" applyNumberFormat="1" applyFont="1" applyBorder="1" applyAlignment="1">
      <alignment/>
    </xf>
    <xf numFmtId="3" fontId="10" fillId="0" borderId="97" xfId="0" applyNumberFormat="1" applyFont="1" applyBorder="1" applyAlignment="1">
      <alignment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6" fillId="0" borderId="0" xfId="59" applyFont="1" applyBorder="1" applyAlignment="1">
      <alignment horizontal="left" wrapText="1"/>
      <protection/>
    </xf>
    <xf numFmtId="0" fontId="16" fillId="0" borderId="54" xfId="59" applyFont="1" applyBorder="1" applyAlignment="1">
      <alignment horizontal="left"/>
      <protection/>
    </xf>
    <xf numFmtId="0" fontId="16" fillId="0" borderId="53" xfId="59" applyFont="1" applyBorder="1" applyAlignment="1">
      <alignment horizontal="left"/>
      <protection/>
    </xf>
    <xf numFmtId="0" fontId="13" fillId="0" borderId="51" xfId="0" applyFont="1" applyBorder="1" applyAlignment="1">
      <alignment horizontal="right"/>
    </xf>
    <xf numFmtId="0" fontId="37" fillId="0" borderId="17" xfId="58" applyFont="1" applyBorder="1" applyAlignment="1">
      <alignment horizontal="left" wrapText="1"/>
      <protection/>
    </xf>
    <xf numFmtId="3" fontId="14" fillId="0" borderId="97" xfId="58" applyNumberFormat="1" applyFont="1" applyBorder="1">
      <alignment/>
      <protection/>
    </xf>
    <xf numFmtId="3" fontId="36" fillId="0" borderId="97" xfId="58" applyNumberFormat="1" applyFont="1" applyBorder="1">
      <alignment/>
      <protection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3" fontId="11" fillId="0" borderId="17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49" fontId="11" fillId="0" borderId="42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vertical="center" wrapText="1"/>
    </xf>
    <xf numFmtId="3" fontId="11" fillId="0" borderId="24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95" xfId="0" applyNumberFormat="1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vertical="center"/>
    </xf>
    <xf numFmtId="3" fontId="12" fillId="0" borderId="98" xfId="0" applyNumberFormat="1" applyFont="1" applyFill="1" applyBorder="1" applyAlignment="1">
      <alignment vertical="center"/>
    </xf>
    <xf numFmtId="3" fontId="12" fillId="0" borderId="99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09" fillId="0" borderId="35" xfId="60" applyNumberFormat="1" applyFont="1" applyFill="1" applyBorder="1" applyAlignment="1">
      <alignment vertical="center" wrapText="1"/>
      <protection/>
    </xf>
    <xf numFmtId="3" fontId="109" fillId="0" borderId="36" xfId="60" applyNumberFormat="1" applyFont="1" applyFill="1" applyBorder="1" applyAlignment="1">
      <alignment vertical="center" wrapText="1"/>
      <protection/>
    </xf>
    <xf numFmtId="3" fontId="109" fillId="0" borderId="28" xfId="60" applyNumberFormat="1" applyFont="1" applyFill="1" applyBorder="1" applyAlignment="1">
      <alignment vertical="center" wrapText="1"/>
      <protection/>
    </xf>
    <xf numFmtId="3" fontId="109" fillId="0" borderId="21" xfId="60" applyNumberFormat="1" applyFont="1" applyFill="1" applyBorder="1" applyAlignment="1">
      <alignment vertical="center" wrapText="1"/>
      <protection/>
    </xf>
    <xf numFmtId="3" fontId="109" fillId="0" borderId="28" xfId="60" applyNumberFormat="1" applyFont="1" applyFill="1" applyBorder="1" applyAlignment="1">
      <alignment vertical="center"/>
      <protection/>
    </xf>
    <xf numFmtId="3" fontId="109" fillId="0" borderId="21" xfId="60" applyNumberFormat="1" applyFont="1" applyFill="1" applyBorder="1" applyAlignment="1">
      <alignment vertical="center"/>
      <protection/>
    </xf>
    <xf numFmtId="3" fontId="109" fillId="0" borderId="37" xfId="60" applyNumberFormat="1" applyFont="1" applyFill="1" applyBorder="1" applyAlignment="1">
      <alignment vertical="center" wrapText="1"/>
      <protection/>
    </xf>
    <xf numFmtId="3" fontId="109" fillId="0" borderId="17" xfId="60" applyNumberFormat="1" applyFont="1" applyFill="1" applyBorder="1" applyAlignment="1">
      <alignment vertical="center" wrapText="1"/>
      <protection/>
    </xf>
    <xf numFmtId="3" fontId="109" fillId="32" borderId="17" xfId="60" applyNumberFormat="1" applyFont="1" applyFill="1" applyBorder="1" applyAlignment="1">
      <alignment horizontal="right" vertical="center" wrapText="1"/>
      <protection/>
    </xf>
    <xf numFmtId="3" fontId="109" fillId="0" borderId="17" xfId="60" applyNumberFormat="1" applyFont="1" applyFill="1" applyBorder="1" applyAlignment="1">
      <alignment vertical="center"/>
      <protection/>
    </xf>
    <xf numFmtId="3" fontId="49" fillId="0" borderId="99" xfId="60" applyNumberFormat="1" applyFont="1" applyFill="1" applyBorder="1" applyAlignment="1">
      <alignment vertical="center"/>
      <protection/>
    </xf>
    <xf numFmtId="3" fontId="49" fillId="0" borderId="98" xfId="60" applyNumberFormat="1" applyFont="1" applyFill="1" applyBorder="1" applyAlignment="1">
      <alignment vertical="center"/>
      <protection/>
    </xf>
    <xf numFmtId="3" fontId="49" fillId="0" borderId="100" xfId="60" applyNumberFormat="1" applyFont="1" applyFill="1" applyBorder="1" applyAlignment="1">
      <alignment vertical="center"/>
      <protection/>
    </xf>
    <xf numFmtId="3" fontId="32" fillId="0" borderId="24" xfId="60" applyNumberFormat="1" applyFont="1" applyFill="1" applyBorder="1" applyAlignment="1">
      <alignment vertical="center"/>
      <protection/>
    </xf>
    <xf numFmtId="3" fontId="31" fillId="0" borderId="24" xfId="60" applyNumberFormat="1" applyFont="1" applyFill="1" applyBorder="1" applyAlignment="1">
      <alignment vertical="center"/>
      <protection/>
    </xf>
    <xf numFmtId="3" fontId="16" fillId="0" borderId="45" xfId="59" applyNumberFormat="1" applyFont="1" applyBorder="1" applyAlignment="1">
      <alignment vertical="center"/>
      <protection/>
    </xf>
    <xf numFmtId="3" fontId="35" fillId="0" borderId="79" xfId="59" applyNumberFormat="1" applyFont="1" applyBorder="1">
      <alignment/>
      <protection/>
    </xf>
    <xf numFmtId="166" fontId="2" fillId="0" borderId="39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3" fontId="16" fillId="0" borderId="58" xfId="59" applyNumberFormat="1" applyFont="1" applyBorder="1" applyAlignment="1">
      <alignment vertical="center"/>
      <protection/>
    </xf>
    <xf numFmtId="3" fontId="16" fillId="0" borderId="94" xfId="59" applyNumberFormat="1" applyFont="1" applyBorder="1" applyAlignment="1">
      <alignment vertical="center"/>
      <protection/>
    </xf>
    <xf numFmtId="3" fontId="16" fillId="0" borderId="101" xfId="59" applyNumberFormat="1" applyFont="1" applyBorder="1" applyAlignment="1">
      <alignment vertical="center"/>
      <protection/>
    </xf>
    <xf numFmtId="3" fontId="16" fillId="0" borderId="0" xfId="59" applyNumberFormat="1" applyFont="1" applyFill="1" applyBorder="1" applyAlignment="1">
      <alignment vertical="center"/>
      <protection/>
    </xf>
    <xf numFmtId="0" fontId="16" fillId="33" borderId="89" xfId="59" applyFont="1" applyFill="1" applyBorder="1" applyAlignment="1">
      <alignment horizontal="left" vertical="center" wrapText="1"/>
      <protection/>
    </xf>
    <xf numFmtId="3" fontId="14" fillId="33" borderId="102" xfId="59" applyNumberFormat="1" applyFont="1" applyFill="1" applyBorder="1" applyAlignment="1">
      <alignment horizontal="right" vertical="center"/>
      <protection/>
    </xf>
    <xf numFmtId="3" fontId="14" fillId="33" borderId="91" xfId="59" applyNumberFormat="1" applyFont="1" applyFill="1" applyBorder="1" applyAlignment="1">
      <alignment vertical="center"/>
      <protection/>
    </xf>
    <xf numFmtId="3" fontId="14" fillId="33" borderId="88" xfId="59" applyNumberFormat="1" applyFont="1" applyFill="1" applyBorder="1" applyAlignment="1">
      <alignment vertical="center"/>
      <protection/>
    </xf>
    <xf numFmtId="0" fontId="16" fillId="33" borderId="103" xfId="59" applyFont="1" applyFill="1" applyBorder="1" applyAlignment="1">
      <alignment horizontal="left" vertical="center"/>
      <protection/>
    </xf>
    <xf numFmtId="3" fontId="10" fillId="33" borderId="90" xfId="59" applyNumberFormat="1" applyFont="1" applyFill="1" applyBorder="1" applyAlignment="1">
      <alignment horizontal="right" vertical="center"/>
      <protection/>
    </xf>
    <xf numFmtId="3" fontId="10" fillId="33" borderId="104" xfId="59" applyNumberFormat="1" applyFont="1" applyFill="1" applyBorder="1" applyAlignment="1">
      <alignment horizontal="right" vertical="center"/>
      <protection/>
    </xf>
    <xf numFmtId="3" fontId="49" fillId="33" borderId="91" xfId="59" applyNumberFormat="1" applyFont="1" applyFill="1" applyBorder="1" applyAlignment="1">
      <alignment horizontal="right" vertical="center"/>
      <protection/>
    </xf>
    <xf numFmtId="3" fontId="49" fillId="33" borderId="102" xfId="59" applyNumberFormat="1" applyFont="1" applyFill="1" applyBorder="1" applyAlignment="1">
      <alignment horizontal="right" vertical="center"/>
      <protection/>
    </xf>
    <xf numFmtId="3" fontId="49" fillId="33" borderId="105" xfId="59" applyNumberFormat="1" applyFont="1" applyFill="1" applyBorder="1" applyAlignment="1">
      <alignment vertical="center"/>
      <protection/>
    </xf>
    <xf numFmtId="3" fontId="49" fillId="33" borderId="103" xfId="59" applyNumberFormat="1" applyFont="1" applyFill="1" applyBorder="1" applyAlignment="1">
      <alignment vertical="center"/>
      <protection/>
    </xf>
    <xf numFmtId="3" fontId="49" fillId="33" borderId="102" xfId="59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horizontal="center"/>
    </xf>
    <xf numFmtId="0" fontId="14" fillId="0" borderId="106" xfId="59" applyFont="1" applyBorder="1" applyAlignment="1">
      <alignment horizontal="center" vertical="center"/>
      <protection/>
    </xf>
    <xf numFmtId="3" fontId="10" fillId="0" borderId="83" xfId="59" applyNumberFormat="1" applyFont="1" applyBorder="1">
      <alignment/>
      <protection/>
    </xf>
    <xf numFmtId="3" fontId="35" fillId="0" borderId="92" xfId="59" applyNumberFormat="1" applyFont="1" applyBorder="1">
      <alignment/>
      <protection/>
    </xf>
    <xf numFmtId="3" fontId="49" fillId="0" borderId="69" xfId="59" applyNumberFormat="1" applyFont="1" applyBorder="1" applyAlignment="1">
      <alignment horizontal="right" vertical="center"/>
      <protection/>
    </xf>
    <xf numFmtId="0" fontId="10" fillId="0" borderId="107" xfId="59" applyFont="1" applyBorder="1" applyAlignment="1">
      <alignment horizontal="right" vertical="center"/>
      <protection/>
    </xf>
    <xf numFmtId="0" fontId="14" fillId="0" borderId="47" xfId="59" applyFont="1" applyBorder="1" applyAlignment="1">
      <alignment horizontal="center" vertical="center"/>
      <protection/>
    </xf>
    <xf numFmtId="0" fontId="14" fillId="0" borderId="108" xfId="60" applyFont="1" applyFill="1" applyBorder="1" applyAlignment="1">
      <alignment horizontal="center" vertical="center" wrapText="1"/>
      <protection/>
    </xf>
    <xf numFmtId="0" fontId="14" fillId="0" borderId="109" xfId="59" applyFont="1" applyBorder="1" applyAlignment="1">
      <alignment horizontal="center" vertical="center"/>
      <protection/>
    </xf>
    <xf numFmtId="0" fontId="14" fillId="0" borderId="110" xfId="59" applyFont="1" applyBorder="1" applyAlignment="1">
      <alignment horizontal="center" vertical="center"/>
      <protection/>
    </xf>
    <xf numFmtId="0" fontId="17" fillId="0" borderId="72" xfId="59" applyFont="1" applyBorder="1" applyAlignment="1">
      <alignment horizontal="right" vertical="center"/>
      <protection/>
    </xf>
    <xf numFmtId="3" fontId="14" fillId="0" borderId="74" xfId="59" applyNumberFormat="1" applyFont="1" applyBorder="1" applyAlignment="1">
      <alignment horizontal="right" vertical="center"/>
      <protection/>
    </xf>
    <xf numFmtId="3" fontId="14" fillId="0" borderId="73" xfId="59" applyNumberFormat="1" applyFont="1" applyBorder="1" applyAlignment="1">
      <alignment vertical="center"/>
      <protection/>
    </xf>
    <xf numFmtId="3" fontId="14" fillId="0" borderId="65" xfId="59" applyNumberFormat="1" applyFont="1" applyBorder="1" applyAlignment="1">
      <alignment vertical="center"/>
      <protection/>
    </xf>
    <xf numFmtId="3" fontId="50" fillId="0" borderId="73" xfId="59" applyNumberFormat="1" applyFont="1" applyBorder="1" applyAlignment="1">
      <alignment vertical="center"/>
      <protection/>
    </xf>
    <xf numFmtId="3" fontId="17" fillId="0" borderId="73" xfId="59" applyNumberFormat="1" applyFont="1" applyFill="1" applyBorder="1" applyAlignment="1">
      <alignment vertical="center"/>
      <protection/>
    </xf>
    <xf numFmtId="3" fontId="10" fillId="0" borderId="76" xfId="59" applyNumberFormat="1" applyFont="1" applyBorder="1" applyAlignment="1">
      <alignment vertical="center"/>
      <protection/>
    </xf>
    <xf numFmtId="3" fontId="49" fillId="0" borderId="72" xfId="59" applyNumberFormat="1" applyFont="1" applyBorder="1" applyAlignment="1">
      <alignment vertical="center"/>
      <protection/>
    </xf>
    <xf numFmtId="3" fontId="49" fillId="0" borderId="74" xfId="59" applyNumberFormat="1" applyFont="1" applyBorder="1" applyAlignment="1">
      <alignment vertical="center"/>
      <protection/>
    </xf>
    <xf numFmtId="3" fontId="49" fillId="0" borderId="78" xfId="59" applyNumberFormat="1" applyFont="1" applyBorder="1" applyAlignment="1">
      <alignment vertical="center"/>
      <protection/>
    </xf>
    <xf numFmtId="0" fontId="14" fillId="0" borderId="111" xfId="59" applyFont="1" applyBorder="1" applyAlignment="1">
      <alignment horizontal="center"/>
      <protection/>
    </xf>
    <xf numFmtId="0" fontId="14" fillId="0" borderId="111" xfId="59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3" fontId="12" fillId="0" borderId="100" xfId="0" applyNumberFormat="1" applyFont="1" applyFill="1" applyBorder="1" applyAlignment="1">
      <alignment vertical="center"/>
    </xf>
    <xf numFmtId="0" fontId="16" fillId="0" borderId="0" xfId="59" applyFont="1" applyBorder="1" applyAlignment="1">
      <alignment horizontal="left" vertical="center" wrapText="1"/>
      <protection/>
    </xf>
    <xf numFmtId="3" fontId="32" fillId="0" borderId="42" xfId="60" applyNumberFormat="1" applyFont="1" applyFill="1" applyBorder="1" applyAlignment="1">
      <alignment vertical="center"/>
      <protection/>
    </xf>
    <xf numFmtId="3" fontId="32" fillId="0" borderId="41" xfId="60" applyNumberFormat="1" applyFont="1" applyFill="1" applyBorder="1" applyAlignment="1">
      <alignment vertical="center"/>
      <protection/>
    </xf>
    <xf numFmtId="49" fontId="31" fillId="0" borderId="29" xfId="60" applyNumberFormat="1" applyFont="1" applyFill="1" applyBorder="1" applyAlignment="1">
      <alignment horizontal="center" vertical="center"/>
      <protection/>
    </xf>
    <xf numFmtId="0" fontId="13" fillId="0" borderId="69" xfId="59" applyFont="1" applyBorder="1">
      <alignment/>
      <protection/>
    </xf>
    <xf numFmtId="3" fontId="10" fillId="0" borderId="112" xfId="59" applyNumberFormat="1" applyFont="1" applyBorder="1" applyAlignment="1">
      <alignment horizontal="right" vertical="center"/>
      <protection/>
    </xf>
    <xf numFmtId="3" fontId="14" fillId="33" borderId="102" xfId="59" applyNumberFormat="1" applyFont="1" applyFill="1" applyBorder="1" applyAlignment="1">
      <alignment vertical="center"/>
      <protection/>
    </xf>
    <xf numFmtId="3" fontId="14" fillId="33" borderId="113" xfId="59" applyNumberFormat="1" applyFont="1" applyFill="1" applyBorder="1" applyAlignment="1">
      <alignment vertical="center"/>
      <protection/>
    </xf>
    <xf numFmtId="3" fontId="14" fillId="33" borderId="114" xfId="59" applyNumberFormat="1" applyFont="1" applyFill="1" applyBorder="1" applyAlignment="1">
      <alignment vertical="center"/>
      <protection/>
    </xf>
    <xf numFmtId="3" fontId="110" fillId="0" borderId="21" xfId="58" applyNumberFormat="1" applyFont="1" applyBorder="1">
      <alignment/>
      <protection/>
    </xf>
    <xf numFmtId="0" fontId="32" fillId="0" borderId="21" xfId="0" applyFont="1" applyBorder="1" applyAlignment="1">
      <alignment vertical="center"/>
    </xf>
    <xf numFmtId="3" fontId="111" fillId="0" borderId="21" xfId="0" applyNumberFormat="1" applyFont="1" applyBorder="1" applyAlignment="1">
      <alignment/>
    </xf>
    <xf numFmtId="166" fontId="2" fillId="32" borderId="39" xfId="0" applyNumberFormat="1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3" fontId="16" fillId="32" borderId="57" xfId="59" applyNumberFormat="1" applyFont="1" applyFill="1" applyBorder="1" applyAlignment="1">
      <alignment vertical="center"/>
      <protection/>
    </xf>
    <xf numFmtId="3" fontId="16" fillId="32" borderId="57" xfId="59" applyNumberFormat="1" applyFont="1" applyFill="1" applyBorder="1" applyAlignment="1">
      <alignment horizontal="right" vertical="center"/>
      <protection/>
    </xf>
    <xf numFmtId="3" fontId="16" fillId="32" borderId="58" xfId="59" applyNumberFormat="1" applyFont="1" applyFill="1" applyBorder="1" applyAlignment="1">
      <alignment/>
      <protection/>
    </xf>
    <xf numFmtId="3" fontId="16" fillId="32" borderId="57" xfId="59" applyNumberFormat="1" applyFont="1" applyFill="1" applyBorder="1" applyAlignment="1">
      <alignment/>
      <protection/>
    </xf>
    <xf numFmtId="3" fontId="16" fillId="32" borderId="0" xfId="59" applyNumberFormat="1" applyFont="1" applyFill="1" applyBorder="1" applyAlignment="1">
      <alignment vertical="center"/>
      <protection/>
    </xf>
    <xf numFmtId="3" fontId="37" fillId="0" borderId="21" xfId="58" applyNumberFormat="1" applyFont="1" applyBorder="1" applyAlignment="1">
      <alignment vertical="center"/>
      <protection/>
    </xf>
    <xf numFmtId="3" fontId="36" fillId="0" borderId="21" xfId="58" applyNumberFormat="1" applyFont="1" applyBorder="1" applyAlignment="1">
      <alignment vertical="center"/>
      <protection/>
    </xf>
    <xf numFmtId="3" fontId="13" fillId="0" borderId="21" xfId="58" applyNumberFormat="1" applyFont="1" applyBorder="1">
      <alignment/>
      <protection/>
    </xf>
    <xf numFmtId="3" fontId="32" fillId="0" borderId="21" xfId="0" applyNumberFormat="1" applyFont="1" applyBorder="1" applyAlignment="1">
      <alignment vertical="center"/>
    </xf>
    <xf numFmtId="3" fontId="36" fillId="0" borderId="21" xfId="0" applyNumberFormat="1" applyFont="1" applyBorder="1" applyAlignment="1">
      <alignment vertical="center"/>
    </xf>
    <xf numFmtId="0" fontId="13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3" fontId="21" fillId="0" borderId="21" xfId="42" applyNumberFormat="1" applyFont="1" applyBorder="1" applyAlignment="1">
      <alignment horizontal="right" vertical="center"/>
    </xf>
    <xf numFmtId="0" fontId="21" fillId="0" borderId="21" xfId="57" applyFont="1" applyBorder="1" applyAlignment="1">
      <alignment vertical="center"/>
      <protection/>
    </xf>
    <xf numFmtId="3" fontId="42" fillId="0" borderId="23" xfId="60" applyNumberFormat="1" applyFont="1" applyFill="1" applyBorder="1" applyAlignment="1">
      <alignment horizontal="left" vertical="center" wrapText="1"/>
      <protection/>
    </xf>
    <xf numFmtId="0" fontId="15" fillId="0" borderId="18" xfId="60" applyFont="1" applyFill="1" applyBorder="1" applyAlignment="1">
      <alignment vertical="center" wrapText="1"/>
      <protection/>
    </xf>
    <xf numFmtId="3" fontId="112" fillId="0" borderId="95" xfId="60" applyNumberFormat="1" applyFont="1" applyFill="1" applyBorder="1" applyAlignment="1">
      <alignment vertical="center"/>
      <protection/>
    </xf>
    <xf numFmtId="3" fontId="112" fillId="0" borderId="98" xfId="60" applyNumberFormat="1" applyFont="1" applyFill="1" applyBorder="1" applyAlignment="1">
      <alignment vertical="center"/>
      <protection/>
    </xf>
    <xf numFmtId="3" fontId="112" fillId="0" borderId="99" xfId="60" applyNumberFormat="1" applyFont="1" applyFill="1" applyBorder="1" applyAlignment="1">
      <alignment vertical="center"/>
      <protection/>
    </xf>
    <xf numFmtId="0" fontId="113" fillId="0" borderId="0" xfId="0" applyFont="1" applyAlignment="1">
      <alignment/>
    </xf>
    <xf numFmtId="3" fontId="113" fillId="0" borderId="0" xfId="0" applyNumberFormat="1" applyFont="1" applyAlignment="1">
      <alignment/>
    </xf>
    <xf numFmtId="3" fontId="112" fillId="0" borderId="109" xfId="60" applyNumberFormat="1" applyFont="1" applyFill="1" applyBorder="1" applyAlignment="1">
      <alignment horizontal="right" vertical="center"/>
      <protection/>
    </xf>
    <xf numFmtId="3" fontId="112" fillId="0" borderId="86" xfId="60" applyNumberFormat="1" applyFont="1" applyFill="1" applyBorder="1" applyAlignment="1">
      <alignment horizontal="right" vertical="center"/>
      <protection/>
    </xf>
    <xf numFmtId="3" fontId="112" fillId="0" borderId="111" xfId="60" applyNumberFormat="1" applyFont="1" applyFill="1" applyBorder="1" applyAlignment="1">
      <alignment horizontal="right" vertical="center"/>
      <protection/>
    </xf>
    <xf numFmtId="3" fontId="112" fillId="0" borderId="43" xfId="60" applyNumberFormat="1" applyFont="1" applyFill="1" applyBorder="1" applyAlignment="1">
      <alignment vertical="center"/>
      <protection/>
    </xf>
    <xf numFmtId="0" fontId="114" fillId="0" borderId="0" xfId="0" applyFont="1" applyAlignment="1">
      <alignment/>
    </xf>
    <xf numFmtId="3" fontId="113" fillId="0" borderId="0" xfId="0" applyNumberFormat="1" applyFont="1" applyAlignment="1">
      <alignment vertical="center"/>
    </xf>
    <xf numFmtId="3" fontId="10" fillId="0" borderId="66" xfId="59" applyNumberFormat="1" applyFont="1" applyBorder="1" applyAlignment="1">
      <alignment horizontal="right" vertical="center"/>
      <protection/>
    </xf>
    <xf numFmtId="0" fontId="16" fillId="0" borderId="53" xfId="59" applyFont="1" applyBorder="1" applyAlignment="1">
      <alignment horizontal="left" vertical="center" wrapText="1"/>
      <protection/>
    </xf>
    <xf numFmtId="0" fontId="16" fillId="0" borderId="54" xfId="59" applyFont="1" applyBorder="1" applyAlignment="1">
      <alignment horizontal="left" vertical="center" wrapText="1"/>
      <protection/>
    </xf>
    <xf numFmtId="3" fontId="14" fillId="0" borderId="30" xfId="59" applyNumberFormat="1" applyFont="1" applyBorder="1" applyAlignment="1">
      <alignment horizontal="right" vertical="center"/>
      <protection/>
    </xf>
    <xf numFmtId="3" fontId="14" fillId="0" borderId="52" xfId="59" applyNumberFormat="1" applyFont="1" applyBorder="1" applyAlignment="1">
      <alignment horizontal="right" vertical="center"/>
      <protection/>
    </xf>
    <xf numFmtId="3" fontId="49" fillId="0" borderId="69" xfId="59" applyNumberFormat="1" applyFont="1" applyBorder="1" applyAlignment="1">
      <alignment horizontal="center" vertical="center"/>
      <protection/>
    </xf>
    <xf numFmtId="3" fontId="49" fillId="0" borderId="53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 horizontal="right" vertical="center"/>
      <protection/>
    </xf>
    <xf numFmtId="0" fontId="16" fillId="0" borderId="66" xfId="59" applyFont="1" applyBorder="1" applyAlignment="1">
      <alignment horizontal="left" vertical="center" wrapText="1"/>
      <protection/>
    </xf>
    <xf numFmtId="0" fontId="16" fillId="0" borderId="49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3" fontId="16" fillId="0" borderId="57" xfId="0" applyNumberFormat="1" applyFont="1" applyBorder="1" applyAlignment="1">
      <alignment horizontal="center" vertical="center"/>
    </xf>
    <xf numFmtId="3" fontId="14" fillId="0" borderId="86" xfId="59" applyNumberFormat="1" applyFont="1" applyBorder="1" applyAlignment="1">
      <alignment horizontal="right"/>
      <protection/>
    </xf>
    <xf numFmtId="3" fontId="13" fillId="0" borderId="111" xfId="59" applyNumberFormat="1" applyFont="1" applyBorder="1">
      <alignment/>
      <protection/>
    </xf>
    <xf numFmtId="3" fontId="14" fillId="0" borderId="48" xfId="59" applyNumberFormat="1" applyFont="1" applyBorder="1">
      <alignment/>
      <protection/>
    </xf>
    <xf numFmtId="0" fontId="16" fillId="0" borderId="111" xfId="59" applyFont="1" applyBorder="1" applyAlignment="1">
      <alignment horizontal="left"/>
      <protection/>
    </xf>
    <xf numFmtId="0" fontId="16" fillId="0" borderId="111" xfId="0" applyFont="1" applyFill="1" applyBorder="1" applyAlignment="1">
      <alignment/>
    </xf>
    <xf numFmtId="3" fontId="10" fillId="0" borderId="43" xfId="59" applyNumberFormat="1" applyFont="1" applyBorder="1" applyAlignment="1">
      <alignment horizontal="right" vertical="center"/>
      <protection/>
    </xf>
    <xf numFmtId="0" fontId="16" fillId="0" borderId="109" xfId="59" applyFont="1" applyBorder="1" applyAlignment="1">
      <alignment horizontal="left" vertical="center" wrapText="1"/>
      <protection/>
    </xf>
    <xf numFmtId="0" fontId="16" fillId="0" borderId="111" xfId="59" applyFont="1" applyBorder="1" applyAlignment="1">
      <alignment horizontal="left" vertical="center" wrapText="1"/>
      <protection/>
    </xf>
    <xf numFmtId="3" fontId="16" fillId="0" borderId="100" xfId="59" applyNumberFormat="1" applyFont="1" applyBorder="1" applyAlignment="1">
      <alignment vertical="center"/>
      <protection/>
    </xf>
    <xf numFmtId="3" fontId="16" fillId="0" borderId="111" xfId="59" applyNumberFormat="1" applyFont="1" applyBorder="1" applyAlignment="1">
      <alignment vertical="center"/>
      <protection/>
    </xf>
    <xf numFmtId="3" fontId="10" fillId="0" borderId="115" xfId="59" applyNumberFormat="1" applyFont="1" applyBorder="1" applyAlignment="1">
      <alignment horizontal="right" vertical="center"/>
      <protection/>
    </xf>
    <xf numFmtId="3" fontId="49" fillId="0" borderId="111" xfId="59" applyNumberFormat="1" applyFont="1" applyBorder="1" applyAlignment="1">
      <alignment horizontal="right" vertical="center"/>
      <protection/>
    </xf>
    <xf numFmtId="3" fontId="49" fillId="0" borderId="86" xfId="59" applyNumberFormat="1" applyFont="1" applyBorder="1" applyAlignment="1">
      <alignment horizontal="right" vertical="center"/>
      <protection/>
    </xf>
    <xf numFmtId="3" fontId="49" fillId="0" borderId="48" xfId="59" applyNumberFormat="1" applyFont="1" applyBorder="1" applyAlignment="1">
      <alignment horizontal="right" vertical="center"/>
      <protection/>
    </xf>
    <xf numFmtId="3" fontId="16" fillId="0" borderId="47" xfId="59" applyNumberFormat="1" applyFont="1" applyBorder="1">
      <alignment/>
      <protection/>
    </xf>
    <xf numFmtId="3" fontId="16" fillId="0" borderId="86" xfId="59" applyNumberFormat="1" applyFont="1" applyBorder="1">
      <alignment/>
      <protection/>
    </xf>
    <xf numFmtId="0" fontId="13" fillId="0" borderId="46" xfId="0" applyFont="1" applyBorder="1" applyAlignment="1">
      <alignment horizontal="center"/>
    </xf>
    <xf numFmtId="0" fontId="14" fillId="0" borderId="1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 wrapText="1"/>
    </xf>
    <xf numFmtId="0" fontId="14" fillId="0" borderId="121" xfId="0" applyFont="1" applyBorder="1" applyAlignment="1">
      <alignment horizontal="center" vertical="center" wrapText="1"/>
    </xf>
    <xf numFmtId="0" fontId="13" fillId="34" borderId="84" xfId="0" applyFont="1" applyFill="1" applyBorder="1" applyAlignment="1">
      <alignment horizontal="center"/>
    </xf>
    <xf numFmtId="0" fontId="13" fillId="0" borderId="116" xfId="0" applyFont="1" applyBorder="1" applyAlignment="1">
      <alignment horizontal="center" vertical="center"/>
    </xf>
    <xf numFmtId="0" fontId="13" fillId="0" borderId="122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13" fillId="0" borderId="123" xfId="0" applyFont="1" applyBorder="1" applyAlignment="1">
      <alignment horizontal="center"/>
    </xf>
    <xf numFmtId="0" fontId="0" fillId="0" borderId="124" xfId="0" applyBorder="1" applyAlignment="1">
      <alignment/>
    </xf>
    <xf numFmtId="3" fontId="8" fillId="4" borderId="33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 vertical="center"/>
    </xf>
    <xf numFmtId="3" fontId="0" fillId="4" borderId="125" xfId="0" applyNumberFormat="1" applyFill="1" applyBorder="1" applyAlignment="1">
      <alignment/>
    </xf>
    <xf numFmtId="0" fontId="13" fillId="0" borderId="38" xfId="0" applyFont="1" applyBorder="1" applyAlignment="1">
      <alignment horizontal="center" vertical="center"/>
    </xf>
    <xf numFmtId="0" fontId="0" fillId="0" borderId="126" xfId="0" applyBorder="1" applyAlignment="1">
      <alignment/>
    </xf>
    <xf numFmtId="3" fontId="8" fillId="4" borderId="42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4" borderId="38" xfId="0" applyNumberFormat="1" applyFill="1" applyBorder="1" applyAlignment="1">
      <alignment/>
    </xf>
    <xf numFmtId="0" fontId="13" fillId="0" borderId="38" xfId="0" applyFont="1" applyBorder="1" applyAlignment="1">
      <alignment horizontal="center"/>
    </xf>
    <xf numFmtId="0" fontId="19" fillId="0" borderId="43" xfId="0" applyFont="1" applyBorder="1" applyAlignment="1">
      <alignment/>
    </xf>
    <xf numFmtId="3" fontId="19" fillId="4" borderId="109" xfId="0" applyNumberFormat="1" applyFont="1" applyFill="1" applyBorder="1" applyAlignment="1">
      <alignment/>
    </xf>
    <xf numFmtId="3" fontId="19" fillId="35" borderId="86" xfId="0" applyNumberFormat="1" applyFont="1" applyFill="1" applyBorder="1" applyAlignment="1">
      <alignment/>
    </xf>
    <xf numFmtId="3" fontId="19" fillId="4" borderId="95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13" fillId="0" borderId="28" xfId="0" applyFont="1" applyBorder="1" applyAlignment="1">
      <alignment horizontal="center"/>
    </xf>
    <xf numFmtId="0" fontId="0" fillId="0" borderId="33" xfId="0" applyBorder="1" applyAlignment="1">
      <alignment horizontal="left"/>
    </xf>
    <xf numFmtId="3" fontId="0" fillId="4" borderId="33" xfId="0" applyNumberFormat="1" applyFill="1" applyBorder="1" applyAlignment="1">
      <alignment/>
    </xf>
    <xf numFmtId="3" fontId="0" fillId="32" borderId="17" xfId="0" applyNumberFormat="1" applyFill="1" applyBorder="1" applyAlignment="1">
      <alignment/>
    </xf>
    <xf numFmtId="0" fontId="13" fillId="0" borderId="127" xfId="0" applyFont="1" applyBorder="1" applyAlignment="1">
      <alignment horizontal="center"/>
    </xf>
    <xf numFmtId="0" fontId="0" fillId="0" borderId="42" xfId="0" applyBorder="1" applyAlignment="1">
      <alignment horizontal="left"/>
    </xf>
    <xf numFmtId="3" fontId="0" fillId="4" borderId="28" xfId="0" applyNumberFormat="1" applyFill="1" applyBorder="1" applyAlignment="1">
      <alignment/>
    </xf>
    <xf numFmtId="0" fontId="0" fillId="0" borderId="35" xfId="0" applyBorder="1" applyAlignment="1">
      <alignment horizontal="left"/>
    </xf>
    <xf numFmtId="3" fontId="0" fillId="4" borderId="29" xfId="0" applyNumberFormat="1" applyFill="1" applyBorder="1" applyAlignment="1">
      <alignment/>
    </xf>
    <xf numFmtId="3" fontId="0" fillId="32" borderId="51" xfId="0" applyNumberFormat="1" applyFill="1" applyBorder="1" applyAlignment="1">
      <alignment/>
    </xf>
    <xf numFmtId="3" fontId="0" fillId="4" borderId="116" xfId="0" applyNumberFormat="1" applyFill="1" applyBorder="1" applyAlignment="1">
      <alignment/>
    </xf>
    <xf numFmtId="0" fontId="13" fillId="0" borderId="120" xfId="0" applyFont="1" applyBorder="1" applyAlignment="1">
      <alignment horizontal="center"/>
    </xf>
    <xf numFmtId="0" fontId="19" fillId="0" borderId="90" xfId="0" applyFont="1" applyBorder="1" applyAlignment="1">
      <alignment/>
    </xf>
    <xf numFmtId="3" fontId="19" fillId="4" borderId="89" xfId="0" applyNumberFormat="1" applyFont="1" applyFill="1" applyBorder="1" applyAlignment="1">
      <alignment/>
    </xf>
    <xf numFmtId="3" fontId="19" fillId="35" borderId="102" xfId="0" applyNumberFormat="1" applyFont="1" applyFill="1" applyBorder="1" applyAlignment="1">
      <alignment/>
    </xf>
    <xf numFmtId="3" fontId="19" fillId="4" borderId="90" xfId="0" applyNumberFormat="1" applyFont="1" applyFill="1" applyBorder="1" applyAlignment="1">
      <alignment/>
    </xf>
    <xf numFmtId="0" fontId="13" fillId="0" borderId="84" xfId="0" applyFont="1" applyBorder="1" applyAlignment="1">
      <alignment horizontal="center" vertical="center"/>
    </xf>
    <xf numFmtId="0" fontId="0" fillId="0" borderId="125" xfId="0" applyBorder="1" applyAlignment="1">
      <alignment/>
    </xf>
    <xf numFmtId="3" fontId="0" fillId="0" borderId="128" xfId="0" applyNumberFormat="1" applyBorder="1" applyAlignment="1">
      <alignment/>
    </xf>
    <xf numFmtId="3" fontId="0" fillId="36" borderId="71" xfId="0" applyNumberFormat="1" applyFill="1" applyBorder="1" applyAlignment="1">
      <alignment/>
    </xf>
    <xf numFmtId="3" fontId="0" fillId="36" borderId="18" xfId="0" applyNumberFormat="1" applyFill="1" applyBorder="1" applyAlignment="1">
      <alignment/>
    </xf>
    <xf numFmtId="3" fontId="0" fillId="36" borderId="32" xfId="0" applyNumberFormat="1" applyFill="1" applyBorder="1" applyAlignment="1">
      <alignment/>
    </xf>
    <xf numFmtId="3" fontId="0" fillId="36" borderId="34" xfId="0" applyNumberFormat="1" applyFill="1" applyBorder="1" applyAlignment="1">
      <alignment/>
    </xf>
    <xf numFmtId="3" fontId="0" fillId="4" borderId="129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130" xfId="0" applyBorder="1" applyAlignment="1">
      <alignment/>
    </xf>
    <xf numFmtId="3" fontId="0" fillId="36" borderId="86" xfId="0" applyNumberFormat="1" applyFill="1" applyBorder="1" applyAlignment="1">
      <alignment/>
    </xf>
    <xf numFmtId="3" fontId="0" fillId="36" borderId="99" xfId="0" applyNumberFormat="1" applyFill="1" applyBorder="1" applyAlignment="1">
      <alignment/>
    </xf>
    <xf numFmtId="0" fontId="0" fillId="0" borderId="131" xfId="0" applyBorder="1" applyAlignment="1">
      <alignment horizontal="left"/>
    </xf>
    <xf numFmtId="3" fontId="0" fillId="36" borderId="102" xfId="0" applyNumberFormat="1" applyFill="1" applyBorder="1" applyAlignment="1">
      <alignment/>
    </xf>
    <xf numFmtId="3" fontId="0" fillId="36" borderId="34" xfId="0" applyNumberFormat="1" applyFill="1" applyBorder="1" applyAlignment="1">
      <alignment horizontal="right" vertical="center"/>
    </xf>
    <xf numFmtId="3" fontId="0" fillId="36" borderId="17" xfId="0" applyNumberFormat="1" applyFill="1" applyBorder="1" applyAlignment="1">
      <alignment/>
    </xf>
    <xf numFmtId="3" fontId="19" fillId="36" borderId="86" xfId="0" applyNumberFormat="1" applyFont="1" applyFill="1" applyBorder="1" applyAlignment="1">
      <alignment/>
    </xf>
    <xf numFmtId="3" fontId="0" fillId="36" borderId="132" xfId="0" applyNumberFormat="1" applyFill="1" applyBorder="1" applyAlignment="1">
      <alignment horizontal="right" vertical="center"/>
    </xf>
    <xf numFmtId="0" fontId="13" fillId="0" borderId="133" xfId="0" applyFont="1" applyBorder="1" applyAlignment="1">
      <alignment horizontal="center"/>
    </xf>
    <xf numFmtId="0" fontId="0" fillId="0" borderId="33" xfId="0" applyBorder="1" applyAlignment="1">
      <alignment horizontal="left" wrapText="1"/>
    </xf>
    <xf numFmtId="3" fontId="0" fillId="36" borderId="97" xfId="0" applyNumberFormat="1" applyFill="1" applyBorder="1" applyAlignment="1">
      <alignment horizontal="right" vertical="center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4" borderId="123" xfId="0" applyNumberFormat="1" applyFill="1" applyBorder="1" applyAlignment="1">
      <alignment/>
    </xf>
    <xf numFmtId="3" fontId="0" fillId="4" borderId="130" xfId="0" applyNumberFormat="1" applyFill="1" applyBorder="1" applyAlignment="1">
      <alignment horizontal="right" vertical="center"/>
    </xf>
    <xf numFmtId="3" fontId="0" fillId="4" borderId="126" xfId="0" applyNumberFormat="1" applyFill="1" applyBorder="1" applyAlignment="1">
      <alignment/>
    </xf>
    <xf numFmtId="3" fontId="0" fillId="36" borderId="14" xfId="0" applyNumberFormat="1" applyFill="1" applyBorder="1" applyAlignment="1">
      <alignment/>
    </xf>
    <xf numFmtId="0" fontId="0" fillId="0" borderId="38" xfId="0" applyBorder="1" applyAlignment="1">
      <alignment horizontal="left"/>
    </xf>
    <xf numFmtId="3" fontId="0" fillId="4" borderId="130" xfId="0" applyNumberFormat="1" applyFill="1" applyBorder="1" applyAlignment="1">
      <alignment/>
    </xf>
    <xf numFmtId="3" fontId="19" fillId="36" borderId="14" xfId="0" applyNumberFormat="1" applyFont="1" applyFill="1" applyBorder="1" applyAlignment="1">
      <alignment/>
    </xf>
    <xf numFmtId="0" fontId="0" fillId="0" borderId="134" xfId="0" applyBorder="1" applyAlignment="1">
      <alignment horizontal="left"/>
    </xf>
    <xf numFmtId="3" fontId="0" fillId="36" borderId="135" xfId="0" applyNumberFormat="1" applyFill="1" applyBorder="1" applyAlignment="1">
      <alignment horizontal="right" vertical="center"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4" borderId="134" xfId="0" applyNumberFormat="1" applyFill="1" applyBorder="1" applyAlignment="1">
      <alignment/>
    </xf>
    <xf numFmtId="3" fontId="0" fillId="4" borderId="35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9" fillId="36" borderId="21" xfId="0" applyNumberFormat="1" applyFont="1" applyFill="1" applyBorder="1" applyAlignment="1">
      <alignment/>
    </xf>
    <xf numFmtId="3" fontId="0" fillId="36" borderId="21" xfId="0" applyNumberFormat="1" applyFill="1" applyBorder="1" applyAlignment="1">
      <alignment/>
    </xf>
    <xf numFmtId="3" fontId="0" fillId="36" borderId="23" xfId="0" applyNumberFormat="1" applyFill="1" applyBorder="1" applyAlignment="1">
      <alignment/>
    </xf>
    <xf numFmtId="3" fontId="19" fillId="36" borderId="18" xfId="0" applyNumberFormat="1" applyFont="1" applyFill="1" applyBorder="1" applyAlignment="1">
      <alignment/>
    </xf>
    <xf numFmtId="0" fontId="0" fillId="0" borderId="18" xfId="0" applyBorder="1" applyAlignment="1">
      <alignment horizontal="right"/>
    </xf>
    <xf numFmtId="3" fontId="0" fillId="36" borderId="41" xfId="0" applyNumberFormat="1" applyFill="1" applyBorder="1" applyAlignment="1">
      <alignment/>
    </xf>
    <xf numFmtId="3" fontId="0" fillId="36" borderId="40" xfId="0" applyNumberFormat="1" applyFill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32" borderId="34" xfId="0" applyNumberFormat="1" applyFill="1" applyBorder="1" applyAlignment="1">
      <alignment/>
    </xf>
    <xf numFmtId="0" fontId="19" fillId="0" borderId="76" xfId="0" applyFont="1" applyBorder="1" applyAlignment="1">
      <alignment/>
    </xf>
    <xf numFmtId="3" fontId="19" fillId="32" borderId="73" xfId="0" applyNumberFormat="1" applyFont="1" applyFill="1" applyBorder="1" applyAlignment="1">
      <alignment/>
    </xf>
    <xf numFmtId="3" fontId="0" fillId="32" borderId="73" xfId="0" applyNumberFormat="1" applyFill="1" applyBorder="1" applyAlignment="1">
      <alignment/>
    </xf>
    <xf numFmtId="3" fontId="0" fillId="32" borderId="73" xfId="0" applyNumberFormat="1" applyFill="1" applyBorder="1" applyAlignment="1">
      <alignment horizontal="center"/>
    </xf>
    <xf numFmtId="3" fontId="19" fillId="32" borderId="101" xfId="0" applyNumberFormat="1" applyFont="1" applyFill="1" applyBorder="1" applyAlignment="1">
      <alignment/>
    </xf>
    <xf numFmtId="3" fontId="0" fillId="32" borderId="71" xfId="0" applyNumberFormat="1" applyFill="1" applyBorder="1" applyAlignment="1">
      <alignment/>
    </xf>
    <xf numFmtId="3" fontId="0" fillId="32" borderId="18" xfId="0" applyNumberFormat="1" applyFill="1" applyBorder="1" applyAlignment="1">
      <alignment/>
    </xf>
    <xf numFmtId="3" fontId="0" fillId="32" borderId="32" xfId="0" applyNumberFormat="1" applyFill="1" applyBorder="1" applyAlignment="1">
      <alignment/>
    </xf>
    <xf numFmtId="3" fontId="0" fillId="32" borderId="36" xfId="0" applyNumberFormat="1" applyFill="1" applyBorder="1" applyAlignment="1">
      <alignment/>
    </xf>
    <xf numFmtId="3" fontId="0" fillId="32" borderId="21" xfId="0" applyNumberFormat="1" applyFill="1" applyBorder="1" applyAlignment="1">
      <alignment/>
    </xf>
    <xf numFmtId="0" fontId="0" fillId="0" borderId="57" xfId="0" applyBorder="1" applyAlignment="1">
      <alignment vertical="center"/>
    </xf>
    <xf numFmtId="3" fontId="19" fillId="4" borderId="124" xfId="0" applyNumberFormat="1" applyFont="1" applyFill="1" applyBorder="1" applyAlignment="1">
      <alignment/>
    </xf>
    <xf numFmtId="3" fontId="19" fillId="36" borderId="99" xfId="0" applyNumberFormat="1" applyFont="1" applyFill="1" applyBorder="1" applyAlignment="1">
      <alignment/>
    </xf>
    <xf numFmtId="0" fontId="13" fillId="0" borderId="120" xfId="0" applyFont="1" applyBorder="1" applyAlignment="1">
      <alignment horizontal="center" vertical="center"/>
    </xf>
    <xf numFmtId="0" fontId="19" fillId="0" borderId="89" xfId="0" applyFont="1" applyBorder="1" applyAlignment="1">
      <alignment/>
    </xf>
    <xf numFmtId="3" fontId="19" fillId="35" borderId="136" xfId="0" applyNumberFormat="1" applyFont="1" applyFill="1" applyBorder="1" applyAlignment="1">
      <alignment horizontal="right"/>
    </xf>
    <xf numFmtId="0" fontId="19" fillId="32" borderId="76" xfId="0" applyFont="1" applyFill="1" applyBorder="1" applyAlignment="1">
      <alignment/>
    </xf>
    <xf numFmtId="0" fontId="13" fillId="34" borderId="84" xfId="0" applyFont="1" applyFill="1" applyBorder="1" applyAlignment="1">
      <alignment horizontal="center" vertical="center"/>
    </xf>
    <xf numFmtId="0" fontId="0" fillId="0" borderId="137" xfId="0" applyBorder="1" applyAlignment="1">
      <alignment vertical="center"/>
    </xf>
    <xf numFmtId="3" fontId="8" fillId="4" borderId="35" xfId="0" applyNumberFormat="1" applyFont="1" applyFill="1" applyBorder="1" applyAlignment="1">
      <alignment horizontal="right"/>
    </xf>
    <xf numFmtId="3" fontId="0" fillId="36" borderId="36" xfId="0" applyNumberFormat="1" applyFill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0" fillId="0" borderId="46" xfId="0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vertical="center" wrapText="1"/>
    </xf>
    <xf numFmtId="166" fontId="11" fillId="0" borderId="21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6" fontId="115" fillId="0" borderId="21" xfId="0" applyNumberFormat="1" applyFont="1" applyBorder="1" applyAlignment="1">
      <alignment vertical="center"/>
    </xf>
    <xf numFmtId="3" fontId="8" fillId="4" borderId="131" xfId="0" applyNumberFormat="1" applyFont="1" applyFill="1" applyBorder="1" applyAlignment="1">
      <alignment horizontal="right"/>
    </xf>
    <xf numFmtId="3" fontId="0" fillId="36" borderId="37" xfId="0" applyNumberFormat="1" applyFill="1" applyBorder="1" applyAlignment="1">
      <alignment horizontal="right" vertical="center"/>
    </xf>
    <xf numFmtId="3" fontId="0" fillId="36" borderId="30" xfId="0" applyNumberFormat="1" applyFill="1" applyBorder="1" applyAlignment="1">
      <alignment/>
    </xf>
    <xf numFmtId="3" fontId="0" fillId="36" borderId="97" xfId="0" applyNumberFormat="1" applyFill="1" applyBorder="1" applyAlignment="1">
      <alignment/>
    </xf>
    <xf numFmtId="3" fontId="0" fillId="36" borderId="36" xfId="0" applyNumberFormat="1" applyFill="1" applyBorder="1" applyAlignment="1">
      <alignment/>
    </xf>
    <xf numFmtId="0" fontId="0" fillId="0" borderId="37" xfId="0" applyBorder="1" applyAlignment="1">
      <alignment horizontal="right"/>
    </xf>
    <xf numFmtId="3" fontId="0" fillId="36" borderId="39" xfId="0" applyNumberFormat="1" applyFill="1" applyBorder="1" applyAlignment="1">
      <alignment/>
    </xf>
    <xf numFmtId="0" fontId="13" fillId="0" borderId="84" xfId="0" applyFont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16" fillId="0" borderId="49" xfId="59" applyFont="1" applyBorder="1" applyAlignment="1">
      <alignment horizontal="left" vertical="center" wrapText="1"/>
      <protection/>
    </xf>
    <xf numFmtId="0" fontId="59" fillId="0" borderId="21" xfId="0" applyFont="1" applyBorder="1" applyAlignment="1">
      <alignment horizontal="right" vertical="center"/>
    </xf>
    <xf numFmtId="0" fontId="59" fillId="0" borderId="21" xfId="0" applyFont="1" applyBorder="1" applyAlignment="1">
      <alignment horizontal="right" vertical="center" wrapText="1"/>
    </xf>
    <xf numFmtId="166" fontId="59" fillId="0" borderId="21" xfId="0" applyNumberFormat="1" applyFont="1" applyBorder="1" applyAlignment="1">
      <alignment vertical="center"/>
    </xf>
    <xf numFmtId="0" fontId="0" fillId="0" borderId="125" xfId="0" applyBorder="1" applyAlignment="1">
      <alignment horizontal="left"/>
    </xf>
    <xf numFmtId="3" fontId="19" fillId="36" borderId="96" xfId="0" applyNumberFormat="1" applyFont="1" applyFill="1" applyBorder="1" applyAlignment="1">
      <alignment/>
    </xf>
    <xf numFmtId="0" fontId="11" fillId="32" borderId="0" xfId="0" applyFont="1" applyFill="1" applyAlignment="1">
      <alignment vertical="center"/>
    </xf>
    <xf numFmtId="49" fontId="11" fillId="32" borderId="0" xfId="0" applyNumberFormat="1" applyFont="1" applyFill="1" applyAlignment="1">
      <alignment vertical="center"/>
    </xf>
    <xf numFmtId="49" fontId="11" fillId="32" borderId="28" xfId="0" applyNumberFormat="1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vertical="center" wrapText="1"/>
    </xf>
    <xf numFmtId="3" fontId="11" fillId="32" borderId="17" xfId="0" applyNumberFormat="1" applyFont="1" applyFill="1" applyBorder="1" applyAlignment="1">
      <alignment vertical="center"/>
    </xf>
    <xf numFmtId="3" fontId="11" fillId="32" borderId="21" xfId="0" applyNumberFormat="1" applyFont="1" applyFill="1" applyBorder="1" applyAlignment="1">
      <alignment vertical="center"/>
    </xf>
    <xf numFmtId="3" fontId="12" fillId="32" borderId="23" xfId="0" applyNumberFormat="1" applyFont="1" applyFill="1" applyBorder="1" applyAlignment="1">
      <alignment vertical="center"/>
    </xf>
    <xf numFmtId="49" fontId="11" fillId="32" borderId="131" xfId="0" applyNumberFormat="1" applyFont="1" applyFill="1" applyBorder="1" applyAlignment="1">
      <alignment horizontal="center" vertical="center"/>
    </xf>
    <xf numFmtId="3" fontId="11" fillId="32" borderId="51" xfId="0" applyNumberFormat="1" applyFont="1" applyFill="1" applyBorder="1" applyAlignment="1">
      <alignment vertical="center"/>
    </xf>
    <xf numFmtId="3" fontId="12" fillId="32" borderId="0" xfId="0" applyNumberFormat="1" applyFont="1" applyFill="1" applyBorder="1" applyAlignment="1">
      <alignment vertical="center"/>
    </xf>
    <xf numFmtId="0" fontId="12" fillId="32" borderId="0" xfId="0" applyFont="1" applyFill="1" applyAlignment="1">
      <alignment vertical="center"/>
    </xf>
    <xf numFmtId="49" fontId="12" fillId="32" borderId="0" xfId="0" applyNumberFormat="1" applyFont="1" applyFill="1" applyAlignment="1">
      <alignment vertical="center"/>
    </xf>
    <xf numFmtId="49" fontId="12" fillId="32" borderId="95" xfId="0" applyNumberFormat="1" applyFont="1" applyFill="1" applyBorder="1" applyAlignment="1">
      <alignment horizontal="center" vertical="center"/>
    </xf>
    <xf numFmtId="0" fontId="12" fillId="32" borderId="86" xfId="0" applyFont="1" applyFill="1" applyBorder="1" applyAlignment="1">
      <alignment vertical="center"/>
    </xf>
    <xf numFmtId="3" fontId="12" fillId="32" borderId="98" xfId="0" applyNumberFormat="1" applyFont="1" applyFill="1" applyBorder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5" fillId="0" borderId="96" xfId="60" applyFont="1" applyFill="1" applyBorder="1" applyAlignment="1">
      <alignment vertical="center" wrapText="1"/>
      <protection/>
    </xf>
    <xf numFmtId="3" fontId="8" fillId="36" borderId="138" xfId="0" applyNumberFormat="1" applyFont="1" applyFill="1" applyBorder="1" applyAlignment="1">
      <alignment/>
    </xf>
    <xf numFmtId="0" fontId="0" fillId="0" borderId="28" xfId="0" applyBorder="1" applyAlignment="1">
      <alignment horizontal="left"/>
    </xf>
    <xf numFmtId="3" fontId="12" fillId="32" borderId="99" xfId="0" applyNumberFormat="1" applyFont="1" applyFill="1" applyBorder="1" applyAlignment="1">
      <alignment vertical="center"/>
    </xf>
    <xf numFmtId="3" fontId="8" fillId="4" borderId="139" xfId="0" applyNumberFormat="1" applyFont="1" applyFill="1" applyBorder="1" applyAlignment="1">
      <alignment/>
    </xf>
    <xf numFmtId="3" fontId="19" fillId="4" borderId="112" xfId="0" applyNumberFormat="1" applyFont="1" applyFill="1" applyBorder="1" applyAlignment="1">
      <alignment/>
    </xf>
    <xf numFmtId="3" fontId="8" fillId="4" borderId="29" xfId="0" applyNumberFormat="1" applyFont="1" applyFill="1" applyBorder="1" applyAlignment="1">
      <alignment/>
    </xf>
    <xf numFmtId="3" fontId="8" fillId="4" borderId="33" xfId="0" applyNumberFormat="1" applyFont="1" applyFill="1" applyBorder="1" applyAlignment="1">
      <alignment/>
    </xf>
    <xf numFmtId="3" fontId="32" fillId="32" borderId="24" xfId="60" applyNumberFormat="1" applyFont="1" applyFill="1" applyBorder="1" applyAlignment="1">
      <alignment vertical="center"/>
      <protection/>
    </xf>
    <xf numFmtId="49" fontId="8" fillId="0" borderId="0" xfId="61" applyNumberFormat="1">
      <alignment/>
      <protection/>
    </xf>
    <xf numFmtId="0" fontId="8" fillId="0" borderId="0" xfId="61">
      <alignment/>
      <protection/>
    </xf>
    <xf numFmtId="0" fontId="11" fillId="0" borderId="0" xfId="61" applyFont="1" applyAlignment="1">
      <alignment/>
      <protection/>
    </xf>
    <xf numFmtId="0" fontId="8" fillId="0" borderId="0" xfId="61" applyAlignment="1">
      <alignment/>
      <protection/>
    </xf>
    <xf numFmtId="0" fontId="13" fillId="0" borderId="0" xfId="61" applyFont="1" applyAlignment="1">
      <alignment/>
      <protection/>
    </xf>
    <xf numFmtId="0" fontId="61" fillId="0" borderId="0" xfId="0" applyFont="1" applyAlignment="1">
      <alignment horizontal="right" vertical="center"/>
    </xf>
    <xf numFmtId="0" fontId="62" fillId="0" borderId="0" xfId="61" applyFont="1">
      <alignment/>
      <protection/>
    </xf>
    <xf numFmtId="0" fontId="62" fillId="0" borderId="0" xfId="61" applyFont="1" applyAlignment="1">
      <alignment horizontal="center"/>
      <protection/>
    </xf>
    <xf numFmtId="0" fontId="60" fillId="0" borderId="0" xfId="61" applyFont="1" applyAlignment="1">
      <alignment horizontal="center" vertical="center"/>
      <protection/>
    </xf>
    <xf numFmtId="0" fontId="60" fillId="0" borderId="28" xfId="61" applyFont="1" applyBorder="1" applyAlignment="1">
      <alignment horizontal="center" vertical="center" wrapText="1"/>
      <protection/>
    </xf>
    <xf numFmtId="0" fontId="60" fillId="0" borderId="21" xfId="61" applyFont="1" applyBorder="1" applyAlignment="1">
      <alignment horizontal="center" vertical="center" wrapText="1"/>
      <protection/>
    </xf>
    <xf numFmtId="0" fontId="60" fillId="0" borderId="23" xfId="61" applyFont="1" applyBorder="1" applyAlignment="1">
      <alignment horizontal="center" vertical="center" wrapText="1"/>
      <protection/>
    </xf>
    <xf numFmtId="0" fontId="60" fillId="0" borderId="17" xfId="61" applyFont="1" applyBorder="1" applyAlignment="1">
      <alignment horizontal="center" vertical="center" wrapText="1"/>
      <protection/>
    </xf>
    <xf numFmtId="0" fontId="63" fillId="0" borderId="28" xfId="61" applyFont="1" applyBorder="1" applyAlignment="1">
      <alignment horizontal="center" vertical="center" wrapText="1"/>
      <protection/>
    </xf>
    <xf numFmtId="0" fontId="63" fillId="0" borderId="21" xfId="61" applyFont="1" applyBorder="1" applyAlignment="1">
      <alignment horizontal="center" vertical="center" wrapText="1"/>
      <protection/>
    </xf>
    <xf numFmtId="0" fontId="63" fillId="0" borderId="23" xfId="61" applyFont="1" applyBorder="1" applyAlignment="1">
      <alignment horizontal="center" vertical="center" wrapText="1"/>
      <protection/>
    </xf>
    <xf numFmtId="0" fontId="63" fillId="0" borderId="17" xfId="61" applyFont="1" applyBorder="1" applyAlignment="1">
      <alignment horizontal="center" vertical="center" wrapText="1"/>
      <protection/>
    </xf>
    <xf numFmtId="0" fontId="64" fillId="0" borderId="123" xfId="61" applyFont="1" applyBorder="1" applyAlignment="1">
      <alignment horizontal="center" vertical="center" wrapText="1"/>
      <protection/>
    </xf>
    <xf numFmtId="0" fontId="63" fillId="0" borderId="0" xfId="61" applyFont="1" applyAlignment="1">
      <alignment horizontal="center" vertical="center"/>
      <protection/>
    </xf>
    <xf numFmtId="0" fontId="19" fillId="37" borderId="21" xfId="61" applyFont="1" applyFill="1" applyBorder="1" applyAlignment="1">
      <alignment vertical="center"/>
      <protection/>
    </xf>
    <xf numFmtId="3" fontId="19" fillId="37" borderId="28" xfId="61" applyNumberFormat="1" applyFont="1" applyFill="1" applyBorder="1" applyAlignment="1">
      <alignment vertical="center"/>
      <protection/>
    </xf>
    <xf numFmtId="3" fontId="19" fillId="37" borderId="21" xfId="61" applyNumberFormat="1" applyFont="1" applyFill="1" applyBorder="1" applyAlignment="1">
      <alignment vertical="center"/>
      <protection/>
    </xf>
    <xf numFmtId="3" fontId="19" fillId="37" borderId="23" xfId="61" applyNumberFormat="1" applyFont="1" applyFill="1" applyBorder="1" applyAlignment="1">
      <alignment vertical="center"/>
      <protection/>
    </xf>
    <xf numFmtId="3" fontId="19" fillId="37" borderId="17" xfId="61" applyNumberFormat="1" applyFont="1" applyFill="1" applyBorder="1" applyAlignment="1">
      <alignment vertical="center"/>
      <protection/>
    </xf>
    <xf numFmtId="3" fontId="19" fillId="37" borderId="38" xfId="61" applyNumberFormat="1" applyFont="1" applyFill="1" applyBorder="1" applyAlignment="1">
      <alignment vertical="center"/>
      <protection/>
    </xf>
    <xf numFmtId="3" fontId="19" fillId="0" borderId="0" xfId="61" applyNumberFormat="1" applyFont="1" applyAlignment="1">
      <alignment vertical="center"/>
      <protection/>
    </xf>
    <xf numFmtId="3" fontId="116" fillId="0" borderId="0" xfId="61" applyNumberFormat="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49" fontId="19" fillId="37" borderId="28" xfId="61" applyNumberFormat="1" applyFont="1" applyFill="1" applyBorder="1" applyAlignment="1">
      <alignment horizontal="center" vertical="center"/>
      <protection/>
    </xf>
    <xf numFmtId="0" fontId="19" fillId="0" borderId="21" xfId="61" applyFont="1" applyBorder="1">
      <alignment/>
      <protection/>
    </xf>
    <xf numFmtId="4" fontId="19" fillId="0" borderId="28" xfId="61" applyNumberFormat="1" applyFont="1" applyBorder="1" applyAlignment="1">
      <alignment vertical="center"/>
      <protection/>
    </xf>
    <xf numFmtId="3" fontId="19" fillId="0" borderId="21" xfId="61" applyNumberFormat="1" applyFont="1" applyBorder="1" applyAlignment="1">
      <alignment vertical="center"/>
      <protection/>
    </xf>
    <xf numFmtId="3" fontId="19" fillId="0" borderId="23" xfId="61" applyNumberFormat="1" applyFont="1" applyBorder="1" applyAlignment="1">
      <alignment vertical="center"/>
      <protection/>
    </xf>
    <xf numFmtId="3" fontId="19" fillId="0" borderId="28" xfId="61" applyNumberFormat="1" applyFont="1" applyBorder="1" applyAlignment="1">
      <alignment vertical="center"/>
      <protection/>
    </xf>
    <xf numFmtId="3" fontId="19" fillId="0" borderId="17" xfId="61" applyNumberFormat="1" applyFont="1" applyBorder="1" applyAlignment="1">
      <alignment vertical="center"/>
      <protection/>
    </xf>
    <xf numFmtId="3" fontId="19" fillId="0" borderId="38" xfId="61" applyNumberFormat="1" applyFont="1" applyBorder="1" applyAlignment="1">
      <alignment vertical="center"/>
      <protection/>
    </xf>
    <xf numFmtId="3" fontId="19" fillId="0" borderId="0" xfId="61" applyNumberFormat="1" applyFont="1">
      <alignment/>
      <protection/>
    </xf>
    <xf numFmtId="3" fontId="8" fillId="0" borderId="0" xfId="61" applyNumberFormat="1" applyFont="1">
      <alignment/>
      <protection/>
    </xf>
    <xf numFmtId="0" fontId="19" fillId="0" borderId="0" xfId="61" applyFont="1">
      <alignment/>
      <protection/>
    </xf>
    <xf numFmtId="49" fontId="19" fillId="0" borderId="28" xfId="61" applyNumberFormat="1" applyFont="1" applyBorder="1" applyAlignment="1">
      <alignment vertical="center"/>
      <protection/>
    </xf>
    <xf numFmtId="49" fontId="8" fillId="0" borderId="28" xfId="61" applyNumberFormat="1" applyBorder="1" applyAlignment="1">
      <alignment vertical="center"/>
      <protection/>
    </xf>
    <xf numFmtId="0" fontId="8" fillId="0" borderId="21" xfId="61" applyFont="1" applyBorder="1">
      <alignment/>
      <protection/>
    </xf>
    <xf numFmtId="3" fontId="8" fillId="0" borderId="28" xfId="61" applyNumberFormat="1" applyBorder="1" applyAlignment="1">
      <alignment vertical="center"/>
      <protection/>
    </xf>
    <xf numFmtId="3" fontId="8" fillId="0" borderId="21" xfId="61" applyNumberFormat="1" applyBorder="1" applyAlignment="1">
      <alignment vertical="center"/>
      <protection/>
    </xf>
    <xf numFmtId="3" fontId="8" fillId="0" borderId="23" xfId="61" applyNumberFormat="1" applyBorder="1" applyAlignment="1">
      <alignment vertical="center"/>
      <protection/>
    </xf>
    <xf numFmtId="3" fontId="8" fillId="0" borderId="17" xfId="61" applyNumberFormat="1" applyBorder="1" applyAlignment="1">
      <alignment vertical="center"/>
      <protection/>
    </xf>
    <xf numFmtId="3" fontId="8" fillId="0" borderId="38" xfId="61" applyNumberFormat="1" applyBorder="1" applyAlignment="1">
      <alignment vertical="center"/>
      <protection/>
    </xf>
    <xf numFmtId="3" fontId="8" fillId="0" borderId="0" xfId="61" applyNumberFormat="1">
      <alignment/>
      <protection/>
    </xf>
    <xf numFmtId="3" fontId="19" fillId="0" borderId="28" xfId="61" applyNumberFormat="1" applyFont="1" applyFill="1" applyBorder="1" applyAlignment="1">
      <alignment vertical="center"/>
      <protection/>
    </xf>
    <xf numFmtId="3" fontId="19" fillId="0" borderId="21" xfId="61" applyNumberFormat="1" applyFont="1" applyFill="1" applyBorder="1" applyAlignment="1">
      <alignment vertical="center"/>
      <protection/>
    </xf>
    <xf numFmtId="171" fontId="19" fillId="0" borderId="28" xfId="61" applyNumberFormat="1" applyFont="1" applyBorder="1" applyAlignment="1">
      <alignment vertical="center"/>
      <protection/>
    </xf>
    <xf numFmtId="171" fontId="19" fillId="0" borderId="17" xfId="61" applyNumberFormat="1" applyFont="1" applyBorder="1" applyAlignment="1">
      <alignment vertical="center"/>
      <protection/>
    </xf>
    <xf numFmtId="0" fontId="8" fillId="37" borderId="21" xfId="61" applyFill="1" applyBorder="1">
      <alignment/>
      <protection/>
    </xf>
    <xf numFmtId="3" fontId="8" fillId="37" borderId="28" xfId="61" applyNumberFormat="1" applyFill="1" applyBorder="1" applyAlignment="1">
      <alignment vertical="center"/>
      <protection/>
    </xf>
    <xf numFmtId="3" fontId="8" fillId="37" borderId="21" xfId="61" applyNumberFormat="1" applyFill="1" applyBorder="1" applyAlignment="1">
      <alignment vertical="center"/>
      <protection/>
    </xf>
    <xf numFmtId="3" fontId="8" fillId="37" borderId="17" xfId="61" applyNumberFormat="1" applyFill="1" applyBorder="1" applyAlignment="1">
      <alignment vertical="center"/>
      <protection/>
    </xf>
    <xf numFmtId="3" fontId="116" fillId="0" borderId="0" xfId="61" applyNumberFormat="1" applyFont="1">
      <alignment/>
      <protection/>
    </xf>
    <xf numFmtId="171" fontId="8" fillId="0" borderId="28" xfId="61" applyNumberFormat="1" applyBorder="1" applyAlignment="1">
      <alignment vertical="center"/>
      <protection/>
    </xf>
    <xf numFmtId="171" fontId="8" fillId="0" borderId="17" xfId="61" applyNumberFormat="1" applyBorder="1" applyAlignment="1">
      <alignment vertical="center"/>
      <protection/>
    </xf>
    <xf numFmtId="0" fontId="19" fillId="37" borderId="21" xfId="61" applyFont="1" applyFill="1" applyBorder="1">
      <alignment/>
      <protection/>
    </xf>
    <xf numFmtId="4" fontId="19" fillId="37" borderId="28" xfId="61" applyNumberFormat="1" applyFont="1" applyFill="1" applyBorder="1" applyAlignment="1">
      <alignment vertical="center"/>
      <protection/>
    </xf>
    <xf numFmtId="4" fontId="19" fillId="37" borderId="17" xfId="61" applyNumberFormat="1" applyFont="1" applyFill="1" applyBorder="1" applyAlignment="1">
      <alignment vertical="center"/>
      <protection/>
    </xf>
    <xf numFmtId="2" fontId="8" fillId="0" borderId="28" xfId="61" applyNumberFormat="1" applyBorder="1" applyAlignment="1">
      <alignment vertical="center"/>
      <protection/>
    </xf>
    <xf numFmtId="2" fontId="8" fillId="0" borderId="17" xfId="61" applyNumberFormat="1" applyBorder="1" applyAlignment="1">
      <alignment vertical="center"/>
      <protection/>
    </xf>
    <xf numFmtId="4" fontId="8" fillId="0" borderId="28" xfId="61" applyNumberFormat="1" applyBorder="1" applyAlignment="1">
      <alignment vertical="center"/>
      <protection/>
    </xf>
    <xf numFmtId="3" fontId="8" fillId="0" borderId="38" xfId="61" applyNumberFormat="1" applyFont="1" applyBorder="1" applyAlignment="1">
      <alignment vertical="center"/>
      <protection/>
    </xf>
    <xf numFmtId="3" fontId="8" fillId="32" borderId="23" xfId="61" applyNumberFormat="1" applyFill="1" applyBorder="1" applyAlignment="1">
      <alignment vertical="center"/>
      <protection/>
    </xf>
    <xf numFmtId="3" fontId="8" fillId="0" borderId="21" xfId="61" applyNumberFormat="1" applyFill="1" applyBorder="1" applyAlignment="1">
      <alignment vertical="center"/>
      <protection/>
    </xf>
    <xf numFmtId="3" fontId="8" fillId="0" borderId="28" xfId="61" applyNumberFormat="1" applyFont="1" applyFill="1" applyBorder="1" applyAlignment="1">
      <alignment vertical="center"/>
      <protection/>
    </xf>
    <xf numFmtId="3" fontId="8" fillId="0" borderId="21" xfId="61" applyNumberFormat="1" applyFont="1" applyFill="1" applyBorder="1" applyAlignment="1">
      <alignment vertical="center"/>
      <protection/>
    </xf>
    <xf numFmtId="3" fontId="8" fillId="0" borderId="23" xfId="61" applyNumberFormat="1" applyFont="1" applyBorder="1" applyAlignment="1">
      <alignment vertical="center"/>
      <protection/>
    </xf>
    <xf numFmtId="4" fontId="8" fillId="0" borderId="28" xfId="61" applyNumberFormat="1" applyFill="1" applyBorder="1" applyAlignment="1">
      <alignment vertical="center"/>
      <protection/>
    </xf>
    <xf numFmtId="3" fontId="8" fillId="0" borderId="17" xfId="61" applyNumberFormat="1" applyFill="1" applyBorder="1" applyAlignment="1">
      <alignment vertical="center"/>
      <protection/>
    </xf>
    <xf numFmtId="49" fontId="19" fillId="37" borderId="28" xfId="61" applyNumberFormat="1" applyFont="1" applyFill="1" applyBorder="1" applyAlignment="1">
      <alignment horizontal="left" vertical="center"/>
      <protection/>
    </xf>
    <xf numFmtId="0" fontId="19" fillId="0" borderId="21" xfId="61" applyFont="1" applyBorder="1" applyAlignment="1">
      <alignment horizontal="left" vertical="center"/>
      <protection/>
    </xf>
    <xf numFmtId="3" fontId="65" fillId="37" borderId="29" xfId="61" applyNumberFormat="1" applyFont="1" applyFill="1" applyBorder="1" applyAlignment="1">
      <alignment horizontal="center" vertical="center"/>
      <protection/>
    </xf>
    <xf numFmtId="3" fontId="65" fillId="37" borderId="18" xfId="61" applyNumberFormat="1" applyFont="1" applyFill="1" applyBorder="1" applyAlignment="1">
      <alignment horizontal="center" vertical="center"/>
      <protection/>
    </xf>
    <xf numFmtId="3" fontId="65" fillId="37" borderId="32" xfId="61" applyNumberFormat="1" applyFont="1" applyFill="1" applyBorder="1" applyAlignment="1">
      <alignment vertical="center"/>
      <protection/>
    </xf>
    <xf numFmtId="3" fontId="65" fillId="37" borderId="20" xfId="61" applyNumberFormat="1" applyFont="1" applyFill="1" applyBorder="1" applyAlignment="1">
      <alignment horizontal="center" vertical="center"/>
      <protection/>
    </xf>
    <xf numFmtId="3" fontId="66" fillId="37" borderId="134" xfId="61" applyNumberFormat="1" applyFont="1" applyFill="1" applyBorder="1" applyAlignment="1">
      <alignment vertical="center"/>
      <protection/>
    </xf>
    <xf numFmtId="3" fontId="67" fillId="0" borderId="0" xfId="61" applyNumberFormat="1" applyFont="1">
      <alignment/>
      <protection/>
    </xf>
    <xf numFmtId="3" fontId="60" fillId="0" borderId="0" xfId="61" applyNumberFormat="1" applyFont="1">
      <alignment/>
      <protection/>
    </xf>
    <xf numFmtId="0" fontId="67" fillId="0" borderId="0" xfId="61" applyFont="1">
      <alignment/>
      <protection/>
    </xf>
    <xf numFmtId="0" fontId="60" fillId="0" borderId="23" xfId="61" applyFont="1" applyBorder="1" applyAlignment="1">
      <alignment horizontal="center" vertical="center"/>
      <protection/>
    </xf>
    <xf numFmtId="0" fontId="63" fillId="0" borderId="23" xfId="61" applyFont="1" applyBorder="1" applyAlignment="1">
      <alignment horizontal="center" vertical="center"/>
      <protection/>
    </xf>
    <xf numFmtId="49" fontId="8" fillId="0" borderId="66" xfId="61" applyNumberFormat="1" applyBorder="1">
      <alignment/>
      <protection/>
    </xf>
    <xf numFmtId="0" fontId="19" fillId="37" borderId="23" xfId="61" applyFont="1" applyFill="1" applyBorder="1" applyAlignment="1">
      <alignment vertical="center" wrapText="1"/>
      <protection/>
    </xf>
    <xf numFmtId="0" fontId="19" fillId="0" borderId="23" xfId="61" applyFont="1" applyBorder="1" applyAlignment="1">
      <alignment wrapText="1"/>
      <protection/>
    </xf>
    <xf numFmtId="0" fontId="8" fillId="0" borderId="23" xfId="61" applyFont="1" applyBorder="1">
      <alignment/>
      <protection/>
    </xf>
    <xf numFmtId="0" fontId="19" fillId="0" borderId="23" xfId="61" applyFont="1" applyBorder="1">
      <alignment/>
      <protection/>
    </xf>
    <xf numFmtId="0" fontId="8" fillId="0" borderId="23" xfId="61" applyFont="1" applyBorder="1" applyAlignment="1">
      <alignment wrapText="1"/>
      <protection/>
    </xf>
    <xf numFmtId="0" fontId="19" fillId="0" borderId="23" xfId="61" applyFont="1" applyBorder="1" applyAlignment="1">
      <alignment horizontal="left" vertical="center" wrapText="1"/>
      <protection/>
    </xf>
    <xf numFmtId="0" fontId="47" fillId="0" borderId="39" xfId="0" applyFont="1" applyFill="1" applyBorder="1" applyAlignment="1">
      <alignment horizontal="center" vertical="center" wrapText="1"/>
    </xf>
    <xf numFmtId="3" fontId="47" fillId="0" borderId="39" xfId="0" applyNumberFormat="1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horizontal="right" vertical="center" wrapText="1"/>
    </xf>
    <xf numFmtId="3" fontId="47" fillId="0" borderId="40" xfId="0" applyNumberFormat="1" applyFont="1" applyFill="1" applyBorder="1" applyAlignment="1">
      <alignment vertical="center"/>
    </xf>
    <xf numFmtId="0" fontId="16" fillId="0" borderId="66" xfId="59" applyFont="1" applyBorder="1" applyAlignment="1">
      <alignment horizontal="center" wrapText="1"/>
      <protection/>
    </xf>
    <xf numFmtId="0" fontId="16" fillId="0" borderId="0" xfId="59" applyFont="1" applyBorder="1" applyAlignment="1">
      <alignment horizontal="center" wrapText="1"/>
      <protection/>
    </xf>
    <xf numFmtId="3" fontId="19" fillId="32" borderId="28" xfId="61" applyNumberFormat="1" applyFont="1" applyFill="1" applyBorder="1" applyAlignment="1">
      <alignment vertical="center"/>
      <protection/>
    </xf>
    <xf numFmtId="3" fontId="19" fillId="32" borderId="21" xfId="61" applyNumberFormat="1" applyFont="1" applyFill="1" applyBorder="1" applyAlignment="1">
      <alignment vertical="center"/>
      <protection/>
    </xf>
    <xf numFmtId="3" fontId="19" fillId="32" borderId="23" xfId="61" applyNumberFormat="1" applyFont="1" applyFill="1" applyBorder="1" applyAlignment="1">
      <alignment vertical="center"/>
      <protection/>
    </xf>
    <xf numFmtId="4" fontId="19" fillId="32" borderId="28" xfId="61" applyNumberFormat="1" applyFont="1" applyFill="1" applyBorder="1" applyAlignment="1">
      <alignment vertical="center"/>
      <protection/>
    </xf>
    <xf numFmtId="3" fontId="19" fillId="32" borderId="17" xfId="61" applyNumberFormat="1" applyFont="1" applyFill="1" applyBorder="1" applyAlignment="1">
      <alignment vertical="center"/>
      <protection/>
    </xf>
    <xf numFmtId="4" fontId="19" fillId="32" borderId="17" xfId="61" applyNumberFormat="1" applyFont="1" applyFill="1" applyBorder="1" applyAlignment="1">
      <alignment vertical="center"/>
      <protection/>
    </xf>
    <xf numFmtId="3" fontId="8" fillId="32" borderId="23" xfId="61" applyNumberFormat="1" applyFont="1" applyFill="1" applyBorder="1" applyAlignment="1">
      <alignment vertical="center"/>
      <protection/>
    </xf>
    <xf numFmtId="0" fontId="7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 wrapText="1"/>
    </xf>
    <xf numFmtId="166" fontId="2" fillId="0" borderId="57" xfId="0" applyNumberFormat="1" applyFont="1" applyFill="1" applyBorder="1" applyAlignment="1">
      <alignment vertical="center"/>
    </xf>
    <xf numFmtId="3" fontId="0" fillId="4" borderId="42" xfId="0" applyNumberFormat="1" applyFill="1" applyBorder="1" applyAlignment="1">
      <alignment/>
    </xf>
    <xf numFmtId="3" fontId="19" fillId="36" borderId="41" xfId="0" applyNumberFormat="1" applyFont="1" applyFill="1" applyBorder="1" applyAlignment="1">
      <alignment/>
    </xf>
    <xf numFmtId="0" fontId="0" fillId="0" borderId="41" xfId="0" applyBorder="1" applyAlignment="1">
      <alignment horizontal="right"/>
    </xf>
    <xf numFmtId="3" fontId="0" fillId="4" borderId="127" xfId="0" applyNumberFormat="1" applyFill="1" applyBorder="1" applyAlignment="1">
      <alignment/>
    </xf>
    <xf numFmtId="0" fontId="31" fillId="34" borderId="0" xfId="0" applyFont="1" applyFill="1" applyAlignment="1">
      <alignment vertical="center"/>
    </xf>
    <xf numFmtId="49" fontId="31" fillId="34" borderId="0" xfId="0" applyNumberFormat="1" applyFont="1" applyFill="1" applyAlignment="1">
      <alignment vertical="center"/>
    </xf>
    <xf numFmtId="0" fontId="32" fillId="34" borderId="0" xfId="0" applyFont="1" applyFill="1" applyAlignment="1">
      <alignment vertical="center"/>
    </xf>
    <xf numFmtId="0" fontId="31" fillId="0" borderId="21" xfId="0" applyFont="1" applyBorder="1" applyAlignment="1">
      <alignment horizontal="lef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1" fillId="0" borderId="21" xfId="0" applyFont="1" applyBorder="1" applyAlignment="1">
      <alignment horizontal="left" wrapText="1"/>
    </xf>
    <xf numFmtId="0" fontId="32" fillId="0" borderId="21" xfId="0" applyFont="1" applyBorder="1" applyAlignment="1">
      <alignment horizontal="left" wrapText="1"/>
    </xf>
    <xf numFmtId="0" fontId="32" fillId="0" borderId="14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35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1" fillId="0" borderId="14" xfId="58" applyFont="1" applyBorder="1" applyAlignment="1">
      <alignment horizontal="left" wrapText="1"/>
      <protection/>
    </xf>
    <xf numFmtId="0" fontId="31" fillId="0" borderId="17" xfId="58" applyFont="1" applyBorder="1" applyAlignment="1">
      <alignment horizontal="left" wrapText="1"/>
      <protection/>
    </xf>
    <xf numFmtId="0" fontId="31" fillId="0" borderId="14" xfId="58" applyFont="1" applyBorder="1" applyAlignment="1">
      <alignment horizontal="left"/>
      <protection/>
    </xf>
    <xf numFmtId="0" fontId="31" fillId="0" borderId="17" xfId="58" applyFont="1" applyBorder="1" applyAlignment="1">
      <alignment horizontal="left"/>
      <protection/>
    </xf>
    <xf numFmtId="0" fontId="31" fillId="0" borderId="16" xfId="58" applyFont="1" applyBorder="1" applyAlignment="1">
      <alignment horizontal="left"/>
      <protection/>
    </xf>
    <xf numFmtId="0" fontId="31" fillId="0" borderId="21" xfId="58" applyFont="1" applyBorder="1" applyAlignment="1">
      <alignment horizontal="left"/>
      <protection/>
    </xf>
    <xf numFmtId="0" fontId="14" fillId="0" borderId="14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14" fillId="0" borderId="17" xfId="58" applyFont="1" applyBorder="1" applyAlignment="1">
      <alignment horizontal="left"/>
      <protection/>
    </xf>
    <xf numFmtId="0" fontId="32" fillId="0" borderId="14" xfId="58" applyFont="1" applyBorder="1" applyAlignment="1">
      <alignment horizontal="left" wrapText="1"/>
      <protection/>
    </xf>
    <xf numFmtId="0" fontId="32" fillId="0" borderId="17" xfId="58" applyFont="1" applyBorder="1" applyAlignment="1">
      <alignment horizontal="left" wrapText="1"/>
      <protection/>
    </xf>
    <xf numFmtId="0" fontId="13" fillId="0" borderId="0" xfId="58" applyFont="1" applyAlignment="1">
      <alignment horizontal="right" vertical="center"/>
      <protection/>
    </xf>
    <xf numFmtId="0" fontId="34" fillId="0" borderId="0" xfId="58" applyFont="1" applyFill="1" applyAlignment="1">
      <alignment horizontal="center" vertical="center"/>
      <protection/>
    </xf>
    <xf numFmtId="0" fontId="35" fillId="0" borderId="14" xfId="58" applyFont="1" applyFill="1" applyBorder="1" applyAlignment="1">
      <alignment horizontal="center" vertical="center" wrapText="1"/>
      <protection/>
    </xf>
    <xf numFmtId="0" fontId="14" fillId="0" borderId="16" xfId="58" applyFont="1" applyFill="1" applyBorder="1" applyAlignment="1">
      <alignment horizontal="center" vertical="center" wrapText="1"/>
      <protection/>
    </xf>
    <xf numFmtId="0" fontId="14" fillId="0" borderId="17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4" fillId="0" borderId="21" xfId="58" applyFont="1" applyBorder="1" applyAlignment="1">
      <alignment horizontal="left"/>
      <protection/>
    </xf>
    <xf numFmtId="0" fontId="31" fillId="0" borderId="14" xfId="58" applyFont="1" applyBorder="1" applyAlignment="1">
      <alignment horizontal="left" vertical="center" wrapText="1"/>
      <protection/>
    </xf>
    <xf numFmtId="0" fontId="31" fillId="0" borderId="17" xfId="58" applyFont="1" applyBorder="1" applyAlignment="1">
      <alignment horizontal="left" vertical="center" wrapText="1"/>
      <protection/>
    </xf>
    <xf numFmtId="0" fontId="10" fillId="0" borderId="14" xfId="58" applyFont="1" applyBorder="1" applyAlignment="1">
      <alignment horizontal="left"/>
      <protection/>
    </xf>
    <xf numFmtId="0" fontId="10" fillId="0" borderId="16" xfId="58" applyFont="1" applyBorder="1" applyAlignment="1">
      <alignment horizontal="left"/>
      <protection/>
    </xf>
    <xf numFmtId="0" fontId="10" fillId="0" borderId="17" xfId="58" applyFont="1" applyBorder="1" applyAlignment="1">
      <alignment horizontal="left"/>
      <protection/>
    </xf>
    <xf numFmtId="0" fontId="15" fillId="0" borderId="14" xfId="57" applyFont="1" applyBorder="1" applyAlignment="1">
      <alignment horizontal="center" vertical="center" wrapText="1"/>
      <protection/>
    </xf>
    <xf numFmtId="0" fontId="15" fillId="0" borderId="16" xfId="57" applyFont="1" applyBorder="1" applyAlignment="1">
      <alignment horizontal="center" vertical="center" wrapText="1"/>
      <protection/>
    </xf>
    <xf numFmtId="0" fontId="15" fillId="0" borderId="17" xfId="57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30" fillId="0" borderId="0" xfId="0" applyFont="1" applyAlignment="1">
      <alignment horizontal="right"/>
    </xf>
    <xf numFmtId="0" fontId="10" fillId="0" borderId="0" xfId="57" applyFont="1" applyAlignment="1">
      <alignment horizontal="center"/>
      <protection/>
    </xf>
    <xf numFmtId="0" fontId="10" fillId="0" borderId="21" xfId="57" applyFont="1" applyBorder="1" applyAlignment="1">
      <alignment horizontal="center" vertical="center"/>
      <protection/>
    </xf>
    <xf numFmtId="0" fontId="15" fillId="0" borderId="21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/>
      <protection/>
    </xf>
    <xf numFmtId="0" fontId="15" fillId="0" borderId="16" xfId="57" applyFont="1" applyBorder="1" applyAlignment="1">
      <alignment horizontal="center"/>
      <protection/>
    </xf>
    <xf numFmtId="0" fontId="15" fillId="0" borderId="17" xfId="57" applyFont="1" applyBorder="1" applyAlignment="1">
      <alignment horizontal="center"/>
      <protection/>
    </xf>
    <xf numFmtId="0" fontId="12" fillId="0" borderId="14" xfId="57" applyFont="1" applyBorder="1" applyAlignment="1">
      <alignment horizontal="right" vertical="center"/>
      <protection/>
    </xf>
    <xf numFmtId="0" fontId="12" fillId="0" borderId="16" xfId="57" applyFont="1" applyBorder="1" applyAlignment="1">
      <alignment horizontal="right" vertical="center"/>
      <protection/>
    </xf>
    <xf numFmtId="49" fontId="32" fillId="0" borderId="28" xfId="0" applyNumberFormat="1" applyFont="1" applyFill="1" applyBorder="1" applyAlignment="1">
      <alignment horizontal="center" textRotation="90"/>
    </xf>
    <xf numFmtId="0" fontId="3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0" xfId="0" applyFont="1" applyFill="1" applyAlignment="1">
      <alignment horizontal="center" vertical="center"/>
    </xf>
    <xf numFmtId="49" fontId="15" fillId="0" borderId="129" xfId="0" applyNumberFormat="1" applyFont="1" applyFill="1" applyBorder="1" applyAlignment="1">
      <alignment horizontal="center" vertical="center"/>
    </xf>
    <xf numFmtId="49" fontId="15" fillId="0" borderId="131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52" fillId="0" borderId="140" xfId="0" applyFont="1" applyFill="1" applyBorder="1" applyAlignment="1">
      <alignment horizontal="center" vertical="center" wrapText="1"/>
    </xf>
    <xf numFmtId="0" fontId="52" fillId="0" borderId="141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15" fillId="0" borderId="142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140" xfId="0" applyFont="1" applyFill="1" applyBorder="1" applyAlignment="1">
      <alignment horizontal="center" vertical="center" wrapText="1"/>
    </xf>
    <xf numFmtId="0" fontId="15" fillId="0" borderId="141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35" fillId="34" borderId="126" xfId="0" applyNumberFormat="1" applyFont="1" applyFill="1" applyBorder="1" applyAlignment="1">
      <alignment horizontal="left" vertical="center"/>
    </xf>
    <xf numFmtId="49" fontId="35" fillId="34" borderId="16" xfId="0" applyNumberFormat="1" applyFont="1" applyFill="1" applyBorder="1" applyAlignment="1">
      <alignment horizontal="left" vertical="center"/>
    </xf>
    <xf numFmtId="49" fontId="35" fillId="34" borderId="11" xfId="0" applyNumberFormat="1" applyFont="1" applyFill="1" applyBorder="1" applyAlignment="1">
      <alignment horizontal="left" vertical="center"/>
    </xf>
    <xf numFmtId="49" fontId="35" fillId="34" borderId="130" xfId="0" applyNumberFormat="1" applyFont="1" applyFill="1" applyBorder="1" applyAlignment="1">
      <alignment horizontal="left" vertical="center"/>
    </xf>
    <xf numFmtId="49" fontId="35" fillId="34" borderId="26" xfId="0" applyNumberFormat="1" applyFont="1" applyFill="1" applyBorder="1" applyAlignment="1">
      <alignment horizontal="left" vertical="center"/>
    </xf>
    <xf numFmtId="49" fontId="35" fillId="34" borderId="22" xfId="0" applyNumberFormat="1" applyFont="1" applyFill="1" applyBorder="1" applyAlignment="1">
      <alignment horizontal="left" vertical="center"/>
    </xf>
    <xf numFmtId="0" fontId="15" fillId="0" borderId="138" xfId="0" applyFont="1" applyFill="1" applyBorder="1" applyAlignment="1">
      <alignment horizontal="center" vertical="center"/>
    </xf>
    <xf numFmtId="49" fontId="35" fillId="34" borderId="124" xfId="0" applyNumberFormat="1" applyFont="1" applyFill="1" applyBorder="1" applyAlignment="1">
      <alignment horizontal="left" vertical="center"/>
    </xf>
    <xf numFmtId="49" fontId="35" fillId="34" borderId="142" xfId="0" applyNumberFormat="1" applyFont="1" applyFill="1" applyBorder="1" applyAlignment="1">
      <alignment horizontal="left" vertical="center"/>
    </xf>
    <xf numFmtId="49" fontId="35" fillId="34" borderId="143" xfId="0" applyNumberFormat="1" applyFont="1" applyFill="1" applyBorder="1" applyAlignment="1">
      <alignment horizontal="left" vertical="center"/>
    </xf>
    <xf numFmtId="0" fontId="49" fillId="0" borderId="139" xfId="60" applyFont="1" applyFill="1" applyBorder="1" applyAlignment="1">
      <alignment horizontal="left" vertical="center"/>
      <protection/>
    </xf>
    <xf numFmtId="0" fontId="49" fillId="0" borderId="27" xfId="60" applyFont="1" applyFill="1" applyBorder="1" applyAlignment="1">
      <alignment horizontal="left" vertical="center"/>
      <protection/>
    </xf>
    <xf numFmtId="0" fontId="49" fillId="0" borderId="13" xfId="60" applyFont="1" applyFill="1" applyBorder="1" applyAlignment="1">
      <alignment horizontal="left" vertical="center"/>
      <protection/>
    </xf>
    <xf numFmtId="0" fontId="112" fillId="0" borderId="109" xfId="60" applyFont="1" applyFill="1" applyBorder="1" applyAlignment="1">
      <alignment horizontal="left" vertical="center"/>
      <protection/>
    </xf>
    <xf numFmtId="0" fontId="112" fillId="0" borderId="111" xfId="60" applyFont="1" applyFill="1" applyBorder="1" applyAlignment="1">
      <alignment horizontal="left" vertical="center"/>
      <protection/>
    </xf>
    <xf numFmtId="0" fontId="112" fillId="0" borderId="100" xfId="60" applyFont="1" applyFill="1" applyBorder="1" applyAlignment="1">
      <alignment horizontal="left" vertical="center"/>
      <protection/>
    </xf>
    <xf numFmtId="0" fontId="15" fillId="0" borderId="37" xfId="60" applyFont="1" applyFill="1" applyBorder="1" applyAlignment="1">
      <alignment horizontal="center" vertical="center" wrapText="1"/>
      <protection/>
    </xf>
    <xf numFmtId="0" fontId="15" fillId="0" borderId="36" xfId="60" applyFont="1" applyFill="1" applyBorder="1" applyAlignment="1">
      <alignment horizontal="center" vertical="center" wrapText="1"/>
      <protection/>
    </xf>
    <xf numFmtId="0" fontId="15" fillId="0" borderId="39" xfId="60" applyFont="1" applyFill="1" applyBorder="1" applyAlignment="1">
      <alignment horizontal="center" vertical="center" wrapText="1"/>
      <protection/>
    </xf>
    <xf numFmtId="0" fontId="15" fillId="0" borderId="17" xfId="60" applyFont="1" applyFill="1" applyBorder="1" applyAlignment="1">
      <alignment horizontal="center" vertical="center" wrapText="1"/>
      <protection/>
    </xf>
    <xf numFmtId="0" fontId="15" fillId="0" borderId="21" xfId="60" applyFont="1" applyFill="1" applyBorder="1" applyAlignment="1">
      <alignment horizontal="center" vertical="center" wrapText="1"/>
      <protection/>
    </xf>
    <xf numFmtId="0" fontId="15" fillId="0" borderId="23" xfId="60" applyFont="1" applyFill="1" applyBorder="1" applyAlignment="1">
      <alignment horizontal="center" vertical="center" wrapText="1"/>
      <protection/>
    </xf>
    <xf numFmtId="0" fontId="112" fillId="0" borderId="109" xfId="60" applyFont="1" applyFill="1" applyBorder="1" applyAlignment="1">
      <alignment horizontal="left" vertical="center" wrapText="1"/>
      <protection/>
    </xf>
    <xf numFmtId="0" fontId="112" fillId="0" borderId="111" xfId="60" applyFont="1" applyFill="1" applyBorder="1" applyAlignment="1">
      <alignment horizontal="left" vertical="center" wrapText="1"/>
      <protection/>
    </xf>
    <xf numFmtId="0" fontId="112" fillId="0" borderId="100" xfId="60" applyFont="1" applyFill="1" applyBorder="1" applyAlignment="1">
      <alignment horizontal="left" vertical="center" wrapText="1"/>
      <protection/>
    </xf>
    <xf numFmtId="0" fontId="15" fillId="0" borderId="71" xfId="60" applyFont="1" applyFill="1" applyBorder="1" applyAlignment="1">
      <alignment horizontal="center" vertical="center"/>
      <protection/>
    </xf>
    <xf numFmtId="0" fontId="15" fillId="0" borderId="30" xfId="60" applyFont="1" applyFill="1" applyBorder="1" applyAlignment="1">
      <alignment horizontal="center" vertical="center"/>
      <protection/>
    </xf>
    <xf numFmtId="0" fontId="15" fillId="0" borderId="144" xfId="60" applyFont="1" applyFill="1" applyBorder="1" applyAlignment="1">
      <alignment horizontal="center" vertical="center"/>
      <protection/>
    </xf>
    <xf numFmtId="49" fontId="15" fillId="0" borderId="129" xfId="60" applyNumberFormat="1" applyFont="1" applyFill="1" applyBorder="1" applyAlignment="1">
      <alignment horizontal="center" vertical="center"/>
      <protection/>
    </xf>
    <xf numFmtId="49" fontId="15" fillId="0" borderId="131" xfId="60" applyNumberFormat="1" applyFont="1" applyFill="1" applyBorder="1" applyAlignment="1">
      <alignment horizontal="center" vertical="center"/>
      <protection/>
    </xf>
    <xf numFmtId="49" fontId="15" fillId="0" borderId="145" xfId="60" applyNumberFormat="1" applyFont="1" applyFill="1" applyBorder="1" applyAlignment="1">
      <alignment horizontal="center" vertical="center"/>
      <protection/>
    </xf>
    <xf numFmtId="0" fontId="10" fillId="0" borderId="111" xfId="60" applyFont="1" applyFill="1" applyBorder="1" applyAlignment="1">
      <alignment horizontal="center" vertical="center"/>
      <protection/>
    </xf>
    <xf numFmtId="0" fontId="10" fillId="0" borderId="100" xfId="60" applyFont="1" applyFill="1" applyBorder="1" applyAlignment="1">
      <alignment horizontal="center" vertical="center"/>
      <protection/>
    </xf>
    <xf numFmtId="3" fontId="32" fillId="0" borderId="40" xfId="60" applyNumberFormat="1" applyFont="1" applyFill="1" applyBorder="1" applyAlignment="1">
      <alignment horizontal="center" vertical="center"/>
      <protection/>
    </xf>
    <xf numFmtId="3" fontId="32" fillId="0" borderId="39" xfId="60" applyNumberFormat="1" applyFont="1" applyFill="1" applyBorder="1" applyAlignment="1">
      <alignment horizontal="center" vertical="center"/>
      <protection/>
    </xf>
    <xf numFmtId="0" fontId="13" fillId="0" borderId="0" xfId="60" applyFont="1" applyFill="1" applyAlignment="1">
      <alignment horizontal="right" vertical="center"/>
      <protection/>
    </xf>
    <xf numFmtId="0" fontId="13" fillId="0" borderId="0" xfId="60" applyFont="1" applyAlignment="1">
      <alignment horizontal="right"/>
      <protection/>
    </xf>
    <xf numFmtId="0" fontId="12" fillId="0" borderId="146" xfId="60" applyFont="1" applyFill="1" applyBorder="1" applyAlignment="1">
      <alignment horizontal="center" vertical="center" wrapText="1"/>
      <protection/>
    </xf>
    <xf numFmtId="0" fontId="12" fillId="0" borderId="116" xfId="60" applyFont="1" applyFill="1" applyBorder="1" applyAlignment="1">
      <alignment horizontal="center" vertical="center" wrapText="1"/>
      <protection/>
    </xf>
    <xf numFmtId="0" fontId="12" fillId="0" borderId="147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horizontal="center" vertical="center" wrapText="1"/>
      <protection/>
    </xf>
    <xf numFmtId="0" fontId="15" fillId="0" borderId="58" xfId="60" applyFont="1" applyFill="1" applyBorder="1" applyAlignment="1">
      <alignment horizontal="center" vertical="center" wrapText="1"/>
      <protection/>
    </xf>
    <xf numFmtId="0" fontId="15" fillId="0" borderId="57" xfId="60" applyFont="1" applyFill="1" applyBorder="1" applyAlignment="1">
      <alignment horizontal="center" vertical="center" wrapText="1"/>
      <protection/>
    </xf>
    <xf numFmtId="0" fontId="15" fillId="0" borderId="45" xfId="60" applyFont="1" applyFill="1" applyBorder="1" applyAlignment="1">
      <alignment horizontal="center" vertical="center" wrapText="1"/>
      <protection/>
    </xf>
    <xf numFmtId="0" fontId="16" fillId="0" borderId="66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3" fontId="16" fillId="0" borderId="58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 horizontal="right" vertical="center"/>
      <protection/>
    </xf>
    <xf numFmtId="3" fontId="10" fillId="0" borderId="146" xfId="59" applyNumberFormat="1" applyFont="1" applyBorder="1" applyAlignment="1">
      <alignment horizontal="right" vertical="center"/>
      <protection/>
    </xf>
    <xf numFmtId="3" fontId="10" fillId="0" borderId="116" xfId="59" applyNumberFormat="1" applyFont="1" applyBorder="1" applyAlignment="1">
      <alignment horizontal="right" vertical="center"/>
      <protection/>
    </xf>
    <xf numFmtId="0" fontId="49" fillId="33" borderId="91" xfId="59" applyFont="1" applyFill="1" applyBorder="1" applyAlignment="1">
      <alignment vertical="center"/>
      <protection/>
    </xf>
    <xf numFmtId="0" fontId="49" fillId="33" borderId="148" xfId="59" applyFont="1" applyFill="1" applyBorder="1" applyAlignment="1">
      <alignment vertical="center"/>
      <protection/>
    </xf>
    <xf numFmtId="0" fontId="16" fillId="0" borderId="66" xfId="59" applyFont="1" applyBorder="1" applyAlignment="1">
      <alignment horizontal="left" vertical="center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3" fontId="10" fillId="0" borderId="149" xfId="59" applyNumberFormat="1" applyFont="1" applyBorder="1" applyAlignment="1">
      <alignment horizontal="center" vertical="center"/>
      <protection/>
    </xf>
    <xf numFmtId="3" fontId="10" fillId="0" borderId="150" xfId="59" applyNumberFormat="1" applyFont="1" applyBorder="1" applyAlignment="1">
      <alignment horizontal="center" vertical="center"/>
      <protection/>
    </xf>
    <xf numFmtId="3" fontId="10" fillId="0" borderId="151" xfId="59" applyNumberFormat="1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wrapText="1"/>
      <protection/>
    </xf>
    <xf numFmtId="0" fontId="16" fillId="0" borderId="0" xfId="59" applyFont="1" applyBorder="1" applyAlignment="1">
      <alignment horizontal="left" wrapText="1"/>
      <protection/>
    </xf>
    <xf numFmtId="0" fontId="49" fillId="0" borderId="61" xfId="60" applyFont="1" applyFill="1" applyBorder="1" applyAlignment="1">
      <alignment horizontal="center" vertical="center" wrapText="1"/>
      <protection/>
    </xf>
    <xf numFmtId="0" fontId="13" fillId="0" borderId="46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152" xfId="0" applyFont="1" applyBorder="1" applyAlignment="1">
      <alignment/>
    </xf>
    <xf numFmtId="0" fontId="13" fillId="0" borderId="31" xfId="0" applyFont="1" applyBorder="1" applyAlignment="1">
      <alignment/>
    </xf>
    <xf numFmtId="0" fontId="16" fillId="0" borderId="112" xfId="59" applyFont="1" applyBorder="1" applyAlignment="1">
      <alignment horizontal="left" wrapText="1"/>
      <protection/>
    </xf>
    <xf numFmtId="0" fontId="16" fillId="0" borderId="53" xfId="59" applyFont="1" applyBorder="1" applyAlignment="1">
      <alignment horizontal="left" wrapText="1"/>
      <protection/>
    </xf>
    <xf numFmtId="3" fontId="10" fillId="0" borderId="66" xfId="59" applyNumberFormat="1" applyFont="1" applyBorder="1" applyAlignment="1">
      <alignment horizontal="right" vertical="center"/>
      <protection/>
    </xf>
    <xf numFmtId="3" fontId="10" fillId="0" borderId="149" xfId="59" applyNumberFormat="1" applyFont="1" applyBorder="1" applyAlignment="1">
      <alignment horizontal="right" vertical="center"/>
      <protection/>
    </xf>
    <xf numFmtId="3" fontId="10" fillId="0" borderId="150" xfId="59" applyNumberFormat="1" applyFont="1" applyBorder="1" applyAlignment="1">
      <alignment horizontal="right" vertical="center"/>
      <protection/>
    </xf>
    <xf numFmtId="0" fontId="16" fillId="0" borderId="112" xfId="59" applyFont="1" applyBorder="1" applyAlignment="1">
      <alignment horizontal="center" wrapText="1"/>
      <protection/>
    </xf>
    <xf numFmtId="0" fontId="16" fillId="0" borderId="53" xfId="59" applyFont="1" applyBorder="1" applyAlignment="1">
      <alignment horizontal="center" wrapText="1"/>
      <protection/>
    </xf>
    <xf numFmtId="3" fontId="10" fillId="0" borderId="153" xfId="59" applyNumberFormat="1" applyFont="1" applyBorder="1" applyAlignment="1">
      <alignment horizontal="right" vertical="center"/>
      <protection/>
    </xf>
    <xf numFmtId="3" fontId="10" fillId="0" borderId="147" xfId="59" applyNumberFormat="1" applyFont="1" applyBorder="1" applyAlignment="1">
      <alignment horizontal="right" vertical="center"/>
      <protection/>
    </xf>
    <xf numFmtId="0" fontId="16" fillId="0" borderId="112" xfId="59" applyFont="1" applyBorder="1" applyAlignment="1">
      <alignment horizontal="left" vertical="center"/>
      <protection/>
    </xf>
    <xf numFmtId="0" fontId="16" fillId="0" borderId="53" xfId="59" applyFont="1" applyBorder="1" applyAlignment="1">
      <alignment horizontal="left" vertical="center"/>
      <protection/>
    </xf>
    <xf numFmtId="0" fontId="50" fillId="0" borderId="66" xfId="59" applyFont="1" applyBorder="1" applyAlignment="1">
      <alignment horizontal="left" wrapText="1"/>
      <protection/>
    </xf>
    <xf numFmtId="0" fontId="50" fillId="0" borderId="0" xfId="59" applyFont="1" applyBorder="1" applyAlignment="1">
      <alignment horizontal="left" wrapText="1"/>
      <protection/>
    </xf>
    <xf numFmtId="0" fontId="16" fillId="0" borderId="54" xfId="59" applyFont="1" applyBorder="1" applyAlignment="1">
      <alignment horizontal="left" wrapText="1"/>
      <protection/>
    </xf>
    <xf numFmtId="0" fontId="16" fillId="0" borderId="112" xfId="59" applyFont="1" applyBorder="1" applyAlignment="1">
      <alignment horizontal="left" vertical="center" wrapText="1"/>
      <protection/>
    </xf>
    <xf numFmtId="0" fontId="16" fillId="0" borderId="53" xfId="59" applyFont="1" applyBorder="1" applyAlignment="1">
      <alignment horizontal="left" vertical="center" wrapText="1"/>
      <protection/>
    </xf>
    <xf numFmtId="0" fontId="13" fillId="0" borderId="94" xfId="0" applyFont="1" applyBorder="1" applyAlignment="1">
      <alignment/>
    </xf>
    <xf numFmtId="0" fontId="13" fillId="0" borderId="45" xfId="0" applyFont="1" applyBorder="1" applyAlignment="1">
      <alignment/>
    </xf>
    <xf numFmtId="0" fontId="16" fillId="0" borderId="76" xfId="59" applyFont="1" applyBorder="1" applyAlignment="1">
      <alignment horizontal="left" vertical="center"/>
      <protection/>
    </xf>
    <xf numFmtId="0" fontId="16" fillId="0" borderId="73" xfId="59" applyFont="1" applyBorder="1" applyAlignment="1">
      <alignment horizontal="left" vertical="center"/>
      <protection/>
    </xf>
    <xf numFmtId="0" fontId="16" fillId="0" borderId="66" xfId="59" applyFont="1" applyBorder="1" applyAlignment="1">
      <alignment horizontal="left"/>
      <protection/>
    </xf>
    <xf numFmtId="0" fontId="16" fillId="0" borderId="0" xfId="59" applyFont="1" applyBorder="1" applyAlignment="1">
      <alignment horizontal="left"/>
      <protection/>
    </xf>
    <xf numFmtId="0" fontId="49" fillId="0" borderId="62" xfId="59" applyFont="1" applyBorder="1" applyAlignment="1">
      <alignment horizontal="center" wrapText="1"/>
      <protection/>
    </xf>
    <xf numFmtId="0" fontId="49" fillId="0" borderId="46" xfId="59" applyFont="1" applyBorder="1" applyAlignment="1">
      <alignment horizontal="center" wrapText="1"/>
      <protection/>
    </xf>
    <xf numFmtId="0" fontId="49" fillId="0" borderId="87" xfId="59" applyFont="1" applyBorder="1" applyAlignment="1">
      <alignment horizontal="center" wrapText="1"/>
      <protection/>
    </xf>
    <xf numFmtId="0" fontId="49" fillId="0" borderId="31" xfId="59" applyFont="1" applyBorder="1" applyAlignment="1">
      <alignment horizontal="center" wrapText="1"/>
      <protection/>
    </xf>
    <xf numFmtId="0" fontId="11" fillId="0" borderId="0" xfId="60" applyFont="1" applyFill="1" applyAlignment="1">
      <alignment horizontal="right" vertical="center"/>
      <protection/>
    </xf>
    <xf numFmtId="0" fontId="11" fillId="0" borderId="0" xfId="60" applyFont="1" applyAlignment="1">
      <alignment horizontal="right"/>
      <protection/>
    </xf>
    <xf numFmtId="0" fontId="11" fillId="0" borderId="0" xfId="0" applyFont="1" applyAlignment="1">
      <alignment/>
    </xf>
    <xf numFmtId="0" fontId="10" fillId="0" borderId="62" xfId="60" applyFont="1" applyFill="1" applyBorder="1" applyAlignment="1">
      <alignment horizontal="center" vertical="center" wrapText="1"/>
      <protection/>
    </xf>
    <xf numFmtId="0" fontId="13" fillId="0" borderId="46" xfId="0" applyFont="1" applyBorder="1" applyAlignment="1">
      <alignment horizontal="center" vertical="center" wrapText="1"/>
    </xf>
    <xf numFmtId="0" fontId="10" fillId="0" borderId="154" xfId="60" applyFont="1" applyFill="1" applyBorder="1" applyAlignment="1">
      <alignment horizontal="center" vertical="center" wrapText="1"/>
      <protection/>
    </xf>
    <xf numFmtId="0" fontId="13" fillId="0" borderId="155" xfId="0" applyFont="1" applyBorder="1" applyAlignment="1">
      <alignment horizontal="center" vertical="center" wrapText="1"/>
    </xf>
    <xf numFmtId="0" fontId="13" fillId="0" borderId="156" xfId="0" applyFont="1" applyBorder="1" applyAlignment="1">
      <alignment horizontal="center" vertical="center" wrapText="1"/>
    </xf>
    <xf numFmtId="0" fontId="34" fillId="0" borderId="0" xfId="60" applyFont="1" applyFill="1" applyAlignment="1">
      <alignment horizontal="center" vertical="center" wrapText="1"/>
      <protection/>
    </xf>
    <xf numFmtId="0" fontId="16" fillId="0" borderId="49" xfId="59" applyFont="1" applyBorder="1" applyAlignment="1">
      <alignment horizontal="left" wrapText="1"/>
      <protection/>
    </xf>
    <xf numFmtId="0" fontId="16" fillId="0" borderId="152" xfId="59" applyFont="1" applyBorder="1" applyAlignment="1">
      <alignment horizontal="left" wrapText="1"/>
      <protection/>
    </xf>
    <xf numFmtId="0" fontId="16" fillId="0" borderId="31" xfId="59" applyFont="1" applyBorder="1" applyAlignment="1">
      <alignment horizontal="left" wrapText="1"/>
      <protection/>
    </xf>
    <xf numFmtId="3" fontId="10" fillId="0" borderId="112" xfId="59" applyNumberFormat="1" applyFont="1" applyBorder="1" applyAlignment="1">
      <alignment horizontal="right" vertical="center"/>
      <protection/>
    </xf>
    <xf numFmtId="0" fontId="16" fillId="0" borderId="61" xfId="59" applyFont="1" applyBorder="1" applyAlignment="1">
      <alignment horizontal="left" vertical="center"/>
      <protection/>
    </xf>
    <xf numFmtId="0" fontId="16" fillId="0" borderId="46" xfId="59" applyFont="1" applyBorder="1" applyAlignment="1">
      <alignment horizontal="left" vertical="center"/>
      <protection/>
    </xf>
    <xf numFmtId="0" fontId="10" fillId="0" borderId="68" xfId="60" applyFont="1" applyFill="1" applyBorder="1" applyAlignment="1">
      <alignment horizontal="center" vertical="center" wrapText="1"/>
      <protection/>
    </xf>
    <xf numFmtId="0" fontId="49" fillId="0" borderId="62" xfId="59" applyFont="1" applyBorder="1" applyAlignment="1">
      <alignment horizontal="center" vertical="center"/>
      <protection/>
    </xf>
    <xf numFmtId="0" fontId="13" fillId="0" borderId="46" xfId="59" applyFont="1" applyBorder="1" applyAlignment="1">
      <alignment horizontal="center" vertical="center"/>
      <protection/>
    </xf>
    <xf numFmtId="0" fontId="13" fillId="0" borderId="94" xfId="59" applyFont="1" applyBorder="1" applyAlignment="1">
      <alignment horizontal="center" vertical="center"/>
      <protection/>
    </xf>
    <xf numFmtId="0" fontId="13" fillId="0" borderId="87" xfId="59" applyFont="1" applyBorder="1" applyAlignment="1">
      <alignment horizontal="center" vertical="center"/>
      <protection/>
    </xf>
    <xf numFmtId="0" fontId="13" fillId="0" borderId="31" xfId="59" applyFont="1" applyBorder="1" applyAlignment="1">
      <alignment horizontal="center" vertical="center"/>
      <protection/>
    </xf>
    <xf numFmtId="0" fontId="13" fillId="0" borderId="45" xfId="59" applyFont="1" applyBorder="1" applyAlignment="1">
      <alignment horizontal="center" vertical="center"/>
      <protection/>
    </xf>
    <xf numFmtId="3" fontId="10" fillId="0" borderId="146" xfId="59" applyNumberFormat="1" applyFont="1" applyBorder="1" applyAlignment="1">
      <alignment horizontal="right" vertical="center" wrapText="1"/>
      <protection/>
    </xf>
    <xf numFmtId="3" fontId="10" fillId="0" borderId="116" xfId="59" applyNumberFormat="1" applyFont="1" applyBorder="1" applyAlignment="1">
      <alignment horizontal="right" vertical="center" wrapText="1"/>
      <protection/>
    </xf>
    <xf numFmtId="0" fontId="16" fillId="0" borderId="112" xfId="59" applyFont="1" applyBorder="1" applyAlignment="1">
      <alignment horizontal="left"/>
      <protection/>
    </xf>
    <xf numFmtId="0" fontId="16" fillId="0" borderId="53" xfId="59" applyFont="1" applyBorder="1" applyAlignment="1">
      <alignment horizontal="left"/>
      <protection/>
    </xf>
    <xf numFmtId="0" fontId="49" fillId="0" borderId="46" xfId="60" applyFont="1" applyFill="1" applyBorder="1" applyAlignment="1">
      <alignment horizontal="center" vertical="center" wrapText="1"/>
      <protection/>
    </xf>
    <xf numFmtId="0" fontId="49" fillId="0" borderId="94" xfId="60" applyFont="1" applyFill="1" applyBorder="1" applyAlignment="1">
      <alignment horizontal="center" vertical="center" wrapText="1"/>
      <protection/>
    </xf>
    <xf numFmtId="0" fontId="49" fillId="0" borderId="152" xfId="60" applyFont="1" applyFill="1" applyBorder="1" applyAlignment="1">
      <alignment horizontal="center" vertical="center" wrapText="1"/>
      <protection/>
    </xf>
    <xf numFmtId="0" fontId="49" fillId="0" borderId="31" xfId="60" applyFont="1" applyFill="1" applyBorder="1" applyAlignment="1">
      <alignment horizontal="center" vertical="center" wrapText="1"/>
      <protection/>
    </xf>
    <xf numFmtId="0" fontId="49" fillId="0" borderId="45" xfId="60" applyFont="1" applyFill="1" applyBorder="1" applyAlignment="1">
      <alignment horizontal="center" vertical="center" wrapText="1"/>
      <protection/>
    </xf>
    <xf numFmtId="0" fontId="10" fillId="33" borderId="103" xfId="59" applyFont="1" applyFill="1" applyBorder="1" applyAlignment="1">
      <alignment horizontal="right" vertical="center" wrapText="1"/>
      <protection/>
    </xf>
    <xf numFmtId="0" fontId="13" fillId="33" borderId="91" xfId="0" applyFont="1" applyFill="1" applyBorder="1" applyAlignment="1">
      <alignment horizontal="right" vertical="center" wrapText="1"/>
    </xf>
    <xf numFmtId="0" fontId="13" fillId="33" borderId="113" xfId="0" applyFont="1" applyFill="1" applyBorder="1" applyAlignment="1">
      <alignment horizontal="right" vertical="center" wrapText="1"/>
    </xf>
    <xf numFmtId="0" fontId="10" fillId="33" borderId="91" xfId="59" applyFont="1" applyFill="1" applyBorder="1" applyAlignment="1">
      <alignment vertical="center"/>
      <protection/>
    </xf>
    <xf numFmtId="0" fontId="10" fillId="33" borderId="91" xfId="0" applyFont="1" applyFill="1" applyBorder="1" applyAlignment="1">
      <alignment vertical="center"/>
    </xf>
    <xf numFmtId="0" fontId="10" fillId="33" borderId="148" xfId="0" applyFont="1" applyFill="1" applyBorder="1" applyAlignment="1">
      <alignment vertical="center"/>
    </xf>
    <xf numFmtId="0" fontId="16" fillId="0" borderId="62" xfId="59" applyFont="1" applyBorder="1" applyAlignment="1">
      <alignment horizontal="left"/>
      <protection/>
    </xf>
    <xf numFmtId="0" fontId="16" fillId="0" borderId="46" xfId="59" applyFont="1" applyBorder="1" applyAlignment="1">
      <alignment horizontal="left"/>
      <protection/>
    </xf>
    <xf numFmtId="0" fontId="50" fillId="0" borderId="72" xfId="59" applyFont="1" applyBorder="1" applyAlignment="1">
      <alignment horizontal="left" vertical="center"/>
      <protection/>
    </xf>
    <xf numFmtId="0" fontId="50" fillId="0" borderId="73" xfId="59" applyFont="1" applyBorder="1" applyAlignment="1">
      <alignment horizontal="left" vertical="center"/>
      <protection/>
    </xf>
    <xf numFmtId="3" fontId="10" fillId="0" borderId="75" xfId="59" applyNumberFormat="1" applyFont="1" applyBorder="1" applyAlignment="1">
      <alignment horizontal="right" vertical="center"/>
      <protection/>
    </xf>
    <xf numFmtId="0" fontId="13" fillId="0" borderId="157" xfId="0" applyFont="1" applyBorder="1" applyAlignment="1">
      <alignment/>
    </xf>
    <xf numFmtId="0" fontId="10" fillId="0" borderId="61" xfId="60" applyFont="1" applyFill="1" applyBorder="1" applyAlignment="1">
      <alignment horizontal="center" vertical="center" wrapText="1"/>
      <protection/>
    </xf>
    <xf numFmtId="3" fontId="16" fillId="0" borderId="58" xfId="0" applyNumberFormat="1" applyFont="1" applyBorder="1" applyAlignment="1">
      <alignment horizontal="center" vertical="center"/>
    </xf>
    <xf numFmtId="3" fontId="16" fillId="0" borderId="57" xfId="0" applyNumberFormat="1" applyFont="1" applyBorder="1" applyAlignment="1">
      <alignment horizontal="center" vertical="center"/>
    </xf>
    <xf numFmtId="0" fontId="17" fillId="0" borderId="73" xfId="59" applyFont="1" applyBorder="1" applyAlignment="1">
      <alignment horizontal="right" vertical="center"/>
      <protection/>
    </xf>
    <xf numFmtId="0" fontId="17" fillId="0" borderId="158" xfId="59" applyFont="1" applyBorder="1" applyAlignment="1">
      <alignment horizontal="right" vertical="center"/>
      <protection/>
    </xf>
    <xf numFmtId="3" fontId="10" fillId="0" borderId="61" xfId="59" applyNumberFormat="1" applyFont="1" applyBorder="1" applyAlignment="1">
      <alignment horizontal="right" vertical="center"/>
      <protection/>
    </xf>
    <xf numFmtId="3" fontId="10" fillId="0" borderId="152" xfId="59" applyNumberFormat="1" applyFont="1" applyBorder="1" applyAlignment="1">
      <alignment horizontal="right" vertical="center"/>
      <protection/>
    </xf>
    <xf numFmtId="0" fontId="17" fillId="0" borderId="49" xfId="59" applyFont="1" applyBorder="1" applyAlignment="1">
      <alignment horizontal="right"/>
      <protection/>
    </xf>
    <xf numFmtId="0" fontId="17" fillId="0" borderId="0" xfId="59" applyFont="1" applyBorder="1" applyAlignment="1">
      <alignment horizontal="right"/>
      <protection/>
    </xf>
    <xf numFmtId="0" fontId="17" fillId="0" borderId="51" xfId="59" applyFont="1" applyBorder="1" applyAlignment="1">
      <alignment horizontal="right"/>
      <protection/>
    </xf>
    <xf numFmtId="0" fontId="16" fillId="0" borderId="49" xfId="59" applyFont="1" applyBorder="1" applyAlignment="1">
      <alignment horizontal="left" vertical="center" wrapText="1"/>
      <protection/>
    </xf>
    <xf numFmtId="0" fontId="49" fillId="0" borderId="62" xfId="59" applyFont="1" applyBorder="1" applyAlignment="1">
      <alignment horizontal="center" vertical="center" wrapText="1"/>
      <protection/>
    </xf>
    <xf numFmtId="0" fontId="13" fillId="0" borderId="46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87" xfId="0" applyFont="1" applyBorder="1" applyAlignment="1">
      <alignment/>
    </xf>
    <xf numFmtId="0" fontId="13" fillId="0" borderId="0" xfId="0" applyFont="1" applyBorder="1" applyAlignment="1">
      <alignment/>
    </xf>
    <xf numFmtId="3" fontId="10" fillId="0" borderId="58" xfId="59" applyNumberFormat="1" applyFont="1" applyBorder="1" applyAlignment="1">
      <alignment horizontal="right" vertical="center"/>
      <protection/>
    </xf>
    <xf numFmtId="0" fontId="16" fillId="0" borderId="54" xfId="59" applyFont="1" applyBorder="1" applyAlignment="1">
      <alignment horizontal="center" vertical="center"/>
      <protection/>
    </xf>
    <xf numFmtId="0" fontId="16" fillId="0" borderId="53" xfId="59" applyFont="1" applyBorder="1" applyAlignment="1">
      <alignment horizontal="center" vertical="center"/>
      <protection/>
    </xf>
    <xf numFmtId="0" fontId="16" fillId="0" borderId="49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0" fontId="49" fillId="0" borderId="46" xfId="59" applyFont="1" applyBorder="1" applyAlignment="1">
      <alignment horizontal="center" vertical="center"/>
      <protection/>
    </xf>
    <xf numFmtId="0" fontId="49" fillId="0" borderId="94" xfId="59" applyFont="1" applyBorder="1" applyAlignment="1">
      <alignment horizontal="center" vertical="center"/>
      <protection/>
    </xf>
    <xf numFmtId="0" fontId="49" fillId="0" borderId="87" xfId="59" applyFont="1" applyBorder="1" applyAlignment="1">
      <alignment horizontal="center" vertical="center"/>
      <protection/>
    </xf>
    <xf numFmtId="0" fontId="49" fillId="0" borderId="31" xfId="59" applyFont="1" applyBorder="1" applyAlignment="1">
      <alignment horizontal="center" vertical="center"/>
      <protection/>
    </xf>
    <xf numFmtId="0" fontId="49" fillId="0" borderId="45" xfId="59" applyFont="1" applyBorder="1" applyAlignment="1">
      <alignment horizontal="center" vertical="center"/>
      <protection/>
    </xf>
    <xf numFmtId="0" fontId="16" fillId="0" borderId="49" xfId="59" applyFont="1" applyBorder="1" applyAlignment="1">
      <alignment horizontal="left" vertical="center"/>
      <protection/>
    </xf>
    <xf numFmtId="0" fontId="35" fillId="0" borderId="159" xfId="59" applyFont="1" applyBorder="1" applyAlignment="1">
      <alignment horizontal="center"/>
      <protection/>
    </xf>
    <xf numFmtId="0" fontId="13" fillId="0" borderId="70" xfId="0" applyFont="1" applyBorder="1" applyAlignment="1">
      <alignment horizontal="center"/>
    </xf>
    <xf numFmtId="0" fontId="13" fillId="0" borderId="93" xfId="0" applyFont="1" applyBorder="1" applyAlignment="1">
      <alignment horizontal="center"/>
    </xf>
    <xf numFmtId="0" fontId="35" fillId="0" borderId="46" xfId="59" applyFont="1" applyBorder="1" applyAlignment="1">
      <alignment horizontal="center"/>
      <protection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49" fillId="33" borderId="103" xfId="59" applyFont="1" applyFill="1" applyBorder="1" applyAlignment="1">
      <alignment vertical="center" wrapText="1"/>
      <protection/>
    </xf>
    <xf numFmtId="0" fontId="9" fillId="33" borderId="91" xfId="0" applyFont="1" applyFill="1" applyBorder="1" applyAlignment="1">
      <alignment vertical="center" wrapText="1"/>
    </xf>
    <xf numFmtId="0" fontId="9" fillId="33" borderId="113" xfId="0" applyFont="1" applyFill="1" applyBorder="1" applyAlignment="1">
      <alignment vertical="center" wrapText="1"/>
    </xf>
    <xf numFmtId="0" fontId="10" fillId="0" borderId="73" xfId="59" applyFont="1" applyBorder="1" applyAlignment="1">
      <alignment/>
      <protection/>
    </xf>
    <xf numFmtId="0" fontId="10" fillId="0" borderId="73" xfId="0" applyFont="1" applyBorder="1" applyAlignment="1">
      <alignment/>
    </xf>
    <xf numFmtId="0" fontId="10" fillId="0" borderId="101" xfId="0" applyFont="1" applyBorder="1" applyAlignment="1">
      <alignment/>
    </xf>
    <xf numFmtId="0" fontId="17" fillId="0" borderId="49" xfId="59" applyFont="1" applyBorder="1" applyAlignment="1">
      <alignment horizontal="right" vertical="center"/>
      <protection/>
    </xf>
    <xf numFmtId="0" fontId="17" fillId="0" borderId="0" xfId="59" applyFont="1" applyBorder="1" applyAlignment="1">
      <alignment horizontal="right" vertical="center"/>
      <protection/>
    </xf>
    <xf numFmtId="0" fontId="17" fillId="0" borderId="51" xfId="59" applyFont="1" applyBorder="1" applyAlignment="1">
      <alignment horizontal="right" vertical="center"/>
      <protection/>
    </xf>
    <xf numFmtId="0" fontId="14" fillId="0" borderId="0" xfId="59" applyFont="1" applyAlignment="1">
      <alignment horizontal="center"/>
      <protection/>
    </xf>
    <xf numFmtId="0" fontId="13" fillId="0" borderId="0" xfId="0" applyFont="1" applyAlignment="1">
      <alignment/>
    </xf>
    <xf numFmtId="0" fontId="49" fillId="0" borderId="73" xfId="59" applyFont="1" applyBorder="1" applyAlignment="1">
      <alignment/>
      <protection/>
    </xf>
    <xf numFmtId="0" fontId="49" fillId="0" borderId="101" xfId="59" applyFont="1" applyBorder="1" applyAlignment="1">
      <alignment/>
      <protection/>
    </xf>
    <xf numFmtId="0" fontId="16" fillId="0" borderId="49" xfId="59" applyFont="1" applyBorder="1" applyAlignment="1">
      <alignment horizontal="left"/>
      <protection/>
    </xf>
    <xf numFmtId="0" fontId="13" fillId="0" borderId="0" xfId="59" applyFont="1" applyAlignment="1">
      <alignment horizontal="center"/>
      <protection/>
    </xf>
    <xf numFmtId="0" fontId="49" fillId="0" borderId="64" xfId="60" applyFont="1" applyFill="1" applyBorder="1" applyAlignment="1">
      <alignment horizontal="center" vertical="center" wrapText="1"/>
      <protection/>
    </xf>
    <xf numFmtId="0" fontId="49" fillId="0" borderId="157" xfId="60" applyFont="1" applyFill="1" applyBorder="1" applyAlignment="1">
      <alignment horizontal="center" vertical="center" wrapText="1"/>
      <protection/>
    </xf>
    <xf numFmtId="0" fontId="16" fillId="0" borderId="109" xfId="59" applyFont="1" applyBorder="1" applyAlignment="1">
      <alignment horizontal="left" vertical="center"/>
      <protection/>
    </xf>
    <xf numFmtId="0" fontId="16" fillId="0" borderId="111" xfId="59" applyFont="1" applyBorder="1" applyAlignment="1">
      <alignment horizontal="left" vertical="center"/>
      <protection/>
    </xf>
    <xf numFmtId="3" fontId="10" fillId="0" borderId="146" xfId="59" applyNumberFormat="1" applyFont="1" applyBorder="1" applyAlignment="1">
      <alignment horizontal="center" vertical="center"/>
      <protection/>
    </xf>
    <xf numFmtId="3" fontId="10" fillId="0" borderId="116" xfId="59" applyNumberFormat="1" applyFont="1" applyBorder="1" applyAlignment="1">
      <alignment horizontal="center" vertical="center"/>
      <protection/>
    </xf>
    <xf numFmtId="3" fontId="10" fillId="0" borderId="112" xfId="59" applyNumberFormat="1" applyFont="1" applyBorder="1" applyAlignment="1">
      <alignment horizontal="center" vertical="center"/>
      <protection/>
    </xf>
    <xf numFmtId="3" fontId="10" fillId="0" borderId="66" xfId="59" applyNumberFormat="1" applyFont="1" applyBorder="1" applyAlignment="1">
      <alignment horizontal="center" vertical="center"/>
      <protection/>
    </xf>
    <xf numFmtId="3" fontId="10" fillId="0" borderId="152" xfId="59" applyNumberFormat="1" applyFont="1" applyBorder="1" applyAlignment="1">
      <alignment horizontal="center" vertical="center"/>
      <protection/>
    </xf>
    <xf numFmtId="0" fontId="17" fillId="0" borderId="47" xfId="59" applyFont="1" applyBorder="1" applyAlignment="1">
      <alignment horizontal="right"/>
      <protection/>
    </xf>
    <xf numFmtId="0" fontId="17" fillId="0" borderId="111" xfId="59" applyFont="1" applyBorder="1" applyAlignment="1">
      <alignment horizontal="right"/>
      <protection/>
    </xf>
    <xf numFmtId="0" fontId="17" fillId="0" borderId="98" xfId="59" applyFont="1" applyBorder="1" applyAlignment="1">
      <alignment horizontal="right"/>
      <protection/>
    </xf>
    <xf numFmtId="0" fontId="16" fillId="0" borderId="54" xfId="59" applyFont="1" applyBorder="1" applyAlignment="1">
      <alignment horizontal="left"/>
      <protection/>
    </xf>
    <xf numFmtId="0" fontId="30" fillId="0" borderId="0" xfId="0" applyFont="1" applyAlignment="1">
      <alignment/>
    </xf>
    <xf numFmtId="0" fontId="3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60" fillId="0" borderId="146" xfId="61" applyFont="1" applyBorder="1" applyAlignment="1">
      <alignment horizontal="center" vertical="center" wrapText="1"/>
      <protection/>
    </xf>
    <xf numFmtId="0" fontId="8" fillId="0" borderId="123" xfId="61" applyBorder="1" applyAlignment="1">
      <alignment horizontal="center" vertical="center" wrapText="1"/>
      <protection/>
    </xf>
    <xf numFmtId="0" fontId="60" fillId="0" borderId="133" xfId="61" applyFont="1" applyBorder="1" applyAlignment="1">
      <alignment horizontal="center" vertical="center"/>
      <protection/>
    </xf>
    <xf numFmtId="0" fontId="60" fillId="0" borderId="24" xfId="61" applyFont="1" applyBorder="1" applyAlignment="1">
      <alignment horizontal="center" vertical="center"/>
      <protection/>
    </xf>
    <xf numFmtId="0" fontId="60" fillId="0" borderId="28" xfId="61" applyFont="1" applyBorder="1" applyAlignment="1">
      <alignment horizontal="center" vertical="center"/>
      <protection/>
    </xf>
    <xf numFmtId="0" fontId="60" fillId="0" borderId="21" xfId="61" applyFont="1" applyBorder="1" applyAlignment="1">
      <alignment horizontal="center" vertical="center"/>
      <protection/>
    </xf>
    <xf numFmtId="0" fontId="65" fillId="37" borderId="29" xfId="61" applyFont="1" applyFill="1" applyBorder="1" applyAlignment="1">
      <alignment horizontal="left"/>
      <protection/>
    </xf>
    <xf numFmtId="0" fontId="65" fillId="37" borderId="18" xfId="61" applyFont="1" applyFill="1" applyBorder="1" applyAlignment="1">
      <alignment horizontal="left"/>
      <protection/>
    </xf>
    <xf numFmtId="0" fontId="65" fillId="37" borderId="32" xfId="61" applyFont="1" applyFill="1" applyBorder="1" applyAlignment="1">
      <alignment horizontal="left"/>
      <protection/>
    </xf>
    <xf numFmtId="0" fontId="60" fillId="0" borderId="0" xfId="61" applyFont="1" applyAlignment="1">
      <alignment horizontal="center" wrapText="1"/>
      <protection/>
    </xf>
    <xf numFmtId="0" fontId="60" fillId="0" borderId="0" xfId="61" applyFont="1" applyAlignment="1">
      <alignment horizontal="center"/>
      <protection/>
    </xf>
    <xf numFmtId="0" fontId="60" fillId="0" borderId="33" xfId="61" applyFont="1" applyBorder="1" applyAlignment="1">
      <alignment horizontal="center" vertical="center"/>
      <protection/>
    </xf>
    <xf numFmtId="0" fontId="60" fillId="0" borderId="34" xfId="61" applyFont="1" applyBorder="1" applyAlignment="1">
      <alignment horizontal="center" vertical="center"/>
      <protection/>
    </xf>
    <xf numFmtId="0" fontId="60" fillId="0" borderId="10" xfId="61" applyFont="1" applyBorder="1" applyAlignment="1">
      <alignment horizontal="center" vertical="center"/>
      <protection/>
    </xf>
    <xf numFmtId="0" fontId="60" fillId="0" borderId="33" xfId="61" applyFont="1" applyBorder="1" applyAlignment="1">
      <alignment horizontal="center" vertical="center" wrapText="1"/>
      <protection/>
    </xf>
    <xf numFmtId="0" fontId="60" fillId="0" borderId="128" xfId="61" applyFont="1" applyBorder="1" applyAlignment="1">
      <alignment horizontal="center" vertical="center" wrapText="1"/>
      <protection/>
    </xf>
    <xf numFmtId="0" fontId="60" fillId="0" borderId="34" xfId="61" applyFont="1" applyBorder="1" applyAlignment="1">
      <alignment horizontal="center" vertical="center" wrapText="1"/>
      <protection/>
    </xf>
    <xf numFmtId="0" fontId="60" fillId="0" borderId="10" xfId="6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3" fontId="19" fillId="32" borderId="159" xfId="0" applyNumberFormat="1" applyFont="1" applyFill="1" applyBorder="1" applyAlignment="1">
      <alignment horizontal="center"/>
    </xf>
    <xf numFmtId="3" fontId="19" fillId="32" borderId="70" xfId="0" applyNumberFormat="1" applyFont="1" applyFill="1" applyBorder="1" applyAlignment="1">
      <alignment horizontal="center"/>
    </xf>
    <xf numFmtId="3" fontId="19" fillId="32" borderId="85" xfId="0" applyNumberFormat="1" applyFont="1" applyFill="1" applyBorder="1" applyAlignment="1">
      <alignment horizontal="center"/>
    </xf>
    <xf numFmtId="0" fontId="57" fillId="0" borderId="61" xfId="0" applyFont="1" applyBorder="1" applyAlignment="1">
      <alignment horizontal="left" vertical="center" wrapText="1"/>
    </xf>
    <xf numFmtId="0" fontId="57" fillId="0" borderId="46" xfId="0" applyFont="1" applyBorder="1" applyAlignment="1">
      <alignment horizontal="left" vertical="center" wrapText="1"/>
    </xf>
    <xf numFmtId="0" fontId="57" fillId="0" borderId="94" xfId="0" applyFont="1" applyBorder="1" applyAlignment="1">
      <alignment horizontal="left" vertical="center" wrapText="1"/>
    </xf>
    <xf numFmtId="3" fontId="0" fillId="36" borderId="146" xfId="0" applyNumberFormat="1" applyFill="1" applyBorder="1" applyAlignment="1">
      <alignment horizontal="center"/>
    </xf>
    <xf numFmtId="3" fontId="0" fillId="36" borderId="116" xfId="0" applyNumberFormat="1" applyFill="1" applyBorder="1" applyAlignment="1">
      <alignment horizontal="center"/>
    </xf>
    <xf numFmtId="3" fontId="0" fillId="36" borderId="147" xfId="0" applyNumberForma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horizontal="center"/>
    </xf>
    <xf numFmtId="3" fontId="0" fillId="36" borderId="75" xfId="0" applyNumberFormat="1" applyFill="1" applyBorder="1" applyAlignment="1">
      <alignment horizontal="center"/>
    </xf>
    <xf numFmtId="0" fontId="57" fillId="0" borderId="160" xfId="0" applyFont="1" applyBorder="1" applyAlignment="1">
      <alignment horizontal="left" vertical="center" wrapText="1"/>
    </xf>
    <xf numFmtId="0" fontId="57" fillId="0" borderId="155" xfId="0" applyFont="1" applyBorder="1" applyAlignment="1">
      <alignment horizontal="left" vertical="center" wrapText="1"/>
    </xf>
    <xf numFmtId="0" fontId="56" fillId="38" borderId="83" xfId="0" applyFont="1" applyFill="1" applyBorder="1" applyAlignment="1">
      <alignment horizontal="center" vertical="center"/>
    </xf>
    <xf numFmtId="0" fontId="56" fillId="38" borderId="70" xfId="0" applyFont="1" applyFill="1" applyBorder="1" applyAlignment="1">
      <alignment horizontal="center" vertical="center"/>
    </xf>
    <xf numFmtId="0" fontId="56" fillId="38" borderId="161" xfId="0" applyFont="1" applyFill="1" applyBorder="1" applyAlignment="1">
      <alignment horizontal="center" vertical="center"/>
    </xf>
    <xf numFmtId="0" fontId="57" fillId="0" borderId="162" xfId="0" applyFont="1" applyBorder="1" applyAlignment="1">
      <alignment horizontal="left" vertical="center"/>
    </xf>
    <xf numFmtId="0" fontId="57" fillId="0" borderId="163" xfId="0" applyFont="1" applyBorder="1" applyAlignment="1">
      <alignment horizontal="left" vertical="center"/>
    </xf>
    <xf numFmtId="0" fontId="57" fillId="0" borderId="164" xfId="0" applyFont="1" applyBorder="1" applyAlignment="1">
      <alignment horizontal="left" vertical="center"/>
    </xf>
    <xf numFmtId="0" fontId="19" fillId="0" borderId="61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32" borderId="83" xfId="0" applyFill="1" applyBorder="1" applyAlignment="1">
      <alignment horizontal="center"/>
    </xf>
    <xf numFmtId="0" fontId="0" fillId="32" borderId="70" xfId="0" applyFill="1" applyBorder="1" applyAlignment="1">
      <alignment horizontal="center"/>
    </xf>
    <xf numFmtId="0" fontId="0" fillId="32" borderId="161" xfId="0" applyFill="1" applyBorder="1" applyAlignment="1">
      <alignment horizontal="center"/>
    </xf>
    <xf numFmtId="3" fontId="0" fillId="36" borderId="58" xfId="0" applyNumberFormat="1" applyFill="1" applyBorder="1" applyAlignment="1">
      <alignment horizontal="center"/>
    </xf>
    <xf numFmtId="3" fontId="0" fillId="36" borderId="57" xfId="0" applyNumberFormat="1" applyFill="1" applyBorder="1" applyAlignment="1">
      <alignment horizontal="center"/>
    </xf>
    <xf numFmtId="0" fontId="57" fillId="0" borderId="162" xfId="0" applyFont="1" applyBorder="1" applyAlignment="1">
      <alignment horizontal="left" vertical="center" wrapText="1"/>
    </xf>
    <xf numFmtId="0" fontId="57" fillId="0" borderId="163" xfId="0" applyFont="1" applyBorder="1" applyAlignment="1">
      <alignment horizontal="left" vertical="center" wrapText="1"/>
    </xf>
    <xf numFmtId="0" fontId="57" fillId="0" borderId="164" xfId="0" applyFont="1" applyBorder="1" applyAlignment="1">
      <alignment horizontal="left" vertical="center" wrapText="1"/>
    </xf>
    <xf numFmtId="3" fontId="0" fillId="4" borderId="129" xfId="0" applyNumberFormat="1" applyFill="1" applyBorder="1" applyAlignment="1">
      <alignment horizontal="right" vertical="center"/>
    </xf>
    <xf numFmtId="3" fontId="0" fillId="4" borderId="35" xfId="0" applyNumberFormat="1" applyFill="1" applyBorder="1" applyAlignment="1">
      <alignment horizontal="right" vertical="center"/>
    </xf>
    <xf numFmtId="0" fontId="54" fillId="0" borderId="17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5" fillId="0" borderId="0" xfId="0" applyFont="1" applyAlignment="1">
      <alignment horizontal="center" wrapText="1"/>
    </xf>
    <xf numFmtId="0" fontId="14" fillId="0" borderId="146" xfId="0" applyFont="1" applyBorder="1" applyAlignment="1">
      <alignment horizontal="center" vertical="center" wrapText="1"/>
    </xf>
    <xf numFmtId="0" fontId="14" fillId="0" borderId="116" xfId="0" applyFont="1" applyBorder="1" applyAlignment="1">
      <alignment horizontal="center" vertical="center" wrapText="1"/>
    </xf>
    <xf numFmtId="0" fontId="14" fillId="0" borderId="123" xfId="0" applyFont="1" applyBorder="1" applyAlignment="1">
      <alignment horizontal="center" vertical="center" wrapText="1"/>
    </xf>
    <xf numFmtId="0" fontId="54" fillId="0" borderId="112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130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138" xfId="0" applyFont="1" applyBorder="1" applyAlignment="1">
      <alignment horizontal="center" vertical="center" wrapText="1"/>
    </xf>
    <xf numFmtId="0" fontId="55" fillId="0" borderId="146" xfId="0" applyFont="1" applyBorder="1" applyAlignment="1">
      <alignment horizontal="center" vertical="center" wrapText="1"/>
    </xf>
    <xf numFmtId="0" fontId="55" fillId="0" borderId="116" xfId="0" applyFont="1" applyBorder="1" applyAlignment="1">
      <alignment horizontal="center" vertical="center" wrapText="1"/>
    </xf>
    <xf numFmtId="0" fontId="55" fillId="0" borderId="123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1"/>
  <sheetViews>
    <sheetView zoomScale="120" zoomScaleNormal="120" zoomScalePageLayoutView="0" workbookViewId="0" topLeftCell="A1">
      <selection activeCell="I3" sqref="I3"/>
    </sheetView>
  </sheetViews>
  <sheetFormatPr defaultColWidth="9.00390625" defaultRowHeight="12.75"/>
  <cols>
    <col min="1" max="1" width="5.125" style="92" customWidth="1"/>
    <col min="2" max="3" width="9.125" style="92" customWidth="1"/>
    <col min="4" max="4" width="5.875" style="92" customWidth="1"/>
    <col min="5" max="5" width="49.875" style="92" customWidth="1"/>
    <col min="6" max="6" width="16.125" style="92" bestFit="1" customWidth="1"/>
    <col min="7" max="7" width="13.625" style="92" customWidth="1"/>
    <col min="8" max="9" width="15.125" style="92" customWidth="1"/>
    <col min="10" max="10" width="15.875" style="92" bestFit="1" customWidth="1"/>
    <col min="11" max="11" width="9.125" style="221" customWidth="1"/>
    <col min="12" max="16384" width="9.125" style="92" customWidth="1"/>
  </cols>
  <sheetData>
    <row r="1" spans="1:10" ht="12.75">
      <c r="A1" s="65"/>
      <c r="B1" s="118"/>
      <c r="C1" s="118"/>
      <c r="D1" s="118"/>
      <c r="E1" s="119"/>
      <c r="F1" s="921" t="s">
        <v>1051</v>
      </c>
      <c r="G1" s="922"/>
      <c r="H1" s="922"/>
      <c r="I1" s="922"/>
      <c r="J1" s="922"/>
    </row>
    <row r="2" spans="1:10" ht="15.75">
      <c r="A2" s="926" t="s">
        <v>727</v>
      </c>
      <c r="B2" s="926"/>
      <c r="C2" s="926"/>
      <c r="D2" s="926"/>
      <c r="E2" s="926"/>
      <c r="F2" s="926"/>
      <c r="G2" s="926"/>
      <c r="H2" s="926"/>
      <c r="I2" s="926"/>
      <c r="J2" s="926"/>
    </row>
    <row r="3" spans="1:10" ht="12.75">
      <c r="A3" s="65"/>
      <c r="B3" s="65"/>
      <c r="C3" s="65"/>
      <c r="D3" s="65"/>
      <c r="E3" s="65"/>
      <c r="F3" s="118"/>
      <c r="G3" s="118"/>
      <c r="H3" s="118"/>
      <c r="I3" s="118"/>
      <c r="J3" s="118"/>
    </row>
    <row r="4" spans="1:10" ht="12.75">
      <c r="A4" s="65"/>
      <c r="B4" s="118"/>
      <c r="C4" s="118"/>
      <c r="D4" s="118"/>
      <c r="E4" s="118"/>
      <c r="F4" s="118"/>
      <c r="G4" s="118"/>
      <c r="H4" s="118"/>
      <c r="I4" s="118"/>
      <c r="J4" s="119" t="s">
        <v>539</v>
      </c>
    </row>
    <row r="5" spans="1:10" ht="60">
      <c r="A5" s="933" t="s">
        <v>0</v>
      </c>
      <c r="B5" s="934"/>
      <c r="C5" s="934"/>
      <c r="D5" s="934"/>
      <c r="E5" s="935"/>
      <c r="F5" s="99" t="s">
        <v>85</v>
      </c>
      <c r="G5" s="99" t="s">
        <v>346</v>
      </c>
      <c r="H5" s="99" t="s">
        <v>647</v>
      </c>
      <c r="I5" s="99" t="s">
        <v>670</v>
      </c>
      <c r="J5" s="99" t="s">
        <v>341</v>
      </c>
    </row>
    <row r="6" spans="1:11" s="103" customFormat="1" ht="15">
      <c r="A6" s="120" t="s">
        <v>399</v>
      </c>
      <c r="B6" s="923" t="s">
        <v>400</v>
      </c>
      <c r="C6" s="924"/>
      <c r="D6" s="924"/>
      <c r="E6" s="925"/>
      <c r="F6" s="121" t="s">
        <v>401</v>
      </c>
      <c r="G6" s="121" t="s">
        <v>402</v>
      </c>
      <c r="H6" s="121" t="s">
        <v>403</v>
      </c>
      <c r="I6" s="121" t="s">
        <v>404</v>
      </c>
      <c r="J6" s="121" t="s">
        <v>406</v>
      </c>
      <c r="K6" s="450"/>
    </row>
    <row r="7" spans="1:11" s="124" customFormat="1" ht="12.75">
      <c r="A7" s="122" t="s">
        <v>200</v>
      </c>
      <c r="B7" s="928" t="s">
        <v>201</v>
      </c>
      <c r="C7" s="928"/>
      <c r="D7" s="928"/>
      <c r="E7" s="928"/>
      <c r="F7" s="123">
        <f>SUM(F8+F16+F17+F18+F29+F30)</f>
        <v>806671878</v>
      </c>
      <c r="G7" s="123">
        <f>SUM(G8+G16+G17+G18+G29+G30)</f>
        <v>1484730</v>
      </c>
      <c r="H7" s="123">
        <f>SUM(H8+H16+H17+H18+H29+H30)</f>
        <v>15206687</v>
      </c>
      <c r="I7" s="123">
        <f>SUM(I8+I16+I17+I18+I29+I30)</f>
        <v>2854932</v>
      </c>
      <c r="J7" s="123">
        <f>SUM(F7:I7)</f>
        <v>826218227</v>
      </c>
      <c r="K7" s="451"/>
    </row>
    <row r="8" spans="1:11" ht="12.75">
      <c r="A8" s="125"/>
      <c r="B8" s="125" t="s">
        <v>202</v>
      </c>
      <c r="C8" s="920" t="s">
        <v>203</v>
      </c>
      <c r="D8" s="920"/>
      <c r="E8" s="920"/>
      <c r="F8" s="126">
        <f>SUM(F9:F15)</f>
        <v>544830257</v>
      </c>
      <c r="G8" s="126">
        <f>SUM(G9:G15)</f>
        <v>0</v>
      </c>
      <c r="H8" s="126">
        <f>SUM(H9:H15)</f>
        <v>0</v>
      </c>
      <c r="I8" s="126">
        <f>SUM(I9:I15)</f>
        <v>0</v>
      </c>
      <c r="J8" s="127">
        <f aca="true" t="shared" si="0" ref="J8:J73">SUM(F8:I8)</f>
        <v>544830257</v>
      </c>
      <c r="K8" s="452"/>
    </row>
    <row r="9" spans="1:11" ht="12.75">
      <c r="A9" s="128"/>
      <c r="B9" s="128"/>
      <c r="C9" s="128" t="s">
        <v>204</v>
      </c>
      <c r="D9" s="128"/>
      <c r="E9" s="128" t="s">
        <v>558</v>
      </c>
      <c r="F9" s="129">
        <f>186857281+22486700+426173+652750-8512</f>
        <v>210414392</v>
      </c>
      <c r="G9" s="129">
        <v>0</v>
      </c>
      <c r="H9" s="129">
        <v>0</v>
      </c>
      <c r="I9" s="129">
        <v>0</v>
      </c>
      <c r="J9" s="130">
        <f t="shared" si="0"/>
        <v>210414392</v>
      </c>
      <c r="K9" s="453"/>
    </row>
    <row r="10" spans="1:11" ht="12.75">
      <c r="A10" s="128"/>
      <c r="B10" s="131"/>
      <c r="C10" s="128" t="s">
        <v>205</v>
      </c>
      <c r="D10" s="128"/>
      <c r="E10" s="128" t="s">
        <v>564</v>
      </c>
      <c r="F10" s="129">
        <f>118098200+9013565+2384560+68180</f>
        <v>129564505</v>
      </c>
      <c r="G10" s="129">
        <v>0</v>
      </c>
      <c r="H10" s="129">
        <v>0</v>
      </c>
      <c r="I10" s="129">
        <v>0</v>
      </c>
      <c r="J10" s="130">
        <f t="shared" si="0"/>
        <v>129564505</v>
      </c>
      <c r="K10" s="453"/>
    </row>
    <row r="11" spans="1:11" ht="12.75">
      <c r="A11" s="128"/>
      <c r="B11" s="128"/>
      <c r="C11" s="128" t="s">
        <v>794</v>
      </c>
      <c r="D11" s="128"/>
      <c r="E11" s="128" t="s">
        <v>796</v>
      </c>
      <c r="F11" s="129">
        <f>90378059+1038000+10068391+8095006+2713500+190000+1717174</f>
        <v>114200130</v>
      </c>
      <c r="G11" s="129">
        <v>0</v>
      </c>
      <c r="H11" s="129">
        <v>0</v>
      </c>
      <c r="I11" s="129">
        <v>0</v>
      </c>
      <c r="J11" s="130">
        <f t="shared" si="0"/>
        <v>114200130</v>
      </c>
      <c r="K11" s="453"/>
    </row>
    <row r="12" spans="1:11" ht="12.75">
      <c r="A12" s="128"/>
      <c r="B12" s="128"/>
      <c r="C12" s="128" t="s">
        <v>795</v>
      </c>
      <c r="D12" s="128"/>
      <c r="E12" s="128" t="s">
        <v>797</v>
      </c>
      <c r="F12" s="129">
        <f>76751744+1598080-10659174+2502467-63414</f>
        <v>70129703</v>
      </c>
      <c r="G12" s="129"/>
      <c r="H12" s="129"/>
      <c r="I12" s="129"/>
      <c r="J12" s="130">
        <f t="shared" si="0"/>
        <v>70129703</v>
      </c>
      <c r="K12" s="453"/>
    </row>
    <row r="13" spans="1:11" ht="12.75">
      <c r="A13" s="128"/>
      <c r="B13" s="128"/>
      <c r="C13" s="128" t="s">
        <v>206</v>
      </c>
      <c r="D13" s="128"/>
      <c r="E13" s="128" t="s">
        <v>565</v>
      </c>
      <c r="F13" s="129">
        <f>10821150+848820+3719500+145000-12943</f>
        <v>15521527</v>
      </c>
      <c r="G13" s="129">
        <v>0</v>
      </c>
      <c r="H13" s="129">
        <v>0</v>
      </c>
      <c r="I13" s="129">
        <v>0</v>
      </c>
      <c r="J13" s="130">
        <f t="shared" si="0"/>
        <v>15521527</v>
      </c>
      <c r="K13" s="453"/>
    </row>
    <row r="14" spans="1:11" ht="12.75">
      <c r="A14" s="128"/>
      <c r="B14" s="128"/>
      <c r="C14" s="128" t="s">
        <v>207</v>
      </c>
      <c r="D14" s="128"/>
      <c r="E14" s="128" t="s">
        <v>559</v>
      </c>
      <c r="F14" s="129">
        <f>383873+10959511-11343384+5000000</f>
        <v>5000000</v>
      </c>
      <c r="G14" s="129">
        <v>0</v>
      </c>
      <c r="H14" s="129">
        <v>0</v>
      </c>
      <c r="I14" s="129">
        <v>0</v>
      </c>
      <c r="J14" s="130">
        <f t="shared" si="0"/>
        <v>5000000</v>
      </c>
      <c r="K14" s="453"/>
    </row>
    <row r="15" spans="1:11" ht="0.75" customHeight="1" hidden="1">
      <c r="A15" s="132"/>
      <c r="B15" s="132"/>
      <c r="C15" s="128" t="s">
        <v>208</v>
      </c>
      <c r="D15" s="132"/>
      <c r="E15" s="128" t="s">
        <v>473</v>
      </c>
      <c r="F15" s="129">
        <v>0</v>
      </c>
      <c r="G15" s="129">
        <v>0</v>
      </c>
      <c r="H15" s="129">
        <v>0</v>
      </c>
      <c r="I15" s="129">
        <v>0</v>
      </c>
      <c r="J15" s="130">
        <f t="shared" si="0"/>
        <v>0</v>
      </c>
      <c r="K15" s="453"/>
    </row>
    <row r="16" spans="1:11" ht="12.75">
      <c r="A16" s="125"/>
      <c r="B16" s="125" t="s">
        <v>209</v>
      </c>
      <c r="C16" s="920" t="s">
        <v>210</v>
      </c>
      <c r="D16" s="920"/>
      <c r="E16" s="920"/>
      <c r="F16" s="126">
        <v>0</v>
      </c>
      <c r="G16" s="126">
        <v>0</v>
      </c>
      <c r="H16" s="126">
        <v>0</v>
      </c>
      <c r="I16" s="126">
        <v>0</v>
      </c>
      <c r="J16" s="127">
        <f t="shared" si="0"/>
        <v>0</v>
      </c>
      <c r="K16" s="452"/>
    </row>
    <row r="17" spans="1:11" ht="12.75">
      <c r="A17" s="125"/>
      <c r="B17" s="125" t="s">
        <v>211</v>
      </c>
      <c r="C17" s="920" t="s">
        <v>560</v>
      </c>
      <c r="D17" s="920"/>
      <c r="E17" s="920"/>
      <c r="F17" s="126">
        <v>0</v>
      </c>
      <c r="G17" s="126">
        <v>0</v>
      </c>
      <c r="H17" s="126">
        <v>0</v>
      </c>
      <c r="I17" s="126">
        <v>0</v>
      </c>
      <c r="J17" s="127">
        <f t="shared" si="0"/>
        <v>0</v>
      </c>
      <c r="K17" s="452"/>
    </row>
    <row r="18" spans="1:11" ht="12.75">
      <c r="A18" s="125"/>
      <c r="B18" s="125" t="s">
        <v>212</v>
      </c>
      <c r="C18" s="920" t="s">
        <v>561</v>
      </c>
      <c r="D18" s="920"/>
      <c r="E18" s="920"/>
      <c r="F18" s="126">
        <f>SUM(F19:F28)</f>
        <v>0</v>
      </c>
      <c r="G18" s="126">
        <f>SUM(G19:G28)</f>
        <v>0</v>
      </c>
      <c r="H18" s="126">
        <f>SUM(H19:H28)</f>
        <v>0</v>
      </c>
      <c r="I18" s="126">
        <f>SUM(I19:I28)</f>
        <v>0</v>
      </c>
      <c r="J18" s="127">
        <f t="shared" si="0"/>
        <v>0</v>
      </c>
      <c r="K18" s="452"/>
    </row>
    <row r="19" spans="1:11" ht="12.75" hidden="1">
      <c r="A19" s="133"/>
      <c r="B19" s="133"/>
      <c r="C19" s="134" t="s">
        <v>2</v>
      </c>
      <c r="D19" s="134" t="s">
        <v>138</v>
      </c>
      <c r="E19" s="134" t="s">
        <v>139</v>
      </c>
      <c r="F19" s="135">
        <v>0</v>
      </c>
      <c r="G19" s="135">
        <v>0</v>
      </c>
      <c r="H19" s="135">
        <v>0</v>
      </c>
      <c r="I19" s="135">
        <v>0</v>
      </c>
      <c r="J19" s="136">
        <f t="shared" si="0"/>
        <v>0</v>
      </c>
      <c r="K19" s="454"/>
    </row>
    <row r="20" spans="1:11" ht="12.75" hidden="1">
      <c r="A20" s="133"/>
      <c r="B20" s="133"/>
      <c r="C20" s="134"/>
      <c r="D20" s="134" t="s">
        <v>140</v>
      </c>
      <c r="E20" s="134" t="s">
        <v>141</v>
      </c>
      <c r="F20" s="135">
        <v>0</v>
      </c>
      <c r="G20" s="135">
        <v>0</v>
      </c>
      <c r="H20" s="135">
        <v>0</v>
      </c>
      <c r="I20" s="135">
        <v>0</v>
      </c>
      <c r="J20" s="136">
        <f t="shared" si="0"/>
        <v>0</v>
      </c>
      <c r="K20" s="454"/>
    </row>
    <row r="21" spans="1:11" ht="12.75" hidden="1">
      <c r="A21" s="133"/>
      <c r="B21" s="133"/>
      <c r="C21" s="134"/>
      <c r="D21" s="134" t="s">
        <v>142</v>
      </c>
      <c r="E21" s="134" t="s">
        <v>213</v>
      </c>
      <c r="F21" s="135">
        <v>0</v>
      </c>
      <c r="G21" s="135">
        <v>0</v>
      </c>
      <c r="H21" s="135">
        <v>0</v>
      </c>
      <c r="I21" s="135">
        <v>0</v>
      </c>
      <c r="J21" s="136">
        <f t="shared" si="0"/>
        <v>0</v>
      </c>
      <c r="K21" s="454"/>
    </row>
    <row r="22" spans="1:11" ht="12.75" hidden="1">
      <c r="A22" s="133"/>
      <c r="B22" s="133"/>
      <c r="C22" s="134"/>
      <c r="D22" s="134" t="s">
        <v>144</v>
      </c>
      <c r="E22" s="134" t="s">
        <v>145</v>
      </c>
      <c r="F22" s="135">
        <v>0</v>
      </c>
      <c r="G22" s="135">
        <v>0</v>
      </c>
      <c r="H22" s="135">
        <v>0</v>
      </c>
      <c r="I22" s="135">
        <v>0</v>
      </c>
      <c r="J22" s="136">
        <f t="shared" si="0"/>
        <v>0</v>
      </c>
      <c r="K22" s="454"/>
    </row>
    <row r="23" spans="1:11" ht="12.75" hidden="1">
      <c r="A23" s="133"/>
      <c r="B23" s="133"/>
      <c r="C23" s="134"/>
      <c r="D23" s="134" t="s">
        <v>146</v>
      </c>
      <c r="E23" s="134" t="s">
        <v>147</v>
      </c>
      <c r="F23" s="135">
        <v>0</v>
      </c>
      <c r="G23" s="135">
        <v>0</v>
      </c>
      <c r="H23" s="135">
        <v>0</v>
      </c>
      <c r="I23" s="135">
        <v>0</v>
      </c>
      <c r="J23" s="136">
        <f t="shared" si="0"/>
        <v>0</v>
      </c>
      <c r="K23" s="454"/>
    </row>
    <row r="24" spans="1:11" ht="12.75" hidden="1">
      <c r="A24" s="133"/>
      <c r="B24" s="133"/>
      <c r="C24" s="134"/>
      <c r="D24" s="134" t="s">
        <v>148</v>
      </c>
      <c r="E24" s="134" t="s">
        <v>149</v>
      </c>
      <c r="F24" s="135">
        <v>0</v>
      </c>
      <c r="G24" s="135">
        <v>0</v>
      </c>
      <c r="H24" s="135">
        <v>0</v>
      </c>
      <c r="I24" s="135">
        <v>0</v>
      </c>
      <c r="J24" s="136">
        <f t="shared" si="0"/>
        <v>0</v>
      </c>
      <c r="K24" s="454"/>
    </row>
    <row r="25" spans="1:11" ht="12.75" hidden="1">
      <c r="A25" s="133"/>
      <c r="B25" s="133"/>
      <c r="C25" s="134"/>
      <c r="D25" s="134" t="s">
        <v>150</v>
      </c>
      <c r="E25" s="134" t="s">
        <v>151</v>
      </c>
      <c r="F25" s="135">
        <v>0</v>
      </c>
      <c r="G25" s="135">
        <v>0</v>
      </c>
      <c r="H25" s="135">
        <v>0</v>
      </c>
      <c r="I25" s="135">
        <v>0</v>
      </c>
      <c r="J25" s="136">
        <f t="shared" si="0"/>
        <v>0</v>
      </c>
      <c r="K25" s="454"/>
    </row>
    <row r="26" spans="1:11" ht="12.75" hidden="1">
      <c r="A26" s="133"/>
      <c r="B26" s="133"/>
      <c r="C26" s="134"/>
      <c r="D26" s="134" t="s">
        <v>152</v>
      </c>
      <c r="E26" s="134" t="s">
        <v>153</v>
      </c>
      <c r="F26" s="135"/>
      <c r="G26" s="135">
        <v>0</v>
      </c>
      <c r="H26" s="135">
        <v>0</v>
      </c>
      <c r="I26" s="135">
        <v>0</v>
      </c>
      <c r="J26" s="136">
        <f t="shared" si="0"/>
        <v>0</v>
      </c>
      <c r="K26" s="454"/>
    </row>
    <row r="27" spans="1:11" ht="12.75" hidden="1">
      <c r="A27" s="133"/>
      <c r="B27" s="133"/>
      <c r="C27" s="134"/>
      <c r="D27" s="134" t="s">
        <v>154</v>
      </c>
      <c r="E27" s="134" t="s">
        <v>155</v>
      </c>
      <c r="F27" s="135">
        <v>0</v>
      </c>
      <c r="G27" s="135">
        <v>0</v>
      </c>
      <c r="H27" s="135">
        <v>0</v>
      </c>
      <c r="I27" s="135">
        <v>0</v>
      </c>
      <c r="J27" s="136">
        <f t="shared" si="0"/>
        <v>0</v>
      </c>
      <c r="K27" s="454"/>
    </row>
    <row r="28" spans="1:11" ht="12.75" hidden="1">
      <c r="A28" s="133"/>
      <c r="B28" s="133"/>
      <c r="C28" s="134"/>
      <c r="D28" s="134" t="s">
        <v>156</v>
      </c>
      <c r="E28" s="134" t="s">
        <v>157</v>
      </c>
      <c r="F28" s="135">
        <v>0</v>
      </c>
      <c r="G28" s="135">
        <v>0</v>
      </c>
      <c r="H28" s="135">
        <v>0</v>
      </c>
      <c r="I28" s="135">
        <v>0</v>
      </c>
      <c r="J28" s="136">
        <f t="shared" si="0"/>
        <v>0</v>
      </c>
      <c r="K28" s="454"/>
    </row>
    <row r="29" spans="1:11" ht="12.75">
      <c r="A29" s="125"/>
      <c r="B29" s="125" t="s">
        <v>214</v>
      </c>
      <c r="C29" s="920" t="s">
        <v>562</v>
      </c>
      <c r="D29" s="920"/>
      <c r="E29" s="920"/>
      <c r="F29" s="126">
        <v>0</v>
      </c>
      <c r="G29" s="126">
        <v>0</v>
      </c>
      <c r="H29" s="126">
        <v>0</v>
      </c>
      <c r="I29" s="126">
        <v>0</v>
      </c>
      <c r="J29" s="127">
        <f t="shared" si="0"/>
        <v>0</v>
      </c>
      <c r="K29" s="452"/>
    </row>
    <row r="30" spans="1:11" ht="12.75">
      <c r="A30" s="125"/>
      <c r="B30" s="125" t="s">
        <v>215</v>
      </c>
      <c r="C30" s="920" t="s">
        <v>563</v>
      </c>
      <c r="D30" s="920"/>
      <c r="E30" s="920"/>
      <c r="F30" s="126">
        <f>SUM(F31:F40)</f>
        <v>261841621</v>
      </c>
      <c r="G30" s="126">
        <f>SUM(G31:G40)</f>
        <v>1484730</v>
      </c>
      <c r="H30" s="126">
        <f>SUM(H31:H40)</f>
        <v>15206687</v>
      </c>
      <c r="I30" s="126">
        <f>SUM(I31:I40)</f>
        <v>2854932</v>
      </c>
      <c r="J30" s="127">
        <f t="shared" si="0"/>
        <v>281387970</v>
      </c>
      <c r="K30" s="452"/>
    </row>
    <row r="31" spans="1:11" ht="12.75" hidden="1">
      <c r="A31" s="133"/>
      <c r="B31" s="133"/>
      <c r="C31" s="134" t="s">
        <v>2</v>
      </c>
      <c r="D31" s="134" t="s">
        <v>138</v>
      </c>
      <c r="E31" s="134" t="s">
        <v>139</v>
      </c>
      <c r="F31" s="135">
        <v>0</v>
      </c>
      <c r="G31" s="135">
        <v>0</v>
      </c>
      <c r="H31" s="135">
        <v>0</v>
      </c>
      <c r="I31" s="135">
        <v>0</v>
      </c>
      <c r="J31" s="136">
        <f t="shared" si="0"/>
        <v>0</v>
      </c>
      <c r="K31" s="454"/>
    </row>
    <row r="32" spans="1:11" ht="12.75" hidden="1">
      <c r="A32" s="133"/>
      <c r="B32" s="133"/>
      <c r="C32" s="134"/>
      <c r="D32" s="134" t="s">
        <v>140</v>
      </c>
      <c r="E32" s="134" t="s">
        <v>141</v>
      </c>
      <c r="F32" s="135">
        <v>0</v>
      </c>
      <c r="G32" s="135">
        <v>0</v>
      </c>
      <c r="H32" s="135">
        <v>0</v>
      </c>
      <c r="I32" s="135">
        <v>0</v>
      </c>
      <c r="J32" s="136">
        <f t="shared" si="0"/>
        <v>0</v>
      </c>
      <c r="K32" s="454"/>
    </row>
    <row r="33" spans="1:11" ht="12.75">
      <c r="A33" s="137"/>
      <c r="B33" s="137"/>
      <c r="C33" s="134" t="s">
        <v>2</v>
      </c>
      <c r="D33" s="138"/>
      <c r="E33" s="138" t="s">
        <v>566</v>
      </c>
      <c r="F33" s="135">
        <f>2100000+40118910+5788759+1092680+13881090+60657486+23938936+2563710-2100000+2100000+5109584</f>
        <v>155251155</v>
      </c>
      <c r="G33" s="135">
        <v>0</v>
      </c>
      <c r="H33" s="135">
        <f>5354163+7000000</f>
        <v>12354163</v>
      </c>
      <c r="I33" s="135"/>
      <c r="J33" s="136">
        <f t="shared" si="0"/>
        <v>167605318</v>
      </c>
      <c r="K33" s="454"/>
    </row>
    <row r="34" spans="1:11" ht="12.75">
      <c r="A34" s="133"/>
      <c r="B34" s="133"/>
      <c r="C34" s="134"/>
      <c r="D34" s="134"/>
      <c r="E34" s="134" t="s">
        <v>145</v>
      </c>
      <c r="F34" s="135">
        <f>7411115+571500+425000+424000</f>
        <v>8831615</v>
      </c>
      <c r="G34" s="135">
        <v>0</v>
      </c>
      <c r="H34" s="135">
        <v>900000</v>
      </c>
      <c r="I34" s="135">
        <v>0</v>
      </c>
      <c r="J34" s="136">
        <f t="shared" si="0"/>
        <v>9731615</v>
      </c>
      <c r="K34" s="454"/>
    </row>
    <row r="35" spans="1:11" ht="12.75">
      <c r="A35" s="133"/>
      <c r="B35" s="133"/>
      <c r="C35" s="134"/>
      <c r="D35" s="134"/>
      <c r="E35" s="134" t="s">
        <v>147</v>
      </c>
      <c r="F35" s="135">
        <f>21600000+7959000+2626200+2887500+50000+2324200</f>
        <v>37446900</v>
      </c>
      <c r="G35" s="135">
        <v>0</v>
      </c>
      <c r="H35" s="135">
        <v>0</v>
      </c>
      <c r="I35" s="135">
        <v>0</v>
      </c>
      <c r="J35" s="136">
        <f t="shared" si="0"/>
        <v>37446900</v>
      </c>
      <c r="K35" s="454"/>
    </row>
    <row r="36" spans="1:11" ht="12.75">
      <c r="A36" s="133"/>
      <c r="B36" s="133"/>
      <c r="C36" s="134"/>
      <c r="D36" s="134"/>
      <c r="E36" s="134" t="s">
        <v>149</v>
      </c>
      <c r="F36" s="135">
        <f>13227888+4016545+26537427+16490993-2702314-8864634+5586997+278932+139466+676210+352049</f>
        <v>55739559</v>
      </c>
      <c r="G36" s="135">
        <v>1484730</v>
      </c>
      <c r="H36" s="135">
        <f>1952578-54</f>
        <v>1952524</v>
      </c>
      <c r="I36" s="135">
        <f>2576000+278932</f>
        <v>2854932</v>
      </c>
      <c r="J36" s="136">
        <f t="shared" si="0"/>
        <v>62031745</v>
      </c>
      <c r="K36" s="454"/>
    </row>
    <row r="37" spans="1:11" ht="12.75">
      <c r="A37" s="133"/>
      <c r="B37" s="133"/>
      <c r="C37" s="134"/>
      <c r="D37" s="134"/>
      <c r="E37" s="134" t="s">
        <v>151</v>
      </c>
      <c r="F37" s="135">
        <f>3386445+1185947</f>
        <v>4572392</v>
      </c>
      <c r="G37" s="135">
        <v>0</v>
      </c>
      <c r="H37" s="135">
        <v>0</v>
      </c>
      <c r="I37" s="135">
        <v>0</v>
      </c>
      <c r="J37" s="136">
        <f t="shared" si="0"/>
        <v>4572392</v>
      </c>
      <c r="K37" s="454"/>
    </row>
    <row r="38" spans="1:11" ht="12.75" hidden="1">
      <c r="A38" s="133"/>
      <c r="B38" s="133"/>
      <c r="C38" s="134"/>
      <c r="D38" s="134"/>
      <c r="E38" s="134" t="s">
        <v>153</v>
      </c>
      <c r="F38" s="135">
        <v>0</v>
      </c>
      <c r="G38" s="135">
        <v>0</v>
      </c>
      <c r="H38" s="135">
        <v>0</v>
      </c>
      <c r="I38" s="135">
        <v>0</v>
      </c>
      <c r="J38" s="136">
        <f t="shared" si="0"/>
        <v>0</v>
      </c>
      <c r="K38" s="454"/>
    </row>
    <row r="39" spans="1:11" ht="12.75" hidden="1">
      <c r="A39" s="133"/>
      <c r="B39" s="133"/>
      <c r="C39" s="134"/>
      <c r="D39" s="134"/>
      <c r="E39" s="134" t="s">
        <v>567</v>
      </c>
      <c r="F39" s="135">
        <v>0</v>
      </c>
      <c r="G39" s="135">
        <v>0</v>
      </c>
      <c r="H39" s="135">
        <v>0</v>
      </c>
      <c r="I39" s="135">
        <v>0</v>
      </c>
      <c r="J39" s="136">
        <f t="shared" si="0"/>
        <v>0</v>
      </c>
      <c r="K39" s="454"/>
    </row>
    <row r="40" spans="1:11" ht="12.75" hidden="1">
      <c r="A40" s="133"/>
      <c r="B40" s="133"/>
      <c r="C40" s="134"/>
      <c r="D40" s="134"/>
      <c r="E40" s="134" t="s">
        <v>568</v>
      </c>
      <c r="F40" s="135">
        <v>0</v>
      </c>
      <c r="G40" s="135">
        <v>0</v>
      </c>
      <c r="H40" s="135">
        <v>0</v>
      </c>
      <c r="I40" s="135">
        <v>0</v>
      </c>
      <c r="J40" s="136">
        <f t="shared" si="0"/>
        <v>0</v>
      </c>
      <c r="K40" s="454"/>
    </row>
    <row r="41" spans="1:11" s="124" customFormat="1" ht="12.75">
      <c r="A41" s="122" t="s">
        <v>216</v>
      </c>
      <c r="B41" s="928" t="s">
        <v>574</v>
      </c>
      <c r="C41" s="928"/>
      <c r="D41" s="928"/>
      <c r="E41" s="928"/>
      <c r="F41" s="123">
        <f>SUM(F42:F46)</f>
        <v>176992778</v>
      </c>
      <c r="G41" s="123">
        <f>SUM(G42:G46)</f>
        <v>0</v>
      </c>
      <c r="H41" s="123">
        <f>SUM(H42:H46)</f>
        <v>0</v>
      </c>
      <c r="I41" s="123">
        <f>SUM(I42:I46)</f>
        <v>0</v>
      </c>
      <c r="J41" s="123">
        <f t="shared" si="0"/>
        <v>176992778</v>
      </c>
      <c r="K41" s="451"/>
    </row>
    <row r="42" spans="1:11" ht="12" customHeight="1">
      <c r="A42" s="125"/>
      <c r="B42" s="125" t="s">
        <v>217</v>
      </c>
      <c r="C42" s="920" t="s">
        <v>569</v>
      </c>
      <c r="D42" s="920"/>
      <c r="E42" s="920"/>
      <c r="F42" s="126">
        <v>19846252</v>
      </c>
      <c r="G42" s="126">
        <v>0</v>
      </c>
      <c r="H42" s="126">
        <v>0</v>
      </c>
      <c r="I42" s="126">
        <v>0</v>
      </c>
      <c r="J42" s="127">
        <f t="shared" si="0"/>
        <v>19846252</v>
      </c>
      <c r="K42" s="452"/>
    </row>
    <row r="43" spans="1:11" ht="12.75" hidden="1">
      <c r="A43" s="125"/>
      <c r="B43" s="125" t="s">
        <v>218</v>
      </c>
      <c r="C43" s="920" t="s">
        <v>570</v>
      </c>
      <c r="D43" s="920"/>
      <c r="E43" s="920"/>
      <c r="F43" s="126">
        <v>0</v>
      </c>
      <c r="G43" s="126">
        <v>0</v>
      </c>
      <c r="H43" s="126">
        <v>0</v>
      </c>
      <c r="I43" s="126">
        <v>0</v>
      </c>
      <c r="J43" s="127">
        <f t="shared" si="0"/>
        <v>0</v>
      </c>
      <c r="K43" s="452"/>
    </row>
    <row r="44" spans="1:11" ht="12.75" hidden="1">
      <c r="A44" s="125"/>
      <c r="B44" s="125" t="s">
        <v>219</v>
      </c>
      <c r="C44" s="920" t="s">
        <v>571</v>
      </c>
      <c r="D44" s="920"/>
      <c r="E44" s="920"/>
      <c r="F44" s="126">
        <v>0</v>
      </c>
      <c r="G44" s="126">
        <v>0</v>
      </c>
      <c r="H44" s="126">
        <v>0</v>
      </c>
      <c r="I44" s="126">
        <v>0</v>
      </c>
      <c r="J44" s="127">
        <f t="shared" si="0"/>
        <v>0</v>
      </c>
      <c r="K44" s="452"/>
    </row>
    <row r="45" spans="1:11" ht="12.75" hidden="1">
      <c r="A45" s="125"/>
      <c r="B45" s="125" t="s">
        <v>220</v>
      </c>
      <c r="C45" s="920" t="s">
        <v>572</v>
      </c>
      <c r="D45" s="920"/>
      <c r="E45" s="920"/>
      <c r="F45" s="126">
        <v>0</v>
      </c>
      <c r="G45" s="126">
        <v>0</v>
      </c>
      <c r="H45" s="126">
        <v>0</v>
      </c>
      <c r="I45" s="126">
        <v>0</v>
      </c>
      <c r="J45" s="127">
        <f t="shared" si="0"/>
        <v>0</v>
      </c>
      <c r="K45" s="452"/>
    </row>
    <row r="46" spans="1:11" ht="12.75">
      <c r="A46" s="125"/>
      <c r="B46" s="125" t="s">
        <v>221</v>
      </c>
      <c r="C46" s="920" t="s">
        <v>573</v>
      </c>
      <c r="D46" s="920"/>
      <c r="E46" s="920"/>
      <c r="F46" s="126">
        <f>SUM(F47:F57)</f>
        <v>157146526</v>
      </c>
      <c r="G46" s="126">
        <f>SUM(G47:G57)</f>
        <v>0</v>
      </c>
      <c r="H46" s="126">
        <f>SUM(H47:H57)</f>
        <v>0</v>
      </c>
      <c r="I46" s="126">
        <f>SUM(I47:I57)</f>
        <v>0</v>
      </c>
      <c r="J46" s="127">
        <f t="shared" si="0"/>
        <v>157146526</v>
      </c>
      <c r="K46" s="452"/>
    </row>
    <row r="47" spans="1:11" ht="12.75" hidden="1">
      <c r="A47" s="133"/>
      <c r="B47" s="133"/>
      <c r="C47" s="134" t="s">
        <v>2</v>
      </c>
      <c r="D47" s="134" t="s">
        <v>138</v>
      </c>
      <c r="E47" s="134" t="s">
        <v>139</v>
      </c>
      <c r="F47" s="135">
        <v>0</v>
      </c>
      <c r="G47" s="135">
        <v>0</v>
      </c>
      <c r="H47" s="135">
        <v>0</v>
      </c>
      <c r="I47" s="135">
        <v>0</v>
      </c>
      <c r="J47" s="136">
        <f t="shared" si="0"/>
        <v>0</v>
      </c>
      <c r="K47" s="454"/>
    </row>
    <row r="48" spans="1:11" ht="12.75" hidden="1">
      <c r="A48" s="133"/>
      <c r="B48" s="133"/>
      <c r="C48" s="134"/>
      <c r="D48" s="134" t="s">
        <v>140</v>
      </c>
      <c r="E48" s="134" t="s">
        <v>141</v>
      </c>
      <c r="F48" s="135">
        <v>0</v>
      </c>
      <c r="G48" s="135">
        <v>0</v>
      </c>
      <c r="H48" s="135">
        <v>0</v>
      </c>
      <c r="I48" s="135">
        <v>0</v>
      </c>
      <c r="J48" s="136">
        <f t="shared" si="0"/>
        <v>0</v>
      </c>
      <c r="K48" s="454"/>
    </row>
    <row r="49" spans="1:11" ht="12" customHeight="1">
      <c r="A49" s="137"/>
      <c r="B49" s="137"/>
      <c r="C49" s="134" t="s">
        <v>2</v>
      </c>
      <c r="D49" s="138"/>
      <c r="E49" s="138" t="s">
        <v>213</v>
      </c>
      <c r="F49" s="135">
        <f>6000000-6000000+6000000+2374582+6795254+349099+1150000+135676290+4536506</f>
        <v>156881731</v>
      </c>
      <c r="G49" s="135">
        <v>0</v>
      </c>
      <c r="H49" s="135">
        <v>0</v>
      </c>
      <c r="I49" s="135"/>
      <c r="J49" s="136">
        <f t="shared" si="0"/>
        <v>156881731</v>
      </c>
      <c r="K49" s="454"/>
    </row>
    <row r="50" spans="1:11" ht="12.75" hidden="1">
      <c r="A50" s="133"/>
      <c r="B50" s="133"/>
      <c r="C50" s="134"/>
      <c r="D50" s="134" t="s">
        <v>144</v>
      </c>
      <c r="E50" s="134" t="s">
        <v>145</v>
      </c>
      <c r="F50" s="135"/>
      <c r="G50" s="135">
        <v>0</v>
      </c>
      <c r="H50" s="135">
        <v>0</v>
      </c>
      <c r="I50" s="135">
        <v>0</v>
      </c>
      <c r="J50" s="136">
        <f t="shared" si="0"/>
        <v>0</v>
      </c>
      <c r="K50" s="454"/>
    </row>
    <row r="51" spans="1:11" ht="12.75" hidden="1">
      <c r="A51" s="133"/>
      <c r="B51" s="133"/>
      <c r="C51" s="134"/>
      <c r="D51" s="134" t="s">
        <v>146</v>
      </c>
      <c r="E51" s="134" t="s">
        <v>147</v>
      </c>
      <c r="F51" s="135"/>
      <c r="G51" s="135">
        <v>0</v>
      </c>
      <c r="H51" s="135">
        <v>0</v>
      </c>
      <c r="I51" s="135">
        <v>0</v>
      </c>
      <c r="J51" s="136">
        <f t="shared" si="0"/>
        <v>0</v>
      </c>
      <c r="K51" s="454"/>
    </row>
    <row r="52" spans="1:11" ht="12.75" hidden="1">
      <c r="A52" s="133"/>
      <c r="B52" s="133"/>
      <c r="C52" s="134"/>
      <c r="D52" s="134" t="s">
        <v>148</v>
      </c>
      <c r="E52" s="134" t="s">
        <v>149</v>
      </c>
      <c r="F52" s="135"/>
      <c r="G52" s="135">
        <v>0</v>
      </c>
      <c r="H52" s="135">
        <v>0</v>
      </c>
      <c r="I52" s="135">
        <v>0</v>
      </c>
      <c r="J52" s="136">
        <f t="shared" si="0"/>
        <v>0</v>
      </c>
      <c r="K52" s="454"/>
    </row>
    <row r="53" spans="1:11" ht="12.75" hidden="1">
      <c r="A53" s="133"/>
      <c r="B53" s="133"/>
      <c r="C53" s="134"/>
      <c r="D53" s="134" t="s">
        <v>150</v>
      </c>
      <c r="E53" s="134" t="s">
        <v>151</v>
      </c>
      <c r="F53" s="135"/>
      <c r="G53" s="135">
        <v>0</v>
      </c>
      <c r="H53" s="135">
        <v>0</v>
      </c>
      <c r="I53" s="135">
        <v>0</v>
      </c>
      <c r="J53" s="136">
        <f t="shared" si="0"/>
        <v>0</v>
      </c>
      <c r="K53" s="454"/>
    </row>
    <row r="54" spans="1:11" ht="12.75" hidden="1">
      <c r="A54" s="133"/>
      <c r="B54" s="133"/>
      <c r="C54" s="134"/>
      <c r="D54" s="134" t="s">
        <v>152</v>
      </c>
      <c r="E54" s="134" t="s">
        <v>153</v>
      </c>
      <c r="F54" s="135"/>
      <c r="G54" s="135">
        <v>0</v>
      </c>
      <c r="H54" s="135">
        <v>0</v>
      </c>
      <c r="I54" s="135">
        <v>0</v>
      </c>
      <c r="J54" s="136">
        <f t="shared" si="0"/>
        <v>0</v>
      </c>
      <c r="K54" s="454"/>
    </row>
    <row r="55" spans="1:11" ht="12.75" hidden="1">
      <c r="A55" s="133"/>
      <c r="B55" s="133"/>
      <c r="C55" s="134"/>
      <c r="D55" s="134" t="s">
        <v>154</v>
      </c>
      <c r="E55" s="134" t="s">
        <v>155</v>
      </c>
      <c r="F55" s="135"/>
      <c r="G55" s="135">
        <v>0</v>
      </c>
      <c r="H55" s="135">
        <v>0</v>
      </c>
      <c r="I55" s="135">
        <v>0</v>
      </c>
      <c r="J55" s="136">
        <f t="shared" si="0"/>
        <v>0</v>
      </c>
      <c r="K55" s="454"/>
    </row>
    <row r="56" spans="1:11" ht="12.75" hidden="1">
      <c r="A56" s="133"/>
      <c r="B56" s="133"/>
      <c r="C56" s="134"/>
      <c r="D56" s="134" t="s">
        <v>156</v>
      </c>
      <c r="E56" s="134" t="s">
        <v>157</v>
      </c>
      <c r="F56" s="135"/>
      <c r="G56" s="135">
        <v>0</v>
      </c>
      <c r="H56" s="135">
        <v>0</v>
      </c>
      <c r="I56" s="135">
        <v>0</v>
      </c>
      <c r="J56" s="136">
        <f t="shared" si="0"/>
        <v>0</v>
      </c>
      <c r="K56" s="454"/>
    </row>
    <row r="57" spans="1:11" ht="12.75">
      <c r="A57" s="133"/>
      <c r="B57" s="133"/>
      <c r="C57" s="134"/>
      <c r="D57" s="134"/>
      <c r="E57" s="134" t="s">
        <v>149</v>
      </c>
      <c r="F57" s="135">
        <f>74295+190500</f>
        <v>264795</v>
      </c>
      <c r="G57" s="135">
        <v>0</v>
      </c>
      <c r="H57" s="135">
        <v>0</v>
      </c>
      <c r="I57" s="135">
        <v>0</v>
      </c>
      <c r="J57" s="136">
        <f t="shared" si="0"/>
        <v>264795</v>
      </c>
      <c r="K57" s="454"/>
    </row>
    <row r="58" spans="1:11" s="124" customFormat="1" ht="12.75">
      <c r="A58" s="122" t="s">
        <v>222</v>
      </c>
      <c r="B58" s="928" t="s">
        <v>223</v>
      </c>
      <c r="C58" s="928"/>
      <c r="D58" s="928"/>
      <c r="E58" s="928"/>
      <c r="F58" s="123">
        <f>SUM(F59+F60+F61+F62+F65+F76)</f>
        <v>239700000</v>
      </c>
      <c r="G58" s="123">
        <f>SUM(G59+G60+G61+G62+G65+G76)</f>
        <v>0</v>
      </c>
      <c r="H58" s="123">
        <f>SUM(H59+H60+H61+H62+H65+H76)</f>
        <v>0</v>
      </c>
      <c r="I58" s="123">
        <f>SUM(I59+I60+I61+I62+I65+I76)</f>
        <v>0</v>
      </c>
      <c r="J58" s="123">
        <f t="shared" si="0"/>
        <v>239700000</v>
      </c>
      <c r="K58" s="451"/>
    </row>
    <row r="59" spans="1:11" ht="12.75">
      <c r="A59" s="125"/>
      <c r="B59" s="125" t="s">
        <v>224</v>
      </c>
      <c r="C59" s="920" t="s">
        <v>225</v>
      </c>
      <c r="D59" s="920"/>
      <c r="E59" s="920"/>
      <c r="F59" s="126">
        <v>50000</v>
      </c>
      <c r="G59" s="126">
        <v>0</v>
      </c>
      <c r="H59" s="126">
        <v>0</v>
      </c>
      <c r="I59" s="126">
        <v>0</v>
      </c>
      <c r="J59" s="127">
        <f t="shared" si="0"/>
        <v>50000</v>
      </c>
      <c r="K59" s="452"/>
    </row>
    <row r="60" spans="1:11" ht="12.75">
      <c r="A60" s="125"/>
      <c r="B60" s="125" t="s">
        <v>226</v>
      </c>
      <c r="C60" s="920" t="s">
        <v>227</v>
      </c>
      <c r="D60" s="920"/>
      <c r="E60" s="920"/>
      <c r="F60" s="126">
        <v>0</v>
      </c>
      <c r="G60" s="126">
        <v>0</v>
      </c>
      <c r="H60" s="126">
        <v>0</v>
      </c>
      <c r="I60" s="126">
        <v>0</v>
      </c>
      <c r="J60" s="127">
        <f t="shared" si="0"/>
        <v>0</v>
      </c>
      <c r="K60" s="452"/>
    </row>
    <row r="61" spans="1:11" ht="12.75">
      <c r="A61" s="125"/>
      <c r="B61" s="125" t="s">
        <v>228</v>
      </c>
      <c r="C61" s="920" t="s">
        <v>229</v>
      </c>
      <c r="D61" s="920"/>
      <c r="E61" s="920"/>
      <c r="F61" s="126">
        <v>0</v>
      </c>
      <c r="G61" s="126">
        <v>0</v>
      </c>
      <c r="H61" s="126">
        <v>0</v>
      </c>
      <c r="I61" s="126">
        <v>0</v>
      </c>
      <c r="J61" s="127">
        <f t="shared" si="0"/>
        <v>0</v>
      </c>
      <c r="K61" s="452"/>
    </row>
    <row r="62" spans="1:11" ht="12.75">
      <c r="A62" s="125"/>
      <c r="B62" s="125" t="s">
        <v>230</v>
      </c>
      <c r="C62" s="920" t="s">
        <v>231</v>
      </c>
      <c r="D62" s="920"/>
      <c r="E62" s="920"/>
      <c r="F62" s="126">
        <f>SUM(F63:F64)</f>
        <v>38850000</v>
      </c>
      <c r="G62" s="126">
        <f>SUM(G63:G64)</f>
        <v>0</v>
      </c>
      <c r="H62" s="126">
        <v>0</v>
      </c>
      <c r="I62" s="126">
        <v>0</v>
      </c>
      <c r="J62" s="127">
        <f t="shared" si="0"/>
        <v>38850000</v>
      </c>
      <c r="K62" s="452"/>
    </row>
    <row r="63" spans="1:11" ht="12.75">
      <c r="A63" s="133"/>
      <c r="B63" s="133"/>
      <c r="C63" s="134"/>
      <c r="D63" s="134"/>
      <c r="E63" s="134" t="s">
        <v>232</v>
      </c>
      <c r="F63" s="135">
        <v>38000000</v>
      </c>
      <c r="G63" s="135">
        <v>0</v>
      </c>
      <c r="H63" s="135">
        <v>0</v>
      </c>
      <c r="I63" s="135">
        <v>0</v>
      </c>
      <c r="J63" s="136">
        <f t="shared" si="0"/>
        <v>38000000</v>
      </c>
      <c r="K63" s="454"/>
    </row>
    <row r="64" spans="1:11" ht="12.75">
      <c r="A64" s="133"/>
      <c r="B64" s="133"/>
      <c r="C64" s="134"/>
      <c r="D64" s="134"/>
      <c r="E64" s="134" t="s">
        <v>233</v>
      </c>
      <c r="F64" s="135">
        <v>850000</v>
      </c>
      <c r="G64" s="135">
        <v>0</v>
      </c>
      <c r="H64" s="135">
        <v>0</v>
      </c>
      <c r="I64" s="135">
        <v>0</v>
      </c>
      <c r="J64" s="136">
        <f t="shared" si="0"/>
        <v>850000</v>
      </c>
      <c r="K64" s="454"/>
    </row>
    <row r="65" spans="1:11" ht="12.75">
      <c r="A65" s="125"/>
      <c r="B65" s="125" t="s">
        <v>234</v>
      </c>
      <c r="C65" s="920" t="s">
        <v>235</v>
      </c>
      <c r="D65" s="920"/>
      <c r="E65" s="920"/>
      <c r="F65" s="126">
        <f>SUM(F66+F69+F71+F72+F74)</f>
        <v>200150000</v>
      </c>
      <c r="G65" s="126">
        <f>SUM(G66+G69+G71+G72+G74)</f>
        <v>0</v>
      </c>
      <c r="H65" s="126">
        <v>0</v>
      </c>
      <c r="I65" s="126">
        <v>0</v>
      </c>
      <c r="J65" s="127">
        <f t="shared" si="0"/>
        <v>200150000</v>
      </c>
      <c r="K65" s="452"/>
    </row>
    <row r="66" spans="1:11" ht="12.75">
      <c r="A66" s="128"/>
      <c r="B66" s="128"/>
      <c r="C66" s="128" t="s">
        <v>236</v>
      </c>
      <c r="D66" s="128" t="s">
        <v>237</v>
      </c>
      <c r="E66" s="128"/>
      <c r="F66" s="129">
        <f>SUM(F67:F68)</f>
        <v>200150000</v>
      </c>
      <c r="G66" s="129">
        <f>SUM(G67:G68)</f>
        <v>0</v>
      </c>
      <c r="H66" s="129">
        <v>0</v>
      </c>
      <c r="I66" s="129">
        <v>0</v>
      </c>
      <c r="J66" s="130">
        <f t="shared" si="0"/>
        <v>200150000</v>
      </c>
      <c r="K66" s="453"/>
    </row>
    <row r="67" spans="1:11" ht="12.75">
      <c r="A67" s="133"/>
      <c r="B67" s="133"/>
      <c r="C67" s="134"/>
      <c r="D67" s="134"/>
      <c r="E67" s="134" t="s">
        <v>575</v>
      </c>
      <c r="F67" s="135">
        <v>200000000</v>
      </c>
      <c r="G67" s="135">
        <v>0</v>
      </c>
      <c r="H67" s="135">
        <v>0</v>
      </c>
      <c r="I67" s="135">
        <v>0</v>
      </c>
      <c r="J67" s="136">
        <f t="shared" si="0"/>
        <v>200000000</v>
      </c>
      <c r="K67" s="454"/>
    </row>
    <row r="68" spans="1:11" ht="12.75">
      <c r="A68" s="133"/>
      <c r="B68" s="133"/>
      <c r="C68" s="134"/>
      <c r="D68" s="134"/>
      <c r="E68" s="134" t="s">
        <v>576</v>
      </c>
      <c r="F68" s="135">
        <v>150000</v>
      </c>
      <c r="G68" s="135">
        <v>0</v>
      </c>
      <c r="H68" s="135">
        <v>0</v>
      </c>
      <c r="I68" s="135">
        <v>0</v>
      </c>
      <c r="J68" s="136">
        <f t="shared" si="0"/>
        <v>150000</v>
      </c>
      <c r="K68" s="454"/>
    </row>
    <row r="69" spans="1:11" ht="12.75">
      <c r="A69" s="128"/>
      <c r="B69" s="128"/>
      <c r="C69" s="128" t="s">
        <v>238</v>
      </c>
      <c r="D69" s="128" t="s">
        <v>511</v>
      </c>
      <c r="E69" s="128"/>
      <c r="F69" s="129">
        <f>SUM(F70)</f>
        <v>0</v>
      </c>
      <c r="G69" s="129">
        <f>SUM(G70)</f>
        <v>0</v>
      </c>
      <c r="H69" s="129">
        <f>SUM(H70)</f>
        <v>0</v>
      </c>
      <c r="I69" s="129">
        <f>SUM(I70)</f>
        <v>0</v>
      </c>
      <c r="J69" s="130">
        <f t="shared" si="0"/>
        <v>0</v>
      </c>
      <c r="K69" s="453"/>
    </row>
    <row r="70" spans="1:11" ht="12.75" hidden="1">
      <c r="A70" s="128"/>
      <c r="B70" s="128"/>
      <c r="C70" s="128"/>
      <c r="D70" s="128"/>
      <c r="E70" s="134" t="s">
        <v>512</v>
      </c>
      <c r="F70" s="129">
        <v>0</v>
      </c>
      <c r="G70" s="129">
        <v>0</v>
      </c>
      <c r="H70" s="129">
        <v>0</v>
      </c>
      <c r="I70" s="129">
        <v>0</v>
      </c>
      <c r="J70" s="130">
        <f t="shared" si="0"/>
        <v>0</v>
      </c>
      <c r="K70" s="453"/>
    </row>
    <row r="71" spans="1:11" ht="12.75">
      <c r="A71" s="128"/>
      <c r="B71" s="128"/>
      <c r="C71" s="128" t="s">
        <v>239</v>
      </c>
      <c r="D71" s="128" t="s">
        <v>240</v>
      </c>
      <c r="E71" s="128"/>
      <c r="F71" s="129">
        <v>0</v>
      </c>
      <c r="G71" s="129">
        <v>0</v>
      </c>
      <c r="H71" s="129">
        <v>0</v>
      </c>
      <c r="I71" s="129">
        <v>0</v>
      </c>
      <c r="J71" s="130">
        <f t="shared" si="0"/>
        <v>0</v>
      </c>
      <c r="K71" s="453"/>
    </row>
    <row r="72" spans="1:11" ht="12.75">
      <c r="A72" s="128"/>
      <c r="B72" s="128"/>
      <c r="C72" s="128" t="s">
        <v>241</v>
      </c>
      <c r="D72" s="128" t="s">
        <v>242</v>
      </c>
      <c r="E72" s="128"/>
      <c r="F72" s="129">
        <f>SUM(F73)</f>
        <v>0</v>
      </c>
      <c r="G72" s="129">
        <f>SUM(G73:G73)</f>
        <v>0</v>
      </c>
      <c r="H72" s="129">
        <v>0</v>
      </c>
      <c r="I72" s="129">
        <v>0</v>
      </c>
      <c r="J72" s="130">
        <f t="shared" si="0"/>
        <v>0</v>
      </c>
      <c r="K72" s="453"/>
    </row>
    <row r="73" spans="1:11" ht="12.75">
      <c r="A73" s="133"/>
      <c r="B73" s="133"/>
      <c r="C73" s="133"/>
      <c r="D73" s="134"/>
      <c r="E73" s="134" t="s">
        <v>577</v>
      </c>
      <c r="F73" s="135">
        <f>22000000-10269500-11730500</f>
        <v>0</v>
      </c>
      <c r="G73" s="135">
        <v>0</v>
      </c>
      <c r="H73" s="135">
        <v>0</v>
      </c>
      <c r="I73" s="135">
        <v>0</v>
      </c>
      <c r="J73" s="136">
        <f t="shared" si="0"/>
        <v>0</v>
      </c>
      <c r="K73" s="454"/>
    </row>
    <row r="74" spans="1:11" ht="12.75">
      <c r="A74" s="128"/>
      <c r="B74" s="128"/>
      <c r="C74" s="128" t="s">
        <v>243</v>
      </c>
      <c r="D74" s="128" t="s">
        <v>244</v>
      </c>
      <c r="E74" s="128"/>
      <c r="F74" s="129">
        <f>SUM(F75:F75)</f>
        <v>0</v>
      </c>
      <c r="G74" s="129">
        <v>0</v>
      </c>
      <c r="H74" s="129">
        <v>0</v>
      </c>
      <c r="I74" s="129">
        <v>0</v>
      </c>
      <c r="J74" s="130">
        <f aca="true" t="shared" si="1" ref="J74:J137">SUM(F74:I74)</f>
        <v>0</v>
      </c>
      <c r="K74" s="453"/>
    </row>
    <row r="75" spans="1:11" ht="12.75" hidden="1">
      <c r="A75" s="133"/>
      <c r="B75" s="133"/>
      <c r="C75" s="133"/>
      <c r="D75" s="134"/>
      <c r="E75" s="134" t="s">
        <v>246</v>
      </c>
      <c r="F75" s="135">
        <v>0</v>
      </c>
      <c r="G75" s="135">
        <v>0</v>
      </c>
      <c r="H75" s="135">
        <v>0</v>
      </c>
      <c r="I75" s="135">
        <v>0</v>
      </c>
      <c r="J75" s="136">
        <f t="shared" si="1"/>
        <v>0</v>
      </c>
      <c r="K75" s="454"/>
    </row>
    <row r="76" spans="1:11" ht="12.75">
      <c r="A76" s="125"/>
      <c r="B76" s="125" t="s">
        <v>247</v>
      </c>
      <c r="C76" s="920" t="s">
        <v>248</v>
      </c>
      <c r="D76" s="920"/>
      <c r="E76" s="920"/>
      <c r="F76" s="126">
        <f>SUM(F77:F86)</f>
        <v>650000</v>
      </c>
      <c r="G76" s="126">
        <f>SUM(G77:G86)</f>
        <v>0</v>
      </c>
      <c r="H76" s="126">
        <f>SUM(H77:H86)</f>
        <v>0</v>
      </c>
      <c r="I76" s="126">
        <f>SUM(I77:I86)</f>
        <v>0</v>
      </c>
      <c r="J76" s="127">
        <f t="shared" si="1"/>
        <v>650000</v>
      </c>
      <c r="K76" s="452"/>
    </row>
    <row r="77" spans="1:11" ht="12.75" hidden="1">
      <c r="A77" s="139"/>
      <c r="B77" s="139"/>
      <c r="C77" s="139"/>
      <c r="D77" s="134"/>
      <c r="E77" s="134" t="s">
        <v>249</v>
      </c>
      <c r="F77" s="135">
        <v>0</v>
      </c>
      <c r="G77" s="135">
        <v>0</v>
      </c>
      <c r="H77" s="135">
        <v>0</v>
      </c>
      <c r="I77" s="135">
        <v>0</v>
      </c>
      <c r="J77" s="136">
        <f t="shared" si="1"/>
        <v>0</v>
      </c>
      <c r="K77" s="454"/>
    </row>
    <row r="78" spans="1:11" ht="12.75" hidden="1">
      <c r="A78" s="133"/>
      <c r="B78" s="133"/>
      <c r="C78" s="133"/>
      <c r="D78" s="134"/>
      <c r="E78" s="134" t="s">
        <v>250</v>
      </c>
      <c r="F78" s="135">
        <v>0</v>
      </c>
      <c r="G78" s="135"/>
      <c r="H78" s="135">
        <v>0</v>
      </c>
      <c r="I78" s="135">
        <v>0</v>
      </c>
      <c r="J78" s="136">
        <f t="shared" si="1"/>
        <v>0</v>
      </c>
      <c r="K78" s="454"/>
    </row>
    <row r="79" spans="1:11" ht="12.75" hidden="1">
      <c r="A79" s="139"/>
      <c r="B79" s="139"/>
      <c r="C79" s="139"/>
      <c r="D79" s="134"/>
      <c r="E79" s="134" t="s">
        <v>251</v>
      </c>
      <c r="F79" s="135">
        <v>0</v>
      </c>
      <c r="G79" s="135">
        <v>0</v>
      </c>
      <c r="H79" s="135">
        <v>0</v>
      </c>
      <c r="I79" s="135">
        <v>0</v>
      </c>
      <c r="J79" s="136">
        <f t="shared" si="1"/>
        <v>0</v>
      </c>
      <c r="K79" s="454"/>
    </row>
    <row r="80" spans="1:11" ht="12.75" customHeight="1">
      <c r="A80" s="139"/>
      <c r="B80" s="139"/>
      <c r="C80" s="139"/>
      <c r="D80" s="134"/>
      <c r="E80" s="134" t="s">
        <v>245</v>
      </c>
      <c r="F80" s="135">
        <v>350000</v>
      </c>
      <c r="G80" s="135">
        <v>0</v>
      </c>
      <c r="H80" s="135">
        <v>0</v>
      </c>
      <c r="I80" s="135">
        <v>0</v>
      </c>
      <c r="J80" s="136">
        <f t="shared" si="1"/>
        <v>350000</v>
      </c>
      <c r="K80" s="454"/>
    </row>
    <row r="81" spans="1:11" ht="0.75" customHeight="1" hidden="1">
      <c r="A81" s="139"/>
      <c r="B81" s="139"/>
      <c r="C81" s="139"/>
      <c r="D81" s="134"/>
      <c r="E81" s="134" t="s">
        <v>252</v>
      </c>
      <c r="F81" s="135"/>
      <c r="G81" s="135">
        <v>0</v>
      </c>
      <c r="H81" s="135">
        <v>0</v>
      </c>
      <c r="I81" s="135">
        <v>0</v>
      </c>
      <c r="J81" s="136">
        <f t="shared" si="1"/>
        <v>0</v>
      </c>
      <c r="K81" s="454"/>
    </row>
    <row r="82" spans="1:11" ht="12.75" hidden="1">
      <c r="A82" s="139"/>
      <c r="B82" s="139"/>
      <c r="C82" s="139"/>
      <c r="D82" s="134"/>
      <c r="E82" s="134" t="s">
        <v>253</v>
      </c>
      <c r="F82" s="135"/>
      <c r="G82" s="135">
        <v>0</v>
      </c>
      <c r="H82" s="135">
        <v>0</v>
      </c>
      <c r="I82" s="135">
        <v>0</v>
      </c>
      <c r="J82" s="136">
        <f t="shared" si="1"/>
        <v>0</v>
      </c>
      <c r="K82" s="454"/>
    </row>
    <row r="83" spans="1:11" ht="12.75" hidden="1">
      <c r="A83" s="139"/>
      <c r="B83" s="139"/>
      <c r="C83" s="139"/>
      <c r="D83" s="134"/>
      <c r="E83" s="134" t="s">
        <v>540</v>
      </c>
      <c r="F83" s="135"/>
      <c r="G83" s="135">
        <v>0</v>
      </c>
      <c r="H83" s="135">
        <v>0</v>
      </c>
      <c r="I83" s="135">
        <v>0</v>
      </c>
      <c r="J83" s="136">
        <f t="shared" si="1"/>
        <v>0</v>
      </c>
      <c r="K83" s="454"/>
    </row>
    <row r="84" spans="1:11" ht="30" customHeight="1" hidden="1">
      <c r="A84" s="133"/>
      <c r="B84" s="133"/>
      <c r="C84" s="133"/>
      <c r="D84" s="133"/>
      <c r="E84" s="140" t="s">
        <v>578</v>
      </c>
      <c r="F84" s="135"/>
      <c r="G84" s="135">
        <v>0</v>
      </c>
      <c r="H84" s="135">
        <v>0</v>
      </c>
      <c r="I84" s="135">
        <v>0</v>
      </c>
      <c r="J84" s="136">
        <f t="shared" si="1"/>
        <v>0</v>
      </c>
      <c r="K84" s="454"/>
    </row>
    <row r="85" spans="1:11" ht="12.75" hidden="1">
      <c r="A85" s="139"/>
      <c r="B85" s="139"/>
      <c r="C85" s="139"/>
      <c r="D85" s="139"/>
      <c r="E85" s="134" t="s">
        <v>254</v>
      </c>
      <c r="F85" s="135"/>
      <c r="G85" s="135">
        <v>0</v>
      </c>
      <c r="H85" s="135">
        <v>0</v>
      </c>
      <c r="I85" s="135">
        <v>0</v>
      </c>
      <c r="J85" s="136">
        <f t="shared" si="1"/>
        <v>0</v>
      </c>
      <c r="K85" s="454"/>
    </row>
    <row r="86" spans="1:11" ht="12.75">
      <c r="A86" s="133"/>
      <c r="B86" s="133"/>
      <c r="C86" s="133"/>
      <c r="D86" s="133"/>
      <c r="E86" s="138" t="s">
        <v>255</v>
      </c>
      <c r="F86" s="135">
        <v>300000</v>
      </c>
      <c r="G86" s="135">
        <v>0</v>
      </c>
      <c r="H86" s="135">
        <v>0</v>
      </c>
      <c r="I86" s="135">
        <v>0</v>
      </c>
      <c r="J86" s="136">
        <f t="shared" si="1"/>
        <v>300000</v>
      </c>
      <c r="K86" s="454"/>
    </row>
    <row r="87" spans="1:11" s="124" customFormat="1" ht="12.75">
      <c r="A87" s="122" t="s">
        <v>256</v>
      </c>
      <c r="B87" s="928" t="s">
        <v>257</v>
      </c>
      <c r="C87" s="928"/>
      <c r="D87" s="928"/>
      <c r="E87" s="928"/>
      <c r="F87" s="123">
        <f>SUM(F88+F89+F92+F94+F101+F102+F103+F104+F111+F119+F120)</f>
        <v>62528958</v>
      </c>
      <c r="G87" s="123">
        <f>SUM(G88+G89+G92+G94+G101+G102+G103+G104+G111+G119+G120)</f>
        <v>5787349</v>
      </c>
      <c r="H87" s="123">
        <f>SUM(H88+H89+H92+H94+H101+H102+H103+H104+H111+H119+H120)</f>
        <v>1411725</v>
      </c>
      <c r="I87" s="123">
        <f>SUM(I88+I89+I92+I94+I101+I102+I103+I104+I111+I119+I120)</f>
        <v>14786105</v>
      </c>
      <c r="J87" s="123">
        <f t="shared" si="1"/>
        <v>84514137</v>
      </c>
      <c r="K87" s="451"/>
    </row>
    <row r="88" spans="1:11" ht="12.75">
      <c r="A88" s="128"/>
      <c r="B88" s="128"/>
      <c r="C88" s="128" t="s">
        <v>258</v>
      </c>
      <c r="D88" s="128" t="s">
        <v>474</v>
      </c>
      <c r="E88" s="128"/>
      <c r="F88" s="129">
        <f>9000000+500000+1370149-1370149+1370149+9000000-9000000+162081+2265477</f>
        <v>13297707</v>
      </c>
      <c r="G88" s="129">
        <v>0</v>
      </c>
      <c r="H88" s="129">
        <v>0</v>
      </c>
      <c r="I88" s="129">
        <v>0</v>
      </c>
      <c r="J88" s="130">
        <f t="shared" si="1"/>
        <v>13297707</v>
      </c>
      <c r="K88" s="453"/>
    </row>
    <row r="89" spans="1:11" ht="12.75">
      <c r="A89" s="128"/>
      <c r="B89" s="128"/>
      <c r="C89" s="128" t="s">
        <v>259</v>
      </c>
      <c r="D89" s="128" t="s">
        <v>331</v>
      </c>
      <c r="E89" s="128"/>
      <c r="F89" s="129">
        <f>6000000+10142978+342137+136431+2631668+256022</f>
        <v>19509236</v>
      </c>
      <c r="G89" s="129">
        <v>250000</v>
      </c>
      <c r="H89" s="129">
        <v>0</v>
      </c>
      <c r="I89" s="129">
        <f>90000+4520000+536221+3402559+3306421</f>
        <v>11855201</v>
      </c>
      <c r="J89" s="130">
        <f t="shared" si="1"/>
        <v>31614437</v>
      </c>
      <c r="K89" s="453"/>
    </row>
    <row r="90" spans="1:11" ht="12.75">
      <c r="A90" s="133"/>
      <c r="B90" s="133"/>
      <c r="C90" s="134" t="s">
        <v>2</v>
      </c>
      <c r="D90" s="134"/>
      <c r="E90" s="134" t="s">
        <v>260</v>
      </c>
      <c r="F90" s="141">
        <v>10142978</v>
      </c>
      <c r="G90" s="141">
        <v>0</v>
      </c>
      <c r="H90" s="135">
        <v>0</v>
      </c>
      <c r="I90" s="135">
        <v>320000</v>
      </c>
      <c r="J90" s="136">
        <f t="shared" si="1"/>
        <v>10462978</v>
      </c>
      <c r="K90" s="454"/>
    </row>
    <row r="91" spans="1:11" ht="12.75" hidden="1">
      <c r="A91" s="133"/>
      <c r="B91" s="133"/>
      <c r="C91" s="134"/>
      <c r="D91" s="134"/>
      <c r="E91" s="134" t="s">
        <v>726</v>
      </c>
      <c r="F91" s="135"/>
      <c r="G91" s="135">
        <v>0</v>
      </c>
      <c r="H91" s="135">
        <v>0</v>
      </c>
      <c r="I91" s="135">
        <v>0</v>
      </c>
      <c r="J91" s="136">
        <f t="shared" si="1"/>
        <v>0</v>
      </c>
      <c r="K91" s="454"/>
    </row>
    <row r="92" spans="1:11" ht="12.75">
      <c r="A92" s="128"/>
      <c r="B92" s="128"/>
      <c r="C92" s="128" t="s">
        <v>261</v>
      </c>
      <c r="D92" s="128" t="s">
        <v>262</v>
      </c>
      <c r="E92" s="128"/>
      <c r="F92" s="129">
        <f>472000+2666578</f>
        <v>3138578</v>
      </c>
      <c r="G92" s="129">
        <v>4549259</v>
      </c>
      <c r="H92" s="129">
        <v>0</v>
      </c>
      <c r="I92" s="129">
        <v>0</v>
      </c>
      <c r="J92" s="130">
        <f t="shared" si="1"/>
        <v>7687837</v>
      </c>
      <c r="K92" s="453"/>
    </row>
    <row r="93" spans="1:11" ht="12.75">
      <c r="A93" s="133"/>
      <c r="B93" s="133"/>
      <c r="C93" s="134" t="s">
        <v>2</v>
      </c>
      <c r="D93" s="134"/>
      <c r="E93" s="134" t="s">
        <v>7</v>
      </c>
      <c r="F93" s="135">
        <f>370000+1528712</f>
        <v>1898712</v>
      </c>
      <c r="G93" s="135">
        <v>688235</v>
      </c>
      <c r="H93" s="135">
        <v>0</v>
      </c>
      <c r="I93" s="135">
        <v>0</v>
      </c>
      <c r="J93" s="136">
        <f t="shared" si="1"/>
        <v>2586947</v>
      </c>
      <c r="K93" s="454"/>
    </row>
    <row r="94" spans="1:11" ht="12.75">
      <c r="A94" s="128"/>
      <c r="B94" s="128"/>
      <c r="C94" s="128" t="s">
        <v>263</v>
      </c>
      <c r="D94" s="128" t="s">
        <v>264</v>
      </c>
      <c r="E94" s="128"/>
      <c r="F94" s="129">
        <f>15000+731000</f>
        <v>746000</v>
      </c>
      <c r="G94" s="129">
        <v>0</v>
      </c>
      <c r="H94" s="129">
        <v>0</v>
      </c>
      <c r="I94" s="129">
        <v>0</v>
      </c>
      <c r="J94" s="130">
        <f t="shared" si="1"/>
        <v>746000</v>
      </c>
      <c r="K94" s="453"/>
    </row>
    <row r="95" spans="1:11" ht="12.75" hidden="1">
      <c r="A95" s="133"/>
      <c r="B95" s="133"/>
      <c r="C95" s="134" t="s">
        <v>2</v>
      </c>
      <c r="D95" s="134"/>
      <c r="E95" s="134" t="s">
        <v>265</v>
      </c>
      <c r="F95" s="135"/>
      <c r="G95" s="135">
        <v>0</v>
      </c>
      <c r="H95" s="135">
        <v>0</v>
      </c>
      <c r="I95" s="135">
        <v>0</v>
      </c>
      <c r="J95" s="136">
        <f t="shared" si="1"/>
        <v>0</v>
      </c>
      <c r="K95" s="454"/>
    </row>
    <row r="96" spans="1:11" ht="12.75" hidden="1">
      <c r="A96" s="133"/>
      <c r="B96" s="133"/>
      <c r="C96" s="134"/>
      <c r="D96" s="134"/>
      <c r="E96" s="134" t="s">
        <v>579</v>
      </c>
      <c r="F96" s="135"/>
      <c r="G96" s="135">
        <v>0</v>
      </c>
      <c r="H96" s="135">
        <v>0</v>
      </c>
      <c r="I96" s="135">
        <v>0</v>
      </c>
      <c r="J96" s="136">
        <f t="shared" si="1"/>
        <v>0</v>
      </c>
      <c r="K96" s="454"/>
    </row>
    <row r="97" spans="1:11" ht="12" customHeight="1">
      <c r="A97" s="133"/>
      <c r="B97" s="133"/>
      <c r="C97" s="134" t="s">
        <v>2</v>
      </c>
      <c r="D97" s="134"/>
      <c r="E97" s="134" t="s">
        <v>580</v>
      </c>
      <c r="F97" s="135">
        <f>15000+481000</f>
        <v>496000</v>
      </c>
      <c r="G97" s="135">
        <v>0</v>
      </c>
      <c r="H97" s="135">
        <v>0</v>
      </c>
      <c r="I97" s="135">
        <v>0</v>
      </c>
      <c r="J97" s="136">
        <f t="shared" si="1"/>
        <v>496000</v>
      </c>
      <c r="K97" s="454"/>
    </row>
    <row r="98" spans="1:11" ht="12.75" hidden="1">
      <c r="A98" s="133"/>
      <c r="B98" s="133"/>
      <c r="C98" s="134"/>
      <c r="D98" s="134"/>
      <c r="E98" s="134" t="s">
        <v>581</v>
      </c>
      <c r="F98" s="135"/>
      <c r="G98" s="135">
        <v>0</v>
      </c>
      <c r="H98" s="135">
        <v>0</v>
      </c>
      <c r="I98" s="135">
        <v>0</v>
      </c>
      <c r="J98" s="136">
        <f t="shared" si="1"/>
        <v>0</v>
      </c>
      <c r="K98" s="454"/>
    </row>
    <row r="99" spans="1:11" ht="12.75" hidden="1">
      <c r="A99" s="133"/>
      <c r="B99" s="133"/>
      <c r="C99" s="134"/>
      <c r="D99" s="134"/>
      <c r="E99" s="134" t="s">
        <v>582</v>
      </c>
      <c r="F99" s="135"/>
      <c r="G99" s="135">
        <v>0</v>
      </c>
      <c r="H99" s="135">
        <v>0</v>
      </c>
      <c r="I99" s="135">
        <v>0</v>
      </c>
      <c r="J99" s="136">
        <f t="shared" si="1"/>
        <v>0</v>
      </c>
      <c r="K99" s="454"/>
    </row>
    <row r="100" spans="1:11" ht="12.75" hidden="1">
      <c r="A100" s="133"/>
      <c r="B100" s="133"/>
      <c r="C100" s="134"/>
      <c r="D100" s="134"/>
      <c r="E100" s="134" t="s">
        <v>475</v>
      </c>
      <c r="F100" s="135"/>
      <c r="G100" s="135">
        <v>0</v>
      </c>
      <c r="H100" s="135">
        <v>0</v>
      </c>
      <c r="I100" s="135">
        <v>0</v>
      </c>
      <c r="J100" s="136">
        <f t="shared" si="1"/>
        <v>0</v>
      </c>
      <c r="K100" s="454"/>
    </row>
    <row r="101" spans="1:11" ht="12.75">
      <c r="A101" s="128"/>
      <c r="B101" s="128"/>
      <c r="C101" s="128" t="s">
        <v>266</v>
      </c>
      <c r="D101" s="128" t="s">
        <v>267</v>
      </c>
      <c r="E101" s="128"/>
      <c r="F101" s="129">
        <f>5925110+12898200+635625-2742137</f>
        <v>16716798</v>
      </c>
      <c r="G101" s="129">
        <v>0</v>
      </c>
      <c r="H101" s="129">
        <v>1111594</v>
      </c>
      <c r="I101" s="129">
        <v>0</v>
      </c>
      <c r="J101" s="130">
        <f t="shared" si="1"/>
        <v>17828392</v>
      </c>
      <c r="K101" s="453"/>
    </row>
    <row r="102" spans="1:11" ht="12.75">
      <c r="A102" s="128"/>
      <c r="B102" s="128"/>
      <c r="C102" s="128" t="s">
        <v>268</v>
      </c>
      <c r="D102" s="128" t="s">
        <v>269</v>
      </c>
      <c r="E102" s="128"/>
      <c r="F102" s="129">
        <f>1599780+1755000+127440+686046+92377+36836+710550+2742137+69126+43762</f>
        <v>7863054</v>
      </c>
      <c r="G102" s="129">
        <v>988090</v>
      </c>
      <c r="H102" s="129">
        <v>300131</v>
      </c>
      <c r="I102" s="129">
        <f>24300+950400+144779+918691+892734</f>
        <v>2930904</v>
      </c>
      <c r="J102" s="130">
        <f t="shared" si="1"/>
        <v>12082179</v>
      </c>
      <c r="K102" s="453"/>
    </row>
    <row r="103" spans="1:11" ht="12.75">
      <c r="A103" s="128"/>
      <c r="B103" s="128"/>
      <c r="C103" s="128" t="s">
        <v>270</v>
      </c>
      <c r="D103" s="128" t="s">
        <v>271</v>
      </c>
      <c r="E103" s="128"/>
      <c r="F103" s="129">
        <v>0</v>
      </c>
      <c r="G103" s="129">
        <v>0</v>
      </c>
      <c r="H103" s="129">
        <v>0</v>
      </c>
      <c r="I103" s="129">
        <v>0</v>
      </c>
      <c r="J103" s="130">
        <f t="shared" si="1"/>
        <v>0</v>
      </c>
      <c r="K103" s="453"/>
    </row>
    <row r="104" spans="1:11" ht="12" customHeight="1">
      <c r="A104" s="128"/>
      <c r="B104" s="128"/>
      <c r="C104" s="128" t="s">
        <v>272</v>
      </c>
      <c r="D104" s="128" t="s">
        <v>513</v>
      </c>
      <c r="E104" s="128"/>
      <c r="F104" s="129">
        <v>500</v>
      </c>
      <c r="G104" s="129">
        <f>SUM(G105+G108)</f>
        <v>0</v>
      </c>
      <c r="H104" s="129">
        <f>SUM(H105+H108)</f>
        <v>0</v>
      </c>
      <c r="I104" s="129">
        <f>SUM(I105+I108)</f>
        <v>0</v>
      </c>
      <c r="J104" s="130">
        <f t="shared" si="1"/>
        <v>500</v>
      </c>
      <c r="K104" s="453"/>
    </row>
    <row r="105" spans="1:11" ht="12.75" hidden="1">
      <c r="A105" s="128"/>
      <c r="B105" s="128"/>
      <c r="C105" s="134"/>
      <c r="D105" s="931" t="s">
        <v>583</v>
      </c>
      <c r="E105" s="932"/>
      <c r="F105" s="135"/>
      <c r="G105" s="135">
        <v>0</v>
      </c>
      <c r="H105" s="135">
        <v>0</v>
      </c>
      <c r="I105" s="135">
        <v>0</v>
      </c>
      <c r="J105" s="136">
        <f t="shared" si="1"/>
        <v>0</v>
      </c>
      <c r="K105" s="454"/>
    </row>
    <row r="106" spans="1:11" ht="12.75" hidden="1">
      <c r="A106" s="128"/>
      <c r="B106" s="128"/>
      <c r="C106" s="128" t="s">
        <v>2</v>
      </c>
      <c r="D106" s="128"/>
      <c r="E106" s="134" t="s">
        <v>7</v>
      </c>
      <c r="F106" s="135"/>
      <c r="G106" s="135">
        <v>0</v>
      </c>
      <c r="H106" s="135">
        <v>0</v>
      </c>
      <c r="I106" s="135">
        <v>0</v>
      </c>
      <c r="J106" s="136">
        <f t="shared" si="1"/>
        <v>0</v>
      </c>
      <c r="K106" s="454"/>
    </row>
    <row r="107" spans="1:11" ht="12.75" hidden="1">
      <c r="A107" s="128"/>
      <c r="B107" s="128"/>
      <c r="C107" s="128"/>
      <c r="D107" s="128"/>
      <c r="E107" s="134" t="s">
        <v>584</v>
      </c>
      <c r="F107" s="135"/>
      <c r="G107" s="135">
        <v>0</v>
      </c>
      <c r="H107" s="135">
        <v>0</v>
      </c>
      <c r="I107" s="135">
        <v>0</v>
      </c>
      <c r="J107" s="136">
        <f t="shared" si="1"/>
        <v>0</v>
      </c>
      <c r="K107" s="454"/>
    </row>
    <row r="108" spans="1:11" ht="12.75">
      <c r="A108" s="128"/>
      <c r="B108" s="128"/>
      <c r="C108" s="128" t="s">
        <v>2</v>
      </c>
      <c r="D108" s="931" t="s">
        <v>515</v>
      </c>
      <c r="E108" s="932"/>
      <c r="F108" s="135">
        <v>0</v>
      </c>
      <c r="G108" s="135">
        <v>0</v>
      </c>
      <c r="H108" s="135">
        <v>0</v>
      </c>
      <c r="I108" s="135">
        <v>0</v>
      </c>
      <c r="J108" s="136">
        <f t="shared" si="1"/>
        <v>0</v>
      </c>
      <c r="K108" s="454"/>
    </row>
    <row r="109" spans="1:11" ht="12.75" hidden="1">
      <c r="A109" s="128"/>
      <c r="B109" s="128"/>
      <c r="C109" s="128"/>
      <c r="D109" s="128"/>
      <c r="E109" s="134" t="s">
        <v>7</v>
      </c>
      <c r="F109" s="135"/>
      <c r="G109" s="135">
        <v>0</v>
      </c>
      <c r="H109" s="135">
        <v>0</v>
      </c>
      <c r="I109" s="135">
        <v>0</v>
      </c>
      <c r="J109" s="136">
        <f t="shared" si="1"/>
        <v>0</v>
      </c>
      <c r="K109" s="454"/>
    </row>
    <row r="110" spans="1:11" ht="12.75" hidden="1">
      <c r="A110" s="128"/>
      <c r="B110" s="128"/>
      <c r="C110" s="128"/>
      <c r="D110" s="128"/>
      <c r="E110" s="134" t="s">
        <v>476</v>
      </c>
      <c r="F110" s="135"/>
      <c r="G110" s="135">
        <v>0</v>
      </c>
      <c r="H110" s="135">
        <v>0</v>
      </c>
      <c r="I110" s="135">
        <v>0</v>
      </c>
      <c r="J110" s="136">
        <f t="shared" si="1"/>
        <v>0</v>
      </c>
      <c r="K110" s="454"/>
    </row>
    <row r="111" spans="1:11" ht="12.75">
      <c r="A111" s="128"/>
      <c r="B111" s="128"/>
      <c r="C111" s="128" t="s">
        <v>273</v>
      </c>
      <c r="D111" s="128" t="s">
        <v>518</v>
      </c>
      <c r="E111" s="128"/>
      <c r="F111" s="129">
        <v>0</v>
      </c>
      <c r="G111" s="129">
        <f>SUM(G112:G113)</f>
        <v>0</v>
      </c>
      <c r="H111" s="129">
        <f>SUM(H112:H113)</f>
        <v>0</v>
      </c>
      <c r="I111" s="129">
        <f>SUM(I112:I113)</f>
        <v>0</v>
      </c>
      <c r="J111" s="130">
        <f t="shared" si="1"/>
        <v>0</v>
      </c>
      <c r="K111" s="453"/>
    </row>
    <row r="112" spans="1:11" ht="12.75" hidden="1">
      <c r="A112" s="128"/>
      <c r="B112" s="128"/>
      <c r="C112" s="128"/>
      <c r="D112" s="931" t="s">
        <v>516</v>
      </c>
      <c r="E112" s="932"/>
      <c r="F112" s="129"/>
      <c r="G112" s="129">
        <v>0</v>
      </c>
      <c r="H112" s="129">
        <v>0</v>
      </c>
      <c r="I112" s="129">
        <v>0</v>
      </c>
      <c r="J112" s="130">
        <f t="shared" si="1"/>
        <v>0</v>
      </c>
      <c r="K112" s="453"/>
    </row>
    <row r="113" spans="1:11" ht="12.75" hidden="1">
      <c r="A113" s="128"/>
      <c r="B113" s="128"/>
      <c r="C113" s="128"/>
      <c r="D113" s="931" t="s">
        <v>517</v>
      </c>
      <c r="E113" s="932"/>
      <c r="F113" s="129"/>
      <c r="G113" s="129">
        <v>0</v>
      </c>
      <c r="H113" s="129">
        <v>0</v>
      </c>
      <c r="I113" s="129">
        <v>0</v>
      </c>
      <c r="J113" s="130">
        <f t="shared" si="1"/>
        <v>0</v>
      </c>
      <c r="K113" s="453"/>
    </row>
    <row r="114" spans="1:11" ht="12.75" hidden="1">
      <c r="A114" s="128"/>
      <c r="B114" s="128"/>
      <c r="C114" s="128" t="s">
        <v>2</v>
      </c>
      <c r="D114" s="128"/>
      <c r="E114" s="134" t="s">
        <v>519</v>
      </c>
      <c r="F114" s="129"/>
      <c r="G114" s="129">
        <v>0</v>
      </c>
      <c r="H114" s="129">
        <v>0</v>
      </c>
      <c r="I114" s="129">
        <v>0</v>
      </c>
      <c r="J114" s="130">
        <f t="shared" si="1"/>
        <v>0</v>
      </c>
      <c r="K114" s="453"/>
    </row>
    <row r="115" spans="1:11" ht="12.75" hidden="1">
      <c r="A115" s="128"/>
      <c r="B115" s="128"/>
      <c r="C115" s="128"/>
      <c r="D115" s="128"/>
      <c r="E115" s="134" t="s">
        <v>514</v>
      </c>
      <c r="F115" s="129"/>
      <c r="G115" s="129">
        <v>0</v>
      </c>
      <c r="H115" s="129">
        <v>0</v>
      </c>
      <c r="I115" s="129">
        <v>0</v>
      </c>
      <c r="J115" s="130">
        <f t="shared" si="1"/>
        <v>0</v>
      </c>
      <c r="K115" s="453"/>
    </row>
    <row r="116" spans="1:11" ht="12.75" hidden="1">
      <c r="A116" s="128"/>
      <c r="B116" s="128"/>
      <c r="C116" s="128"/>
      <c r="D116" s="128"/>
      <c r="E116" s="134" t="s">
        <v>520</v>
      </c>
      <c r="F116" s="129"/>
      <c r="G116" s="129">
        <v>0</v>
      </c>
      <c r="H116" s="129">
        <v>0</v>
      </c>
      <c r="I116" s="129">
        <v>0</v>
      </c>
      <c r="J116" s="130">
        <f t="shared" si="1"/>
        <v>0</v>
      </c>
      <c r="K116" s="453"/>
    </row>
    <row r="117" spans="1:11" ht="12.75" hidden="1">
      <c r="A117" s="128"/>
      <c r="B117" s="128"/>
      <c r="C117" s="128"/>
      <c r="D117" s="128"/>
      <c r="E117" s="134" t="s">
        <v>521</v>
      </c>
      <c r="F117" s="129"/>
      <c r="G117" s="129">
        <v>0</v>
      </c>
      <c r="H117" s="129">
        <v>0</v>
      </c>
      <c r="I117" s="129">
        <v>0</v>
      </c>
      <c r="J117" s="130">
        <f t="shared" si="1"/>
        <v>0</v>
      </c>
      <c r="K117" s="453"/>
    </row>
    <row r="118" spans="1:11" ht="12.75" hidden="1">
      <c r="A118" s="128"/>
      <c r="B118" s="128"/>
      <c r="C118" s="128"/>
      <c r="D118" s="128"/>
      <c r="E118" s="134" t="s">
        <v>522</v>
      </c>
      <c r="F118" s="129"/>
      <c r="G118" s="129">
        <v>0</v>
      </c>
      <c r="H118" s="129">
        <v>0</v>
      </c>
      <c r="I118" s="129">
        <v>0</v>
      </c>
      <c r="J118" s="130">
        <f t="shared" si="1"/>
        <v>0</v>
      </c>
      <c r="K118" s="453"/>
    </row>
    <row r="119" spans="1:11" ht="12.75">
      <c r="A119" s="128"/>
      <c r="B119" s="128"/>
      <c r="C119" s="128" t="s">
        <v>274</v>
      </c>
      <c r="D119" s="128" t="s">
        <v>477</v>
      </c>
      <c r="E119" s="128"/>
      <c r="F119" s="129">
        <v>0</v>
      </c>
      <c r="G119" s="129">
        <v>0</v>
      </c>
      <c r="H119" s="129">
        <v>0</v>
      </c>
      <c r="I119" s="129">
        <v>0</v>
      </c>
      <c r="J119" s="130">
        <f t="shared" si="1"/>
        <v>0</v>
      </c>
      <c r="K119" s="453"/>
    </row>
    <row r="120" spans="1:11" ht="22.5" customHeight="1">
      <c r="A120" s="128"/>
      <c r="B120" s="128"/>
      <c r="C120" s="569" t="s">
        <v>478</v>
      </c>
      <c r="D120" s="930" t="s">
        <v>479</v>
      </c>
      <c r="E120" s="930"/>
      <c r="F120" s="581">
        <f>80000+10959511-10959511+73560+212129+102620+28000+13208+63900+550901+132767</f>
        <v>1257085</v>
      </c>
      <c r="G120" s="581">
        <v>0</v>
      </c>
      <c r="H120" s="581">
        <v>0</v>
      </c>
      <c r="I120" s="581">
        <v>0</v>
      </c>
      <c r="J120" s="582">
        <f t="shared" si="1"/>
        <v>1257085</v>
      </c>
      <c r="K120" s="453"/>
    </row>
    <row r="121" spans="1:11" ht="45.75" customHeight="1" hidden="1">
      <c r="A121" s="132"/>
      <c r="B121" s="132"/>
      <c r="C121" s="142" t="s">
        <v>2</v>
      </c>
      <c r="D121" s="140" t="s">
        <v>413</v>
      </c>
      <c r="E121" s="140" t="s">
        <v>501</v>
      </c>
      <c r="F121" s="135">
        <v>0</v>
      </c>
      <c r="G121" s="135">
        <v>0</v>
      </c>
      <c r="H121" s="135">
        <v>0</v>
      </c>
      <c r="I121" s="135">
        <v>0</v>
      </c>
      <c r="J121" s="136">
        <f t="shared" si="1"/>
        <v>0</v>
      </c>
      <c r="K121" s="454"/>
    </row>
    <row r="122" spans="1:11" ht="13.5" customHeight="1" hidden="1">
      <c r="A122" s="133"/>
      <c r="B122" s="133"/>
      <c r="C122" s="133"/>
      <c r="D122" s="134" t="s">
        <v>413</v>
      </c>
      <c r="E122" s="143" t="s">
        <v>523</v>
      </c>
      <c r="F122" s="135"/>
      <c r="G122" s="135">
        <v>0</v>
      </c>
      <c r="H122" s="135">
        <v>0</v>
      </c>
      <c r="I122" s="135">
        <v>0</v>
      </c>
      <c r="J122" s="136">
        <f t="shared" si="1"/>
        <v>0</v>
      </c>
      <c r="K122" s="454"/>
    </row>
    <row r="123" spans="1:11" s="124" customFormat="1" ht="12.75">
      <c r="A123" s="122" t="s">
        <v>275</v>
      </c>
      <c r="B123" s="928" t="s">
        <v>276</v>
      </c>
      <c r="C123" s="928"/>
      <c r="D123" s="928"/>
      <c r="E123" s="928"/>
      <c r="F123" s="123">
        <f>SUM(F124+F126+F128+F129+F130)</f>
        <v>2922952</v>
      </c>
      <c r="G123" s="123">
        <f>SUM(G124+G126+G128+G129+G130)</f>
        <v>0</v>
      </c>
      <c r="H123" s="123">
        <f>SUM(H124+H126+H128+H129+H130)</f>
        <v>0</v>
      </c>
      <c r="I123" s="123">
        <f>SUM(I124+I126+I128+I129+I130)</f>
        <v>0</v>
      </c>
      <c r="J123" s="123">
        <f t="shared" si="1"/>
        <v>2922952</v>
      </c>
      <c r="K123" s="451"/>
    </row>
    <row r="124" spans="1:11" ht="12.75">
      <c r="A124" s="125"/>
      <c r="B124" s="125" t="s">
        <v>277</v>
      </c>
      <c r="C124" s="920" t="s">
        <v>332</v>
      </c>
      <c r="D124" s="920"/>
      <c r="E124" s="920"/>
      <c r="F124" s="126">
        <v>0</v>
      </c>
      <c r="G124" s="126">
        <v>0</v>
      </c>
      <c r="H124" s="126">
        <v>0</v>
      </c>
      <c r="I124" s="126">
        <v>0</v>
      </c>
      <c r="J124" s="127">
        <f t="shared" si="1"/>
        <v>0</v>
      </c>
      <c r="K124" s="452"/>
    </row>
    <row r="125" spans="1:11" ht="12.75" hidden="1">
      <c r="A125" s="133"/>
      <c r="B125" s="133"/>
      <c r="C125" s="134" t="s">
        <v>2</v>
      </c>
      <c r="D125" s="134" t="s">
        <v>413</v>
      </c>
      <c r="E125" s="134" t="s">
        <v>556</v>
      </c>
      <c r="F125" s="135">
        <v>0</v>
      </c>
      <c r="G125" s="135">
        <v>0</v>
      </c>
      <c r="H125" s="135">
        <v>0</v>
      </c>
      <c r="I125" s="135">
        <v>0</v>
      </c>
      <c r="J125" s="136">
        <f t="shared" si="1"/>
        <v>0</v>
      </c>
      <c r="K125" s="454"/>
    </row>
    <row r="126" spans="1:11" ht="12.75">
      <c r="A126" s="125"/>
      <c r="B126" s="125" t="s">
        <v>278</v>
      </c>
      <c r="C126" s="920" t="s">
        <v>279</v>
      </c>
      <c r="D126" s="920"/>
      <c r="E126" s="920"/>
      <c r="F126" s="126">
        <f>44406964+1500000+1000000+11730500-1038000-7422766-510500-3606983+8314422-2570647-1717174-4768235-31230088-6628035-4536506</f>
        <v>2922952</v>
      </c>
      <c r="G126" s="126">
        <v>0</v>
      </c>
      <c r="H126" s="126">
        <v>0</v>
      </c>
      <c r="I126" s="126">
        <v>0</v>
      </c>
      <c r="J126" s="127">
        <f t="shared" si="1"/>
        <v>2922952</v>
      </c>
      <c r="K126" s="452"/>
    </row>
    <row r="127" spans="1:11" ht="12.75" hidden="1">
      <c r="A127" s="133"/>
      <c r="B127" s="133"/>
      <c r="C127" s="134" t="s">
        <v>2</v>
      </c>
      <c r="D127" s="134" t="s">
        <v>413</v>
      </c>
      <c r="E127" s="134" t="s">
        <v>280</v>
      </c>
      <c r="F127" s="135">
        <v>0</v>
      </c>
      <c r="G127" s="135">
        <v>0</v>
      </c>
      <c r="H127" s="135">
        <v>0</v>
      </c>
      <c r="I127" s="135">
        <v>0</v>
      </c>
      <c r="J127" s="136">
        <f t="shared" si="1"/>
        <v>0</v>
      </c>
      <c r="K127" s="454"/>
    </row>
    <row r="128" spans="1:11" ht="12.75" hidden="1">
      <c r="A128" s="125"/>
      <c r="B128" s="125" t="s">
        <v>281</v>
      </c>
      <c r="C128" s="920" t="s">
        <v>282</v>
      </c>
      <c r="D128" s="920"/>
      <c r="E128" s="920"/>
      <c r="F128" s="126">
        <v>0</v>
      </c>
      <c r="G128" s="126">
        <v>0</v>
      </c>
      <c r="H128" s="126">
        <v>0</v>
      </c>
      <c r="I128" s="126">
        <v>0</v>
      </c>
      <c r="J128" s="127">
        <f t="shared" si="1"/>
        <v>0</v>
      </c>
      <c r="K128" s="452"/>
    </row>
    <row r="129" spans="1:11" ht="12.75" hidden="1">
      <c r="A129" s="125"/>
      <c r="B129" s="125" t="s">
        <v>283</v>
      </c>
      <c r="C129" s="920" t="s">
        <v>284</v>
      </c>
      <c r="D129" s="920"/>
      <c r="E129" s="920"/>
      <c r="F129" s="126">
        <v>0</v>
      </c>
      <c r="G129" s="126">
        <v>0</v>
      </c>
      <c r="H129" s="126">
        <v>0</v>
      </c>
      <c r="I129" s="126">
        <v>0</v>
      </c>
      <c r="J129" s="127">
        <f t="shared" si="1"/>
        <v>0</v>
      </c>
      <c r="K129" s="452"/>
    </row>
    <row r="130" spans="1:11" ht="12.75" hidden="1">
      <c r="A130" s="125"/>
      <c r="B130" s="125" t="s">
        <v>285</v>
      </c>
      <c r="C130" s="920" t="s">
        <v>286</v>
      </c>
      <c r="D130" s="920"/>
      <c r="E130" s="920"/>
      <c r="F130" s="126">
        <v>0</v>
      </c>
      <c r="G130" s="126">
        <v>0</v>
      </c>
      <c r="H130" s="126">
        <v>0</v>
      </c>
      <c r="I130" s="126">
        <v>0</v>
      </c>
      <c r="J130" s="127">
        <f t="shared" si="1"/>
        <v>0</v>
      </c>
      <c r="K130" s="452"/>
    </row>
    <row r="131" spans="1:11" s="124" customFormat="1" ht="12" customHeight="1">
      <c r="A131" s="122" t="s">
        <v>287</v>
      </c>
      <c r="B131" s="928" t="s">
        <v>288</v>
      </c>
      <c r="C131" s="928"/>
      <c r="D131" s="928"/>
      <c r="E131" s="928"/>
      <c r="F131" s="123">
        <f>SUM(F132+F133+F134+F135+F145)</f>
        <v>392500</v>
      </c>
      <c r="G131" s="123">
        <f>SUM(G132+G133+G134+G135+G145)</f>
        <v>0</v>
      </c>
      <c r="H131" s="123">
        <f>SUM(H132+H133+H134+H135+H145)</f>
        <v>0</v>
      </c>
      <c r="I131" s="123">
        <f>SUM(I132+I133+I134+I135+I145)</f>
        <v>0</v>
      </c>
      <c r="J131" s="123">
        <f t="shared" si="1"/>
        <v>392500</v>
      </c>
      <c r="K131" s="451"/>
    </row>
    <row r="132" spans="1:11" ht="12.75" hidden="1">
      <c r="A132" s="125"/>
      <c r="B132" s="125" t="s">
        <v>289</v>
      </c>
      <c r="C132" s="920" t="s">
        <v>585</v>
      </c>
      <c r="D132" s="920"/>
      <c r="E132" s="920"/>
      <c r="F132" s="126">
        <v>0</v>
      </c>
      <c r="G132" s="126">
        <v>0</v>
      </c>
      <c r="H132" s="126">
        <v>0</v>
      </c>
      <c r="I132" s="126">
        <v>0</v>
      </c>
      <c r="J132" s="127">
        <f t="shared" si="1"/>
        <v>0</v>
      </c>
      <c r="K132" s="452"/>
    </row>
    <row r="133" spans="1:11" ht="12.75" hidden="1">
      <c r="A133" s="125"/>
      <c r="B133" s="125" t="s">
        <v>290</v>
      </c>
      <c r="C133" s="920" t="s">
        <v>586</v>
      </c>
      <c r="D133" s="920"/>
      <c r="E133" s="920"/>
      <c r="F133" s="126">
        <v>0</v>
      </c>
      <c r="G133" s="126">
        <v>0</v>
      </c>
      <c r="H133" s="126">
        <v>0</v>
      </c>
      <c r="I133" s="126">
        <v>0</v>
      </c>
      <c r="J133" s="127">
        <f t="shared" si="1"/>
        <v>0</v>
      </c>
      <c r="K133" s="452"/>
    </row>
    <row r="134" spans="1:11" ht="26.25" customHeight="1" hidden="1">
      <c r="A134" s="125"/>
      <c r="B134" s="125" t="s">
        <v>292</v>
      </c>
      <c r="C134" s="929" t="s">
        <v>587</v>
      </c>
      <c r="D134" s="929"/>
      <c r="E134" s="929"/>
      <c r="F134" s="126">
        <v>0</v>
      </c>
      <c r="G134" s="126">
        <v>0</v>
      </c>
      <c r="H134" s="126">
        <v>0</v>
      </c>
      <c r="I134" s="126">
        <v>0</v>
      </c>
      <c r="J134" s="127">
        <f t="shared" si="1"/>
        <v>0</v>
      </c>
      <c r="K134" s="452"/>
    </row>
    <row r="135" spans="1:11" ht="12.75" hidden="1">
      <c r="A135" s="125"/>
      <c r="B135" s="125" t="s">
        <v>480</v>
      </c>
      <c r="C135" s="920" t="s">
        <v>588</v>
      </c>
      <c r="D135" s="920"/>
      <c r="E135" s="920"/>
      <c r="F135" s="126">
        <f>SUM(F136:F144)</f>
        <v>0</v>
      </c>
      <c r="G135" s="126">
        <v>0</v>
      </c>
      <c r="H135" s="126">
        <v>0</v>
      </c>
      <c r="I135" s="126">
        <v>0</v>
      </c>
      <c r="J135" s="127">
        <f t="shared" si="1"/>
        <v>0</v>
      </c>
      <c r="K135" s="452"/>
    </row>
    <row r="136" spans="1:11" ht="12.75" hidden="1">
      <c r="A136" s="132"/>
      <c r="B136" s="132"/>
      <c r="C136" s="134" t="s">
        <v>2</v>
      </c>
      <c r="D136" s="134" t="s">
        <v>138</v>
      </c>
      <c r="E136" s="134" t="s">
        <v>165</v>
      </c>
      <c r="F136" s="135">
        <v>0</v>
      </c>
      <c r="G136" s="135">
        <v>0</v>
      </c>
      <c r="H136" s="135">
        <v>0</v>
      </c>
      <c r="I136" s="135">
        <v>0</v>
      </c>
      <c r="J136" s="136">
        <f t="shared" si="1"/>
        <v>0</v>
      </c>
      <c r="K136" s="454"/>
    </row>
    <row r="137" spans="1:11" ht="12.75" hidden="1">
      <c r="A137" s="132"/>
      <c r="B137" s="132"/>
      <c r="C137" s="134"/>
      <c r="D137" s="134" t="s">
        <v>140</v>
      </c>
      <c r="E137" s="134" t="s">
        <v>502</v>
      </c>
      <c r="F137" s="135">
        <v>0</v>
      </c>
      <c r="G137" s="135">
        <v>0</v>
      </c>
      <c r="H137" s="135">
        <v>0</v>
      </c>
      <c r="I137" s="135">
        <v>0</v>
      </c>
      <c r="J137" s="136">
        <f t="shared" si="1"/>
        <v>0</v>
      </c>
      <c r="K137" s="454"/>
    </row>
    <row r="138" spans="1:11" ht="12.75" hidden="1">
      <c r="A138" s="132"/>
      <c r="B138" s="132"/>
      <c r="C138" s="134"/>
      <c r="D138" s="134" t="s">
        <v>142</v>
      </c>
      <c r="E138" s="134" t="s">
        <v>166</v>
      </c>
      <c r="F138" s="135">
        <v>0</v>
      </c>
      <c r="G138" s="135">
        <v>0</v>
      </c>
      <c r="H138" s="135">
        <v>0</v>
      </c>
      <c r="I138" s="135">
        <v>0</v>
      </c>
      <c r="J138" s="136">
        <f aca="true" t="shared" si="2" ref="J138:J201">SUM(F138:I138)</f>
        <v>0</v>
      </c>
      <c r="K138" s="454"/>
    </row>
    <row r="139" spans="1:11" ht="12.75" hidden="1">
      <c r="A139" s="132"/>
      <c r="B139" s="132"/>
      <c r="C139" s="134"/>
      <c r="D139" s="134" t="s">
        <v>144</v>
      </c>
      <c r="E139" s="134" t="s">
        <v>167</v>
      </c>
      <c r="F139" s="135">
        <v>0</v>
      </c>
      <c r="G139" s="135">
        <v>0</v>
      </c>
      <c r="H139" s="135">
        <v>0</v>
      </c>
      <c r="I139" s="135">
        <v>0</v>
      </c>
      <c r="J139" s="136">
        <f t="shared" si="2"/>
        <v>0</v>
      </c>
      <c r="K139" s="454"/>
    </row>
    <row r="140" spans="1:11" ht="12.75" hidden="1">
      <c r="A140" s="132"/>
      <c r="B140" s="132"/>
      <c r="C140" s="134"/>
      <c r="D140" s="134" t="s">
        <v>146</v>
      </c>
      <c r="E140" s="134" t="s">
        <v>168</v>
      </c>
      <c r="F140" s="135">
        <v>0</v>
      </c>
      <c r="G140" s="135">
        <v>0</v>
      </c>
      <c r="H140" s="135">
        <v>0</v>
      </c>
      <c r="I140" s="135">
        <v>0</v>
      </c>
      <c r="J140" s="136">
        <f t="shared" si="2"/>
        <v>0</v>
      </c>
      <c r="K140" s="454"/>
    </row>
    <row r="141" spans="1:11" ht="12.75" hidden="1">
      <c r="A141" s="132"/>
      <c r="B141" s="132"/>
      <c r="C141" s="134"/>
      <c r="D141" s="134" t="s">
        <v>148</v>
      </c>
      <c r="E141" s="134" t="s">
        <v>463</v>
      </c>
      <c r="F141" s="135">
        <v>0</v>
      </c>
      <c r="G141" s="135">
        <v>0</v>
      </c>
      <c r="H141" s="135">
        <v>0</v>
      </c>
      <c r="I141" s="135">
        <v>0</v>
      </c>
      <c r="J141" s="136">
        <f t="shared" si="2"/>
        <v>0</v>
      </c>
      <c r="K141" s="454"/>
    </row>
    <row r="142" spans="1:11" ht="12.75" hidden="1">
      <c r="A142" s="132"/>
      <c r="B142" s="132"/>
      <c r="C142" s="134"/>
      <c r="D142" s="134" t="s">
        <v>150</v>
      </c>
      <c r="E142" s="134" t="s">
        <v>462</v>
      </c>
      <c r="F142" s="144">
        <v>0</v>
      </c>
      <c r="G142" s="135">
        <v>0</v>
      </c>
      <c r="H142" s="135">
        <v>0</v>
      </c>
      <c r="I142" s="135">
        <v>0</v>
      </c>
      <c r="J142" s="136">
        <f t="shared" si="2"/>
        <v>0</v>
      </c>
      <c r="K142" s="454"/>
    </row>
    <row r="143" spans="1:11" ht="12.75" hidden="1">
      <c r="A143" s="132"/>
      <c r="B143" s="132"/>
      <c r="C143" s="134"/>
      <c r="D143" s="134" t="s">
        <v>152</v>
      </c>
      <c r="E143" s="134" t="s">
        <v>171</v>
      </c>
      <c r="F143" s="135"/>
      <c r="G143" s="135">
        <v>0</v>
      </c>
      <c r="H143" s="135">
        <v>0</v>
      </c>
      <c r="I143" s="135">
        <v>0</v>
      </c>
      <c r="J143" s="136">
        <f t="shared" si="2"/>
        <v>0</v>
      </c>
      <c r="K143" s="454"/>
    </row>
    <row r="144" spans="1:11" ht="12.75" hidden="1">
      <c r="A144" s="132"/>
      <c r="B144" s="132"/>
      <c r="C144" s="134"/>
      <c r="D144" s="134" t="s">
        <v>154</v>
      </c>
      <c r="E144" s="134" t="s">
        <v>503</v>
      </c>
      <c r="F144" s="135">
        <v>0</v>
      </c>
      <c r="G144" s="135">
        <v>0</v>
      </c>
      <c r="H144" s="135">
        <v>0</v>
      </c>
      <c r="I144" s="135">
        <v>0</v>
      </c>
      <c r="J144" s="136">
        <f t="shared" si="2"/>
        <v>0</v>
      </c>
      <c r="K144" s="454"/>
    </row>
    <row r="145" spans="1:11" ht="12.75">
      <c r="A145" s="125"/>
      <c r="B145" s="125" t="s">
        <v>481</v>
      </c>
      <c r="C145" s="920" t="s">
        <v>557</v>
      </c>
      <c r="D145" s="920"/>
      <c r="E145" s="920"/>
      <c r="F145" s="126">
        <f>SUM(F146)</f>
        <v>392500</v>
      </c>
      <c r="G145" s="126">
        <v>0</v>
      </c>
      <c r="H145" s="126">
        <v>0</v>
      </c>
      <c r="I145" s="126">
        <v>0</v>
      </c>
      <c r="J145" s="127">
        <f t="shared" si="2"/>
        <v>392500</v>
      </c>
      <c r="K145" s="452"/>
    </row>
    <row r="146" spans="1:11" ht="12.75">
      <c r="A146" s="125"/>
      <c r="B146" s="125"/>
      <c r="C146" s="134" t="s">
        <v>2</v>
      </c>
      <c r="D146" s="449"/>
      <c r="E146" s="134" t="s">
        <v>167</v>
      </c>
      <c r="F146" s="135">
        <f>375000+17500</f>
        <v>392500</v>
      </c>
      <c r="G146" s="135">
        <v>0</v>
      </c>
      <c r="H146" s="135">
        <v>0</v>
      </c>
      <c r="I146" s="135">
        <v>0</v>
      </c>
      <c r="J146" s="136">
        <f>SUM(F146:I146)</f>
        <v>392500</v>
      </c>
      <c r="K146" s="452"/>
    </row>
    <row r="147" spans="1:11" s="124" customFormat="1" ht="12.75">
      <c r="A147" s="122" t="s">
        <v>293</v>
      </c>
      <c r="B147" s="928" t="s">
        <v>294</v>
      </c>
      <c r="C147" s="928"/>
      <c r="D147" s="928"/>
      <c r="E147" s="928"/>
      <c r="F147" s="123">
        <f>SUM(F148+F149+F150+F151+F161)</f>
        <v>267460</v>
      </c>
      <c r="G147" s="123">
        <f>SUM(G148+G149+G150+G151+G161)</f>
        <v>0</v>
      </c>
      <c r="H147" s="123">
        <f>SUM(H148+H149+H150+H151+H161)</f>
        <v>0</v>
      </c>
      <c r="I147" s="123">
        <f>SUM(I148+I149+I150+I151+I161)</f>
        <v>0</v>
      </c>
      <c r="J147" s="123">
        <f t="shared" si="2"/>
        <v>267460</v>
      </c>
      <c r="K147" s="451"/>
    </row>
    <row r="148" spans="1:11" ht="12.75" hidden="1">
      <c r="A148" s="125"/>
      <c r="B148" s="125" t="s">
        <v>295</v>
      </c>
      <c r="C148" s="920" t="s">
        <v>589</v>
      </c>
      <c r="D148" s="920"/>
      <c r="E148" s="920"/>
      <c r="F148" s="126">
        <v>0</v>
      </c>
      <c r="G148" s="126">
        <v>0</v>
      </c>
      <c r="H148" s="126">
        <v>0</v>
      </c>
      <c r="I148" s="126">
        <v>0</v>
      </c>
      <c r="J148" s="127">
        <f t="shared" si="2"/>
        <v>0</v>
      </c>
      <c r="K148" s="452"/>
    </row>
    <row r="149" spans="1:11" ht="12.75" hidden="1">
      <c r="A149" s="125"/>
      <c r="B149" s="125" t="s">
        <v>296</v>
      </c>
      <c r="C149" s="920" t="s">
        <v>590</v>
      </c>
      <c r="D149" s="920"/>
      <c r="E149" s="920"/>
      <c r="F149" s="126">
        <v>0</v>
      </c>
      <c r="G149" s="126">
        <v>0</v>
      </c>
      <c r="H149" s="126">
        <v>0</v>
      </c>
      <c r="I149" s="126">
        <v>0</v>
      </c>
      <c r="J149" s="127">
        <f t="shared" si="2"/>
        <v>0</v>
      </c>
      <c r="K149" s="452"/>
    </row>
    <row r="150" spans="1:11" ht="25.5" customHeight="1" hidden="1">
      <c r="A150" s="125"/>
      <c r="B150" s="125" t="s">
        <v>297</v>
      </c>
      <c r="C150" s="929" t="s">
        <v>591</v>
      </c>
      <c r="D150" s="929"/>
      <c r="E150" s="929"/>
      <c r="F150" s="126">
        <v>0</v>
      </c>
      <c r="G150" s="126">
        <v>0</v>
      </c>
      <c r="H150" s="126">
        <v>0</v>
      </c>
      <c r="I150" s="126">
        <v>0</v>
      </c>
      <c r="J150" s="127">
        <f t="shared" si="2"/>
        <v>0</v>
      </c>
      <c r="K150" s="452"/>
    </row>
    <row r="151" spans="1:11" ht="12.75" hidden="1">
      <c r="A151" s="132"/>
      <c r="B151" s="125" t="s">
        <v>482</v>
      </c>
      <c r="C151" s="920" t="s">
        <v>592</v>
      </c>
      <c r="D151" s="920"/>
      <c r="E151" s="920"/>
      <c r="F151" s="126">
        <f>SUM(F152:F160)</f>
        <v>0</v>
      </c>
      <c r="G151" s="126">
        <f>SUM(G152:G160)</f>
        <v>0</v>
      </c>
      <c r="H151" s="126">
        <f>SUM(H152:H160)</f>
        <v>0</v>
      </c>
      <c r="I151" s="126">
        <f>SUM(I152:I160)</f>
        <v>0</v>
      </c>
      <c r="J151" s="127">
        <f t="shared" si="2"/>
        <v>0</v>
      </c>
      <c r="K151" s="452"/>
    </row>
    <row r="152" spans="1:11" ht="12.75" hidden="1">
      <c r="A152" s="132"/>
      <c r="B152" s="132"/>
      <c r="C152" s="134" t="s">
        <v>2</v>
      </c>
      <c r="D152" s="134" t="s">
        <v>138</v>
      </c>
      <c r="E152" s="134" t="s">
        <v>165</v>
      </c>
      <c r="F152" s="135">
        <v>0</v>
      </c>
      <c r="G152" s="135">
        <v>0</v>
      </c>
      <c r="H152" s="135">
        <v>0</v>
      </c>
      <c r="I152" s="135">
        <v>0</v>
      </c>
      <c r="J152" s="136">
        <f t="shared" si="2"/>
        <v>0</v>
      </c>
      <c r="K152" s="454"/>
    </row>
    <row r="153" spans="1:11" ht="12.75" hidden="1">
      <c r="A153" s="132"/>
      <c r="B153" s="132"/>
      <c r="C153" s="134"/>
      <c r="D153" s="134" t="s">
        <v>140</v>
      </c>
      <c r="E153" s="134" t="s">
        <v>502</v>
      </c>
      <c r="F153" s="135">
        <v>0</v>
      </c>
      <c r="G153" s="135">
        <v>0</v>
      </c>
      <c r="H153" s="135">
        <v>0</v>
      </c>
      <c r="I153" s="135">
        <v>0</v>
      </c>
      <c r="J153" s="136">
        <f t="shared" si="2"/>
        <v>0</v>
      </c>
      <c r="K153" s="454"/>
    </row>
    <row r="154" spans="1:11" ht="12.75" hidden="1">
      <c r="A154" s="132"/>
      <c r="B154" s="132"/>
      <c r="C154" s="134"/>
      <c r="D154" s="134" t="s">
        <v>142</v>
      </c>
      <c r="E154" s="134" t="s">
        <v>166</v>
      </c>
      <c r="F154" s="135">
        <v>0</v>
      </c>
      <c r="G154" s="135">
        <v>0</v>
      </c>
      <c r="H154" s="135">
        <v>0</v>
      </c>
      <c r="I154" s="135">
        <v>0</v>
      </c>
      <c r="J154" s="136">
        <f t="shared" si="2"/>
        <v>0</v>
      </c>
      <c r="K154" s="454"/>
    </row>
    <row r="155" spans="1:11" ht="12.75" hidden="1">
      <c r="A155" s="132"/>
      <c r="B155" s="132"/>
      <c r="C155" s="134"/>
      <c r="D155" s="134" t="s">
        <v>144</v>
      </c>
      <c r="E155" s="134" t="s">
        <v>167</v>
      </c>
      <c r="F155" s="135">
        <v>0</v>
      </c>
      <c r="G155" s="135">
        <v>0</v>
      </c>
      <c r="H155" s="135">
        <v>0</v>
      </c>
      <c r="I155" s="135">
        <v>0</v>
      </c>
      <c r="J155" s="136">
        <f t="shared" si="2"/>
        <v>0</v>
      </c>
      <c r="K155" s="454"/>
    </row>
    <row r="156" spans="1:11" ht="12.75" hidden="1">
      <c r="A156" s="132"/>
      <c r="B156" s="132"/>
      <c r="C156" s="134"/>
      <c r="D156" s="134" t="s">
        <v>146</v>
      </c>
      <c r="E156" s="134" t="s">
        <v>168</v>
      </c>
      <c r="F156" s="135">
        <v>0</v>
      </c>
      <c r="G156" s="135">
        <v>0</v>
      </c>
      <c r="H156" s="135">
        <v>0</v>
      </c>
      <c r="I156" s="135">
        <v>0</v>
      </c>
      <c r="J156" s="136">
        <f t="shared" si="2"/>
        <v>0</v>
      </c>
      <c r="K156" s="454"/>
    </row>
    <row r="157" spans="1:11" ht="12.75" hidden="1">
      <c r="A157" s="132"/>
      <c r="B157" s="132"/>
      <c r="C157" s="134"/>
      <c r="D157" s="134" t="s">
        <v>148</v>
      </c>
      <c r="E157" s="134" t="s">
        <v>463</v>
      </c>
      <c r="F157" s="135">
        <v>0</v>
      </c>
      <c r="G157" s="135">
        <v>0</v>
      </c>
      <c r="H157" s="135">
        <v>0</v>
      </c>
      <c r="I157" s="135">
        <v>0</v>
      </c>
      <c r="J157" s="136">
        <f t="shared" si="2"/>
        <v>0</v>
      </c>
      <c r="K157" s="454"/>
    </row>
    <row r="158" spans="1:11" ht="12.75" hidden="1">
      <c r="A158" s="132"/>
      <c r="B158" s="132"/>
      <c r="C158" s="134"/>
      <c r="D158" s="134" t="s">
        <v>150</v>
      </c>
      <c r="E158" s="134" t="s">
        <v>462</v>
      </c>
      <c r="F158" s="144">
        <v>0</v>
      </c>
      <c r="G158" s="135">
        <v>0</v>
      </c>
      <c r="H158" s="135">
        <v>0</v>
      </c>
      <c r="I158" s="135">
        <v>0</v>
      </c>
      <c r="J158" s="136">
        <f t="shared" si="2"/>
        <v>0</v>
      </c>
      <c r="K158" s="454"/>
    </row>
    <row r="159" spans="1:11" ht="12.75" hidden="1">
      <c r="A159" s="132"/>
      <c r="B159" s="132"/>
      <c r="C159" s="134"/>
      <c r="D159" s="134" t="s">
        <v>152</v>
      </c>
      <c r="E159" s="134" t="s">
        <v>171</v>
      </c>
      <c r="F159" s="135">
        <v>0</v>
      </c>
      <c r="G159" s="135">
        <v>0</v>
      </c>
      <c r="H159" s="135">
        <v>0</v>
      </c>
      <c r="I159" s="135">
        <v>0</v>
      </c>
      <c r="J159" s="136">
        <f t="shared" si="2"/>
        <v>0</v>
      </c>
      <c r="K159" s="454"/>
    </row>
    <row r="160" spans="1:11" ht="12.75" hidden="1">
      <c r="A160" s="132"/>
      <c r="B160" s="132"/>
      <c r="C160" s="134"/>
      <c r="D160" s="134" t="s">
        <v>154</v>
      </c>
      <c r="E160" s="134" t="s">
        <v>503</v>
      </c>
      <c r="F160" s="135">
        <v>0</v>
      </c>
      <c r="G160" s="135">
        <v>0</v>
      </c>
      <c r="H160" s="135">
        <v>0</v>
      </c>
      <c r="I160" s="135">
        <v>0</v>
      </c>
      <c r="J160" s="136">
        <f t="shared" si="2"/>
        <v>0</v>
      </c>
      <c r="K160" s="454"/>
    </row>
    <row r="161" spans="1:11" ht="12" customHeight="1">
      <c r="A161" s="132"/>
      <c r="B161" s="125" t="s">
        <v>483</v>
      </c>
      <c r="C161" s="920" t="s">
        <v>541</v>
      </c>
      <c r="D161" s="920"/>
      <c r="E161" s="920"/>
      <c r="F161" s="126">
        <f>SUM(F162:F172)</f>
        <v>267460</v>
      </c>
      <c r="G161" s="126">
        <f>SUM(G162:G172)</f>
        <v>0</v>
      </c>
      <c r="H161" s="126">
        <f>SUM(H162:H172)</f>
        <v>0</v>
      </c>
      <c r="I161" s="126">
        <f>SUM(I162:I172)</f>
        <v>0</v>
      </c>
      <c r="J161" s="127">
        <f t="shared" si="2"/>
        <v>267460</v>
      </c>
      <c r="K161" s="452"/>
    </row>
    <row r="162" spans="1:11" ht="12.75" hidden="1">
      <c r="A162" s="132"/>
      <c r="B162" s="132"/>
      <c r="C162" s="134" t="s">
        <v>2</v>
      </c>
      <c r="D162" s="134" t="s">
        <v>138</v>
      </c>
      <c r="E162" s="134" t="s">
        <v>165</v>
      </c>
      <c r="F162" s="135"/>
      <c r="G162" s="135">
        <v>0</v>
      </c>
      <c r="H162" s="135">
        <v>0</v>
      </c>
      <c r="I162" s="135">
        <v>0</v>
      </c>
      <c r="J162" s="136">
        <f t="shared" si="2"/>
        <v>0</v>
      </c>
      <c r="K162" s="454"/>
    </row>
    <row r="163" spans="1:11" ht="12.75" hidden="1">
      <c r="A163" s="132"/>
      <c r="B163" s="132"/>
      <c r="C163" s="134"/>
      <c r="D163" s="134" t="s">
        <v>140</v>
      </c>
      <c r="E163" s="134" t="s">
        <v>502</v>
      </c>
      <c r="F163" s="135">
        <v>0</v>
      </c>
      <c r="G163" s="135">
        <v>0</v>
      </c>
      <c r="H163" s="135">
        <v>0</v>
      </c>
      <c r="I163" s="135">
        <v>0</v>
      </c>
      <c r="J163" s="136">
        <f t="shared" si="2"/>
        <v>0</v>
      </c>
      <c r="K163" s="454"/>
    </row>
    <row r="164" spans="1:11" ht="12.75" hidden="1">
      <c r="A164" s="132"/>
      <c r="B164" s="132"/>
      <c r="C164" s="134"/>
      <c r="D164" s="134" t="s">
        <v>142</v>
      </c>
      <c r="E164" s="134" t="s">
        <v>166</v>
      </c>
      <c r="F164" s="135">
        <v>0</v>
      </c>
      <c r="G164" s="135">
        <v>0</v>
      </c>
      <c r="H164" s="135">
        <v>0</v>
      </c>
      <c r="I164" s="135">
        <v>0</v>
      </c>
      <c r="J164" s="136">
        <f t="shared" si="2"/>
        <v>0</v>
      </c>
      <c r="K164" s="454"/>
    </row>
    <row r="165" spans="1:11" ht="13.5" customHeight="1">
      <c r="A165" s="132"/>
      <c r="B165" s="132"/>
      <c r="C165" s="134"/>
      <c r="D165" s="134" t="s">
        <v>144</v>
      </c>
      <c r="E165" s="134" t="s">
        <v>167</v>
      </c>
      <c r="F165" s="135">
        <v>267460</v>
      </c>
      <c r="G165" s="135">
        <v>0</v>
      </c>
      <c r="H165" s="135">
        <v>0</v>
      </c>
      <c r="I165" s="135">
        <v>0</v>
      </c>
      <c r="J165" s="136">
        <f t="shared" si="2"/>
        <v>267460</v>
      </c>
      <c r="K165" s="454"/>
    </row>
    <row r="166" spans="1:11" ht="0.75" customHeight="1" hidden="1">
      <c r="A166" s="132"/>
      <c r="B166" s="132"/>
      <c r="C166" s="134"/>
      <c r="D166" s="134" t="s">
        <v>146</v>
      </c>
      <c r="E166" s="134" t="s">
        <v>168</v>
      </c>
      <c r="F166" s="135">
        <v>0</v>
      </c>
      <c r="G166" s="135">
        <v>0</v>
      </c>
      <c r="H166" s="135">
        <v>0</v>
      </c>
      <c r="I166" s="135">
        <v>0</v>
      </c>
      <c r="J166" s="136">
        <f t="shared" si="2"/>
        <v>0</v>
      </c>
      <c r="K166" s="454"/>
    </row>
    <row r="167" spans="1:11" ht="12.75" hidden="1">
      <c r="A167" s="132"/>
      <c r="B167" s="132"/>
      <c r="C167" s="134"/>
      <c r="D167" s="134" t="s">
        <v>148</v>
      </c>
      <c r="E167" s="134" t="s">
        <v>463</v>
      </c>
      <c r="F167" s="135">
        <v>0</v>
      </c>
      <c r="G167" s="135">
        <v>0</v>
      </c>
      <c r="H167" s="135">
        <v>0</v>
      </c>
      <c r="I167" s="135">
        <v>0</v>
      </c>
      <c r="J167" s="136">
        <f t="shared" si="2"/>
        <v>0</v>
      </c>
      <c r="K167" s="454"/>
    </row>
    <row r="168" spans="1:11" ht="12.75" hidden="1">
      <c r="A168" s="132"/>
      <c r="B168" s="132"/>
      <c r="C168" s="134"/>
      <c r="D168" s="134" t="s">
        <v>150</v>
      </c>
      <c r="E168" s="134" t="s">
        <v>462</v>
      </c>
      <c r="F168" s="144">
        <v>0</v>
      </c>
      <c r="G168" s="135">
        <v>0</v>
      </c>
      <c r="H168" s="135">
        <v>0</v>
      </c>
      <c r="I168" s="135">
        <v>0</v>
      </c>
      <c r="J168" s="136">
        <f t="shared" si="2"/>
        <v>0</v>
      </c>
      <c r="K168" s="454"/>
    </row>
    <row r="169" spans="1:11" ht="12.75" hidden="1">
      <c r="A169" s="132"/>
      <c r="B169" s="132"/>
      <c r="C169" s="134"/>
      <c r="D169" s="134" t="s">
        <v>152</v>
      </c>
      <c r="E169" s="134" t="s">
        <v>171</v>
      </c>
      <c r="F169" s="135">
        <v>0</v>
      </c>
      <c r="G169" s="135">
        <v>0</v>
      </c>
      <c r="H169" s="135">
        <v>0</v>
      </c>
      <c r="I169" s="135">
        <v>0</v>
      </c>
      <c r="J169" s="136">
        <f t="shared" si="2"/>
        <v>0</v>
      </c>
      <c r="K169" s="454"/>
    </row>
    <row r="170" spans="1:11" ht="12.75" hidden="1">
      <c r="A170" s="132"/>
      <c r="B170" s="132"/>
      <c r="C170" s="134"/>
      <c r="D170" s="134" t="s">
        <v>154</v>
      </c>
      <c r="E170" s="134" t="s">
        <v>172</v>
      </c>
      <c r="F170" s="135">
        <v>0</v>
      </c>
      <c r="G170" s="135">
        <v>0</v>
      </c>
      <c r="H170" s="135">
        <v>0</v>
      </c>
      <c r="I170" s="135">
        <v>0</v>
      </c>
      <c r="J170" s="136">
        <f t="shared" si="2"/>
        <v>0</v>
      </c>
      <c r="K170" s="454"/>
    </row>
    <row r="171" spans="1:11" ht="12.75" hidden="1">
      <c r="A171" s="132"/>
      <c r="B171" s="132"/>
      <c r="C171" s="134"/>
      <c r="D171" s="134" t="s">
        <v>156</v>
      </c>
      <c r="E171" s="134" t="s">
        <v>173</v>
      </c>
      <c r="F171" s="135">
        <v>0</v>
      </c>
      <c r="G171" s="135">
        <v>0</v>
      </c>
      <c r="H171" s="135">
        <v>0</v>
      </c>
      <c r="I171" s="135">
        <v>0</v>
      </c>
      <c r="J171" s="136">
        <f t="shared" si="2"/>
        <v>0</v>
      </c>
      <c r="K171" s="454"/>
    </row>
    <row r="172" spans="1:11" ht="12.75" hidden="1">
      <c r="A172" s="132"/>
      <c r="B172" s="132"/>
      <c r="C172" s="134"/>
      <c r="D172" s="134" t="s">
        <v>504</v>
      </c>
      <c r="E172" s="134" t="s">
        <v>174</v>
      </c>
      <c r="F172" s="135">
        <v>0</v>
      </c>
      <c r="G172" s="135">
        <v>0</v>
      </c>
      <c r="H172" s="135">
        <v>0</v>
      </c>
      <c r="I172" s="135">
        <v>0</v>
      </c>
      <c r="J172" s="136">
        <f t="shared" si="2"/>
        <v>0</v>
      </c>
      <c r="K172" s="454"/>
    </row>
    <row r="173" spans="1:11" s="124" customFormat="1" ht="12.75">
      <c r="A173" s="122" t="s">
        <v>298</v>
      </c>
      <c r="B173" s="928" t="s">
        <v>299</v>
      </c>
      <c r="C173" s="928"/>
      <c r="D173" s="928"/>
      <c r="E173" s="928"/>
      <c r="F173" s="123">
        <f>SUM(F174+F197+F198+F199)</f>
        <v>1178878764</v>
      </c>
      <c r="G173" s="123">
        <f>SUM(G174+G197+G198+G199)</f>
        <v>1125836</v>
      </c>
      <c r="H173" s="123">
        <f>SUM(H174+H197+H198+H199)</f>
        <v>20829102</v>
      </c>
      <c r="I173" s="123">
        <f>SUM(I174+I197+I198+I199)</f>
        <v>1443526</v>
      </c>
      <c r="J173" s="123">
        <f t="shared" si="2"/>
        <v>1202277228</v>
      </c>
      <c r="K173" s="451"/>
    </row>
    <row r="174" spans="1:11" ht="12.75">
      <c r="A174" s="132"/>
      <c r="B174" s="125" t="s">
        <v>300</v>
      </c>
      <c r="C174" s="920" t="s">
        <v>301</v>
      </c>
      <c r="D174" s="920"/>
      <c r="E174" s="920"/>
      <c r="F174" s="126">
        <f>SUM(F175+F179+F184+F189+F190+F191+F192+F193+F194)</f>
        <v>1178878764</v>
      </c>
      <c r="G174" s="126">
        <f>SUM(G175+G179+G184+G189+G190+G191+G192+G193+G194)</f>
        <v>1125836</v>
      </c>
      <c r="H174" s="126">
        <f>SUM(H175+H179+H184+H189+H190+H191+H192+H193+H194)</f>
        <v>20829102</v>
      </c>
      <c r="I174" s="126">
        <f>SUM(I175+I179+I184+I189+I190+I191+I192+I193+I194)</f>
        <v>1443526</v>
      </c>
      <c r="J174" s="127">
        <f t="shared" si="2"/>
        <v>1202277228</v>
      </c>
      <c r="K174" s="452"/>
    </row>
    <row r="175" spans="1:11" ht="12.75">
      <c r="A175" s="128"/>
      <c r="B175" s="128"/>
      <c r="C175" s="128" t="s">
        <v>302</v>
      </c>
      <c r="D175" s="128" t="s">
        <v>524</v>
      </c>
      <c r="E175" s="128"/>
      <c r="F175" s="129">
        <f>SUM(F176:F178)</f>
        <v>0</v>
      </c>
      <c r="G175" s="129">
        <f>SUM(G176:G178)</f>
        <v>0</v>
      </c>
      <c r="H175" s="129">
        <f>SUM(H176:H178)</f>
        <v>0</v>
      </c>
      <c r="I175" s="129">
        <f>SUM(I176:I178)</f>
        <v>0</v>
      </c>
      <c r="J175" s="130">
        <f t="shared" si="2"/>
        <v>0</v>
      </c>
      <c r="K175" s="453"/>
    </row>
    <row r="176" spans="1:11" ht="12.75" hidden="1">
      <c r="A176" s="145"/>
      <c r="B176" s="145"/>
      <c r="C176" s="145"/>
      <c r="D176" s="145" t="s">
        <v>303</v>
      </c>
      <c r="E176" s="145" t="s">
        <v>593</v>
      </c>
      <c r="F176" s="146">
        <v>0</v>
      </c>
      <c r="G176" s="146">
        <v>0</v>
      </c>
      <c r="H176" s="146">
        <v>0</v>
      </c>
      <c r="I176" s="146">
        <v>0</v>
      </c>
      <c r="J176" s="147">
        <f t="shared" si="2"/>
        <v>0</v>
      </c>
      <c r="K176" s="455"/>
    </row>
    <row r="177" spans="1:11" ht="12.75" hidden="1">
      <c r="A177" s="145"/>
      <c r="B177" s="145"/>
      <c r="C177" s="145"/>
      <c r="D177" s="145" t="s">
        <v>304</v>
      </c>
      <c r="E177" s="145" t="s">
        <v>594</v>
      </c>
      <c r="F177" s="146">
        <v>0</v>
      </c>
      <c r="G177" s="146">
        <v>0</v>
      </c>
      <c r="H177" s="146">
        <v>0</v>
      </c>
      <c r="I177" s="146">
        <v>0</v>
      </c>
      <c r="J177" s="147">
        <f t="shared" si="2"/>
        <v>0</v>
      </c>
      <c r="K177" s="455"/>
    </row>
    <row r="178" spans="1:11" ht="12.75" hidden="1">
      <c r="A178" s="145"/>
      <c r="B178" s="145"/>
      <c r="C178" s="145"/>
      <c r="D178" s="145" t="s">
        <v>305</v>
      </c>
      <c r="E178" s="145" t="s">
        <v>595</v>
      </c>
      <c r="F178" s="146">
        <v>0</v>
      </c>
      <c r="G178" s="146">
        <v>0</v>
      </c>
      <c r="H178" s="146">
        <v>0</v>
      </c>
      <c r="I178" s="146">
        <v>0</v>
      </c>
      <c r="J178" s="147">
        <f t="shared" si="2"/>
        <v>0</v>
      </c>
      <c r="K178" s="455"/>
    </row>
    <row r="179" spans="1:11" ht="12.75">
      <c r="A179" s="128"/>
      <c r="B179" s="128"/>
      <c r="C179" s="128" t="s">
        <v>306</v>
      </c>
      <c r="D179" s="128" t="s">
        <v>307</v>
      </c>
      <c r="E179" s="128"/>
      <c r="F179" s="129">
        <f>SUM(F180:F183)</f>
        <v>0</v>
      </c>
      <c r="G179" s="129">
        <f>SUM(G180:G183)</f>
        <v>0</v>
      </c>
      <c r="H179" s="129">
        <f>SUM(H180:H183)</f>
        <v>0</v>
      </c>
      <c r="I179" s="129">
        <f>SUM(I180:I183)</f>
        <v>0</v>
      </c>
      <c r="J179" s="130">
        <f t="shared" si="2"/>
        <v>0</v>
      </c>
      <c r="K179" s="453"/>
    </row>
    <row r="180" spans="1:11" ht="12.75" hidden="1">
      <c r="A180" s="128"/>
      <c r="B180" s="128"/>
      <c r="C180" s="128"/>
      <c r="D180" s="145" t="s">
        <v>484</v>
      </c>
      <c r="E180" s="145" t="s">
        <v>485</v>
      </c>
      <c r="F180" s="129">
        <v>0</v>
      </c>
      <c r="G180" s="129">
        <v>0</v>
      </c>
      <c r="H180" s="129">
        <v>0</v>
      </c>
      <c r="I180" s="129">
        <v>0</v>
      </c>
      <c r="J180" s="130">
        <f t="shared" si="2"/>
        <v>0</v>
      </c>
      <c r="K180" s="453"/>
    </row>
    <row r="181" spans="1:11" ht="12.75" hidden="1">
      <c r="A181" s="128"/>
      <c r="B181" s="128"/>
      <c r="C181" s="128"/>
      <c r="D181" s="145" t="s">
        <v>486</v>
      </c>
      <c r="E181" s="145" t="s">
        <v>487</v>
      </c>
      <c r="F181" s="129">
        <v>0</v>
      </c>
      <c r="G181" s="129">
        <v>0</v>
      </c>
      <c r="H181" s="129">
        <v>0</v>
      </c>
      <c r="I181" s="129">
        <v>0</v>
      </c>
      <c r="J181" s="130">
        <f t="shared" si="2"/>
        <v>0</v>
      </c>
      <c r="K181" s="453"/>
    </row>
    <row r="182" spans="1:11" ht="12.75" hidden="1">
      <c r="A182" s="128"/>
      <c r="B182" s="128"/>
      <c r="C182" s="128"/>
      <c r="D182" s="145" t="s">
        <v>488</v>
      </c>
      <c r="E182" s="145" t="s">
        <v>489</v>
      </c>
      <c r="F182" s="129">
        <v>0</v>
      </c>
      <c r="G182" s="129">
        <v>0</v>
      </c>
      <c r="H182" s="129">
        <v>0</v>
      </c>
      <c r="I182" s="129">
        <v>0</v>
      </c>
      <c r="J182" s="130">
        <f t="shared" si="2"/>
        <v>0</v>
      </c>
      <c r="K182" s="453"/>
    </row>
    <row r="183" spans="1:11" ht="12.75" hidden="1">
      <c r="A183" s="128"/>
      <c r="B183" s="128"/>
      <c r="C183" s="128"/>
      <c r="D183" s="145" t="s">
        <v>490</v>
      </c>
      <c r="E183" s="145" t="s">
        <v>491</v>
      </c>
      <c r="F183" s="129">
        <v>0</v>
      </c>
      <c r="G183" s="129">
        <v>0</v>
      </c>
      <c r="H183" s="129">
        <v>0</v>
      </c>
      <c r="I183" s="129">
        <v>0</v>
      </c>
      <c r="J183" s="130">
        <f t="shared" si="2"/>
        <v>0</v>
      </c>
      <c r="K183" s="453"/>
    </row>
    <row r="184" spans="1:11" ht="12.75">
      <c r="A184" s="128"/>
      <c r="B184" s="128"/>
      <c r="C184" s="128" t="s">
        <v>308</v>
      </c>
      <c r="D184" s="128" t="s">
        <v>309</v>
      </c>
      <c r="E184" s="128"/>
      <c r="F184" s="129">
        <f>SUM(F185,F188)</f>
        <v>1155810806</v>
      </c>
      <c r="G184" s="129">
        <f>SUM(G185,G188)</f>
        <v>1125836</v>
      </c>
      <c r="H184" s="129">
        <f>SUM(H185,H188)</f>
        <v>20829102</v>
      </c>
      <c r="I184" s="129">
        <f>SUM(I185,I188)</f>
        <v>1443526</v>
      </c>
      <c r="J184" s="130">
        <f t="shared" si="2"/>
        <v>1179209270</v>
      </c>
      <c r="K184" s="453"/>
    </row>
    <row r="185" spans="1:11" ht="12.75">
      <c r="A185" s="145"/>
      <c r="B185" s="145"/>
      <c r="C185" s="145"/>
      <c r="D185" s="145" t="s">
        <v>310</v>
      </c>
      <c r="E185" s="145" t="s">
        <v>311</v>
      </c>
      <c r="F185" s="146">
        <f>SUM(F186:F187)</f>
        <v>1155810806</v>
      </c>
      <c r="G185" s="146">
        <f>SUM(G186:G187)</f>
        <v>1125836</v>
      </c>
      <c r="H185" s="146">
        <f>SUM(H186:H187)</f>
        <v>20829102</v>
      </c>
      <c r="I185" s="146">
        <f>SUM(I186:I187)</f>
        <v>1443526</v>
      </c>
      <c r="J185" s="147">
        <f t="shared" si="2"/>
        <v>1179209270</v>
      </c>
      <c r="K185" s="455"/>
    </row>
    <row r="186" spans="1:11" s="152" customFormat="1" ht="12.75">
      <c r="A186" s="148"/>
      <c r="B186" s="148"/>
      <c r="C186" s="148"/>
      <c r="D186" s="148"/>
      <c r="E186" s="149" t="s">
        <v>36</v>
      </c>
      <c r="F186" s="150">
        <f>139338070+75829006-1370149</f>
        <v>213796927</v>
      </c>
      <c r="G186" s="150">
        <f>789210+334626+2000</f>
        <v>1125836</v>
      </c>
      <c r="H186" s="150">
        <f>7760424+13068678</f>
        <v>20829102</v>
      </c>
      <c r="I186" s="150">
        <f>5642681-4199155</f>
        <v>1443526</v>
      </c>
      <c r="J186" s="151">
        <f t="shared" si="2"/>
        <v>237195391</v>
      </c>
      <c r="K186" s="456"/>
    </row>
    <row r="187" spans="1:11" s="152" customFormat="1" ht="12.75">
      <c r="A187" s="148"/>
      <c r="B187" s="148"/>
      <c r="C187" s="148"/>
      <c r="D187" s="148"/>
      <c r="E187" s="149" t="s">
        <v>37</v>
      </c>
      <c r="F187" s="150">
        <f>896617876-510500+45906503</f>
        <v>942013879</v>
      </c>
      <c r="G187" s="150">
        <v>0</v>
      </c>
      <c r="H187" s="150">
        <v>0</v>
      </c>
      <c r="I187" s="150">
        <v>0</v>
      </c>
      <c r="J187" s="151">
        <f t="shared" si="2"/>
        <v>942013879</v>
      </c>
      <c r="K187" s="456"/>
    </row>
    <row r="188" spans="1:11" ht="12.75">
      <c r="A188" s="145"/>
      <c r="B188" s="145"/>
      <c r="C188" s="145"/>
      <c r="D188" s="145" t="s">
        <v>312</v>
      </c>
      <c r="E188" s="145" t="s">
        <v>313</v>
      </c>
      <c r="F188" s="146">
        <f>-1370149+1370149</f>
        <v>0</v>
      </c>
      <c r="G188" s="146">
        <v>0</v>
      </c>
      <c r="H188" s="146">
        <v>0</v>
      </c>
      <c r="I188" s="146">
        <v>0</v>
      </c>
      <c r="J188" s="147">
        <f t="shared" si="2"/>
        <v>0</v>
      </c>
      <c r="K188" s="455"/>
    </row>
    <row r="189" spans="1:11" ht="11.25" customHeight="1">
      <c r="A189" s="128"/>
      <c r="B189" s="128"/>
      <c r="C189" s="128" t="s">
        <v>314</v>
      </c>
      <c r="D189" s="128" t="s">
        <v>525</v>
      </c>
      <c r="E189" s="128"/>
      <c r="F189" s="129">
        <f>23067958</f>
        <v>23067958</v>
      </c>
      <c r="G189" s="129">
        <v>0</v>
      </c>
      <c r="H189" s="129">
        <v>0</v>
      </c>
      <c r="I189" s="129">
        <v>0</v>
      </c>
      <c r="J189" s="130">
        <f t="shared" si="2"/>
        <v>23067958</v>
      </c>
      <c r="K189" s="453"/>
    </row>
    <row r="190" spans="1:11" ht="0.75" customHeight="1" hidden="1">
      <c r="A190" s="128"/>
      <c r="B190" s="128"/>
      <c r="C190" s="128" t="s">
        <v>315</v>
      </c>
      <c r="D190" s="128" t="s">
        <v>526</v>
      </c>
      <c r="E190" s="128"/>
      <c r="F190" s="129">
        <v>0</v>
      </c>
      <c r="G190" s="129">
        <v>0</v>
      </c>
      <c r="H190" s="129">
        <v>0</v>
      </c>
      <c r="I190" s="129">
        <v>0</v>
      </c>
      <c r="J190" s="130">
        <f t="shared" si="2"/>
        <v>0</v>
      </c>
      <c r="K190" s="453"/>
    </row>
    <row r="191" spans="1:11" ht="12.75" hidden="1">
      <c r="A191" s="128"/>
      <c r="B191" s="128"/>
      <c r="C191" s="128" t="s">
        <v>316</v>
      </c>
      <c r="D191" s="128" t="s">
        <v>317</v>
      </c>
      <c r="E191" s="128"/>
      <c r="F191" s="129">
        <v>0</v>
      </c>
      <c r="G191" s="129">
        <v>0</v>
      </c>
      <c r="H191" s="129">
        <v>0</v>
      </c>
      <c r="I191" s="129">
        <v>0</v>
      </c>
      <c r="J191" s="130">
        <f t="shared" si="2"/>
        <v>0</v>
      </c>
      <c r="K191" s="453"/>
    </row>
    <row r="192" spans="1:11" ht="12.75" hidden="1">
      <c r="A192" s="128"/>
      <c r="B192" s="128"/>
      <c r="C192" s="128" t="s">
        <v>318</v>
      </c>
      <c r="D192" s="128" t="s">
        <v>492</v>
      </c>
      <c r="E192" s="128"/>
      <c r="F192" s="129">
        <v>0</v>
      </c>
      <c r="G192" s="129">
        <v>0</v>
      </c>
      <c r="H192" s="129">
        <v>0</v>
      </c>
      <c r="I192" s="129">
        <v>0</v>
      </c>
      <c r="J192" s="130">
        <f t="shared" si="2"/>
        <v>0</v>
      </c>
      <c r="K192" s="453"/>
    </row>
    <row r="193" spans="1:11" ht="12.75" hidden="1">
      <c r="A193" s="128"/>
      <c r="B193" s="128"/>
      <c r="C193" s="128" t="s">
        <v>319</v>
      </c>
      <c r="D193" s="128" t="s">
        <v>320</v>
      </c>
      <c r="E193" s="128"/>
      <c r="F193" s="129">
        <v>0</v>
      </c>
      <c r="G193" s="129">
        <v>0</v>
      </c>
      <c r="H193" s="129">
        <v>0</v>
      </c>
      <c r="I193" s="129">
        <v>0</v>
      </c>
      <c r="J193" s="130">
        <f t="shared" si="2"/>
        <v>0</v>
      </c>
      <c r="K193" s="453"/>
    </row>
    <row r="194" spans="1:11" ht="12.75" hidden="1">
      <c r="A194" s="128"/>
      <c r="B194" s="128"/>
      <c r="C194" s="128" t="s">
        <v>493</v>
      </c>
      <c r="D194" s="128" t="s">
        <v>494</v>
      </c>
      <c r="E194" s="128"/>
      <c r="F194" s="129">
        <v>0</v>
      </c>
      <c r="G194" s="129">
        <v>0</v>
      </c>
      <c r="H194" s="129">
        <v>0</v>
      </c>
      <c r="I194" s="129">
        <v>0</v>
      </c>
      <c r="J194" s="130">
        <f t="shared" si="2"/>
        <v>0</v>
      </c>
      <c r="K194" s="453"/>
    </row>
    <row r="195" spans="1:11" ht="12.75" hidden="1">
      <c r="A195" s="128"/>
      <c r="B195" s="128"/>
      <c r="C195" s="128"/>
      <c r="D195" s="145" t="s">
        <v>495</v>
      </c>
      <c r="E195" s="145" t="s">
        <v>496</v>
      </c>
      <c r="F195" s="150">
        <v>0</v>
      </c>
      <c r="G195" s="150">
        <v>0</v>
      </c>
      <c r="H195" s="150">
        <v>0</v>
      </c>
      <c r="I195" s="150">
        <v>0</v>
      </c>
      <c r="J195" s="130">
        <f t="shared" si="2"/>
        <v>0</v>
      </c>
      <c r="K195" s="453"/>
    </row>
    <row r="196" spans="1:11" ht="12.75" hidden="1">
      <c r="A196" s="128"/>
      <c r="B196" s="128"/>
      <c r="C196" s="128"/>
      <c r="D196" s="145" t="s">
        <v>497</v>
      </c>
      <c r="E196" s="145" t="s">
        <v>498</v>
      </c>
      <c r="F196" s="150">
        <v>0</v>
      </c>
      <c r="G196" s="150">
        <v>0</v>
      </c>
      <c r="H196" s="150">
        <v>0</v>
      </c>
      <c r="I196" s="150">
        <v>0</v>
      </c>
      <c r="J196" s="130">
        <f t="shared" si="2"/>
        <v>0</v>
      </c>
      <c r="K196" s="453"/>
    </row>
    <row r="197" spans="1:11" ht="12.75">
      <c r="A197" s="132"/>
      <c r="B197" s="125" t="s">
        <v>321</v>
      </c>
      <c r="C197" s="920" t="s">
        <v>322</v>
      </c>
      <c r="D197" s="920"/>
      <c r="E197" s="920"/>
      <c r="F197" s="126">
        <v>0</v>
      </c>
      <c r="G197" s="126">
        <v>0</v>
      </c>
      <c r="H197" s="126">
        <v>0</v>
      </c>
      <c r="I197" s="126">
        <v>0</v>
      </c>
      <c r="J197" s="127">
        <f t="shared" si="2"/>
        <v>0</v>
      </c>
      <c r="K197" s="452"/>
    </row>
    <row r="198" spans="1:11" ht="12.75">
      <c r="A198" s="132"/>
      <c r="B198" s="125" t="s">
        <v>323</v>
      </c>
      <c r="C198" s="920" t="s">
        <v>324</v>
      </c>
      <c r="D198" s="920"/>
      <c r="E198" s="920"/>
      <c r="F198" s="126">
        <v>0</v>
      </c>
      <c r="G198" s="126">
        <v>0</v>
      </c>
      <c r="H198" s="126">
        <v>0</v>
      </c>
      <c r="I198" s="126">
        <v>0</v>
      </c>
      <c r="J198" s="127">
        <f t="shared" si="2"/>
        <v>0</v>
      </c>
      <c r="K198" s="452"/>
    </row>
    <row r="199" spans="1:11" ht="12.75">
      <c r="A199" s="132"/>
      <c r="B199" s="125" t="s">
        <v>499</v>
      </c>
      <c r="C199" s="920" t="s">
        <v>500</v>
      </c>
      <c r="D199" s="920"/>
      <c r="E199" s="920"/>
      <c r="F199" s="126">
        <v>0</v>
      </c>
      <c r="G199" s="126">
        <v>0</v>
      </c>
      <c r="H199" s="126">
        <v>0</v>
      </c>
      <c r="I199" s="126">
        <v>0</v>
      </c>
      <c r="J199" s="127">
        <f t="shared" si="2"/>
        <v>0</v>
      </c>
      <c r="K199" s="452"/>
    </row>
    <row r="200" spans="1:11" ht="12.75">
      <c r="A200" s="132"/>
      <c r="B200" s="132"/>
      <c r="C200" s="583"/>
      <c r="D200" s="585"/>
      <c r="E200" s="584"/>
      <c r="F200" s="153"/>
      <c r="G200" s="154"/>
      <c r="H200" s="154"/>
      <c r="I200" s="154"/>
      <c r="J200" s="153">
        <f t="shared" si="2"/>
        <v>0</v>
      </c>
      <c r="K200" s="457"/>
    </row>
    <row r="201" spans="1:11" s="156" customFormat="1" ht="15.75">
      <c r="A201" s="927" t="s">
        <v>412</v>
      </c>
      <c r="B201" s="927"/>
      <c r="C201" s="927"/>
      <c r="D201" s="927"/>
      <c r="E201" s="927"/>
      <c r="F201" s="155">
        <f>SUM(F173+F147+F131+F123+F87+F58+F41+F7)</f>
        <v>2468355290</v>
      </c>
      <c r="G201" s="155">
        <f>SUM(G173+G147+G131+G123+G87+G58+G41+G7)</f>
        <v>8397915</v>
      </c>
      <c r="H201" s="155">
        <f>SUM(H173+H147+H131+H123+H87+H58+H41+H7)</f>
        <v>37447514</v>
      </c>
      <c r="I201" s="155">
        <f>SUM(I173+I147+I131+I123+I87+I58+I41+I7)</f>
        <v>19084563</v>
      </c>
      <c r="J201" s="570">
        <f t="shared" si="2"/>
        <v>2533285282</v>
      </c>
      <c r="K201" s="458"/>
    </row>
  </sheetData>
  <sheetProtection/>
  <mergeCells count="54">
    <mergeCell ref="C17:E17"/>
    <mergeCell ref="C18:E18"/>
    <mergeCell ref="C29:E29"/>
    <mergeCell ref="C46:E46"/>
    <mergeCell ref="A5:E5"/>
    <mergeCell ref="B7:E7"/>
    <mergeCell ref="C8:E8"/>
    <mergeCell ref="C16:E16"/>
    <mergeCell ref="B41:E41"/>
    <mergeCell ref="C30:E30"/>
    <mergeCell ref="B131:E131"/>
    <mergeCell ref="C126:E126"/>
    <mergeCell ref="C128:E128"/>
    <mergeCell ref="D112:E112"/>
    <mergeCell ref="C130:E130"/>
    <mergeCell ref="C124:E124"/>
    <mergeCell ref="B58:E58"/>
    <mergeCell ref="D108:E108"/>
    <mergeCell ref="C61:E61"/>
    <mergeCell ref="D105:E105"/>
    <mergeCell ref="C59:E59"/>
    <mergeCell ref="C76:E76"/>
    <mergeCell ref="B87:E87"/>
    <mergeCell ref="C60:E60"/>
    <mergeCell ref="C148:E148"/>
    <mergeCell ref="C197:E197"/>
    <mergeCell ref="C133:E133"/>
    <mergeCell ref="C134:E134"/>
    <mergeCell ref="C44:E44"/>
    <mergeCell ref="C42:E42"/>
    <mergeCell ref="D120:E120"/>
    <mergeCell ref="B123:E123"/>
    <mergeCell ref="C45:E45"/>
    <mergeCell ref="D113:E113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98:E198"/>
    <mergeCell ref="C174:E174"/>
    <mergeCell ref="F1:J1"/>
    <mergeCell ref="B6:E6"/>
    <mergeCell ref="A2:J2"/>
    <mergeCell ref="C129:E129"/>
    <mergeCell ref="C43:E43"/>
    <mergeCell ref="C62:E62"/>
    <mergeCell ref="C65:E65"/>
    <mergeCell ref="C161:E161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55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8.875" style="804" bestFit="1" customWidth="1"/>
    <col min="2" max="2" width="8.875" style="805" customWidth="1"/>
    <col min="3" max="3" width="69.25390625" style="805" customWidth="1"/>
    <col min="4" max="4" width="9.75390625" style="805" bestFit="1" customWidth="1"/>
    <col min="5" max="5" width="10.375" style="805" bestFit="1" customWidth="1"/>
    <col min="6" max="6" width="16.125" style="805" bestFit="1" customWidth="1"/>
    <col min="7" max="7" width="9.75390625" style="805" bestFit="1" customWidth="1"/>
    <col min="8" max="8" width="11.25390625" style="805" customWidth="1"/>
    <col min="9" max="9" width="9.625" style="805" customWidth="1"/>
    <col min="10" max="10" width="11.25390625" style="805" customWidth="1"/>
    <col min="11" max="12" width="16.125" style="805" bestFit="1" customWidth="1"/>
    <col min="13" max="13" width="9.125" style="805" customWidth="1"/>
    <col min="14" max="14" width="12.375" style="805" bestFit="1" customWidth="1"/>
    <col min="15" max="16384" width="9.125" style="805" customWidth="1"/>
  </cols>
  <sheetData>
    <row r="1" spans="9:13" ht="15" customHeight="1">
      <c r="I1" s="806" t="s">
        <v>1060</v>
      </c>
      <c r="J1" s="807"/>
      <c r="K1" s="807"/>
      <c r="L1" s="808"/>
      <c r="M1" s="807"/>
    </row>
    <row r="2" spans="1:256" ht="15.75">
      <c r="A2" s="1224" t="s">
        <v>935</v>
      </c>
      <c r="B2" s="1224"/>
      <c r="C2" s="1224"/>
      <c r="D2" s="1224"/>
      <c r="E2" s="1224"/>
      <c r="F2" s="1224"/>
      <c r="G2" s="1224"/>
      <c r="H2" s="1224"/>
      <c r="I2" s="1224"/>
      <c r="J2" s="1224"/>
      <c r="K2" s="1224"/>
      <c r="L2" s="809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10"/>
      <c r="AF2" s="810"/>
      <c r="AG2" s="810"/>
      <c r="AH2" s="810"/>
      <c r="AI2" s="810"/>
      <c r="AJ2" s="810"/>
      <c r="AK2" s="810"/>
      <c r="AL2" s="810"/>
      <c r="AM2" s="810"/>
      <c r="AN2" s="810"/>
      <c r="AO2" s="810"/>
      <c r="AP2" s="810"/>
      <c r="AQ2" s="810"/>
      <c r="AR2" s="810"/>
      <c r="AS2" s="810"/>
      <c r="AT2" s="810"/>
      <c r="AU2" s="810"/>
      <c r="AV2" s="810"/>
      <c r="AW2" s="810"/>
      <c r="AX2" s="810"/>
      <c r="AY2" s="810"/>
      <c r="AZ2" s="810"/>
      <c r="BA2" s="810"/>
      <c r="BB2" s="810"/>
      <c r="BC2" s="810"/>
      <c r="BD2" s="810"/>
      <c r="BE2" s="810"/>
      <c r="BF2" s="810"/>
      <c r="BG2" s="810"/>
      <c r="BH2" s="810"/>
      <c r="BI2" s="810"/>
      <c r="BJ2" s="810"/>
      <c r="BK2" s="810"/>
      <c r="BL2" s="810"/>
      <c r="BM2" s="810"/>
      <c r="BN2" s="810"/>
      <c r="BO2" s="810"/>
      <c r="BP2" s="810"/>
      <c r="BQ2" s="810"/>
      <c r="BR2" s="810"/>
      <c r="BS2" s="810"/>
      <c r="BT2" s="810"/>
      <c r="BU2" s="810"/>
      <c r="BV2" s="810"/>
      <c r="BW2" s="810"/>
      <c r="BX2" s="810"/>
      <c r="BY2" s="810"/>
      <c r="BZ2" s="810"/>
      <c r="CA2" s="810"/>
      <c r="CB2" s="810"/>
      <c r="CC2" s="810"/>
      <c r="CD2" s="810"/>
      <c r="CE2" s="810"/>
      <c r="CF2" s="810"/>
      <c r="CG2" s="810"/>
      <c r="CH2" s="810"/>
      <c r="CI2" s="810"/>
      <c r="CJ2" s="810"/>
      <c r="CK2" s="810"/>
      <c r="CL2" s="810"/>
      <c r="CM2" s="810"/>
      <c r="CN2" s="810"/>
      <c r="CO2" s="810"/>
      <c r="CP2" s="810"/>
      <c r="CQ2" s="810"/>
      <c r="CR2" s="810"/>
      <c r="CS2" s="810"/>
      <c r="CT2" s="810"/>
      <c r="CU2" s="810"/>
      <c r="CV2" s="810"/>
      <c r="CW2" s="810"/>
      <c r="CX2" s="810"/>
      <c r="CY2" s="810"/>
      <c r="CZ2" s="810"/>
      <c r="DA2" s="810"/>
      <c r="DB2" s="810"/>
      <c r="DC2" s="810"/>
      <c r="DD2" s="810"/>
      <c r="DE2" s="810"/>
      <c r="DF2" s="810"/>
      <c r="DG2" s="810"/>
      <c r="DH2" s="810"/>
      <c r="DI2" s="810"/>
      <c r="DJ2" s="810"/>
      <c r="DK2" s="810"/>
      <c r="DL2" s="810"/>
      <c r="DM2" s="810"/>
      <c r="DN2" s="810"/>
      <c r="DO2" s="810"/>
      <c r="DP2" s="810"/>
      <c r="DQ2" s="810"/>
      <c r="DR2" s="810"/>
      <c r="DS2" s="810"/>
      <c r="DT2" s="810"/>
      <c r="DU2" s="810"/>
      <c r="DV2" s="810"/>
      <c r="DW2" s="810"/>
      <c r="DX2" s="810"/>
      <c r="DY2" s="810"/>
      <c r="DZ2" s="810"/>
      <c r="EA2" s="810"/>
      <c r="EB2" s="810"/>
      <c r="EC2" s="810"/>
      <c r="ED2" s="810"/>
      <c r="EE2" s="810"/>
      <c r="EF2" s="810"/>
      <c r="EG2" s="810"/>
      <c r="EH2" s="810"/>
      <c r="EI2" s="810"/>
      <c r="EJ2" s="810"/>
      <c r="EK2" s="810"/>
      <c r="EL2" s="810"/>
      <c r="EM2" s="810"/>
      <c r="EN2" s="810"/>
      <c r="EO2" s="810"/>
      <c r="EP2" s="810"/>
      <c r="EQ2" s="810"/>
      <c r="ER2" s="810"/>
      <c r="ES2" s="810"/>
      <c r="ET2" s="810"/>
      <c r="EU2" s="810"/>
      <c r="EV2" s="810"/>
      <c r="EW2" s="810"/>
      <c r="EX2" s="810"/>
      <c r="EY2" s="810"/>
      <c r="EZ2" s="810"/>
      <c r="FA2" s="810"/>
      <c r="FB2" s="810"/>
      <c r="FC2" s="810"/>
      <c r="FD2" s="810"/>
      <c r="FE2" s="810"/>
      <c r="FF2" s="810"/>
      <c r="FG2" s="810"/>
      <c r="FH2" s="810"/>
      <c r="FI2" s="810"/>
      <c r="FJ2" s="810"/>
      <c r="FK2" s="810"/>
      <c r="FL2" s="810"/>
      <c r="FM2" s="810"/>
      <c r="FN2" s="810"/>
      <c r="FO2" s="810"/>
      <c r="FP2" s="810"/>
      <c r="FQ2" s="810"/>
      <c r="FR2" s="810"/>
      <c r="FS2" s="810"/>
      <c r="FT2" s="810"/>
      <c r="FU2" s="810"/>
      <c r="FV2" s="810"/>
      <c r="FW2" s="810"/>
      <c r="FX2" s="810"/>
      <c r="FY2" s="810"/>
      <c r="FZ2" s="810"/>
      <c r="GA2" s="810"/>
      <c r="GB2" s="810"/>
      <c r="GC2" s="810"/>
      <c r="GD2" s="810"/>
      <c r="GE2" s="810"/>
      <c r="GF2" s="810"/>
      <c r="GG2" s="810"/>
      <c r="GH2" s="810"/>
      <c r="GI2" s="810"/>
      <c r="GJ2" s="810"/>
      <c r="GK2" s="810"/>
      <c r="GL2" s="810"/>
      <c r="GM2" s="810"/>
      <c r="GN2" s="810"/>
      <c r="GO2" s="810"/>
      <c r="GP2" s="810"/>
      <c r="GQ2" s="810"/>
      <c r="GR2" s="810"/>
      <c r="GS2" s="810"/>
      <c r="GT2" s="810"/>
      <c r="GU2" s="810"/>
      <c r="GV2" s="810"/>
      <c r="GW2" s="810"/>
      <c r="GX2" s="810"/>
      <c r="GY2" s="810"/>
      <c r="GZ2" s="810"/>
      <c r="HA2" s="810"/>
      <c r="HB2" s="810"/>
      <c r="HC2" s="810"/>
      <c r="HD2" s="810"/>
      <c r="HE2" s="810"/>
      <c r="HF2" s="810"/>
      <c r="HG2" s="810"/>
      <c r="HH2" s="810"/>
      <c r="HI2" s="810"/>
      <c r="HJ2" s="810"/>
      <c r="HK2" s="810"/>
      <c r="HL2" s="810"/>
      <c r="HM2" s="810"/>
      <c r="HN2" s="810"/>
      <c r="HO2" s="810"/>
      <c r="HP2" s="810"/>
      <c r="HQ2" s="810"/>
      <c r="HR2" s="810"/>
      <c r="HS2" s="810"/>
      <c r="HT2" s="810"/>
      <c r="HU2" s="810"/>
      <c r="HV2" s="810"/>
      <c r="HW2" s="810"/>
      <c r="HX2" s="810"/>
      <c r="HY2" s="810"/>
      <c r="HZ2" s="810"/>
      <c r="IA2" s="810"/>
      <c r="IB2" s="810"/>
      <c r="IC2" s="810"/>
      <c r="ID2" s="810"/>
      <c r="IE2" s="810"/>
      <c r="IF2" s="810"/>
      <c r="IG2" s="810"/>
      <c r="IH2" s="810"/>
      <c r="II2" s="810"/>
      <c r="IJ2" s="810"/>
      <c r="IK2" s="810"/>
      <c r="IL2" s="810"/>
      <c r="IM2" s="810"/>
      <c r="IN2" s="810"/>
      <c r="IO2" s="810"/>
      <c r="IP2" s="810"/>
      <c r="IQ2" s="810"/>
      <c r="IR2" s="810"/>
      <c r="IS2" s="810"/>
      <c r="IT2" s="810"/>
      <c r="IU2" s="810"/>
      <c r="IV2" s="810"/>
    </row>
    <row r="3" spans="1:256" ht="15.75">
      <c r="A3" s="1225" t="s">
        <v>936</v>
      </c>
      <c r="B3" s="1225"/>
      <c r="C3" s="1225"/>
      <c r="D3" s="1225"/>
      <c r="E3" s="1225"/>
      <c r="F3" s="1225"/>
      <c r="G3" s="1225"/>
      <c r="H3" s="1225"/>
      <c r="I3" s="1225"/>
      <c r="J3" s="1225"/>
      <c r="K3" s="1225"/>
      <c r="L3" s="811"/>
      <c r="M3" s="810"/>
      <c r="N3" s="810"/>
      <c r="O3" s="810"/>
      <c r="P3" s="810"/>
      <c r="Q3" s="810"/>
      <c r="R3" s="810"/>
      <c r="S3" s="810"/>
      <c r="T3" s="810"/>
      <c r="U3" s="810"/>
      <c r="V3" s="810"/>
      <c r="W3" s="810"/>
      <c r="X3" s="810"/>
      <c r="Y3" s="810"/>
      <c r="Z3" s="810"/>
      <c r="AA3" s="810"/>
      <c r="AB3" s="810"/>
      <c r="AC3" s="810"/>
      <c r="AD3" s="810"/>
      <c r="AE3" s="810"/>
      <c r="AF3" s="810"/>
      <c r="AG3" s="810"/>
      <c r="AH3" s="810"/>
      <c r="AI3" s="810"/>
      <c r="AJ3" s="810"/>
      <c r="AK3" s="810"/>
      <c r="AL3" s="810"/>
      <c r="AM3" s="810"/>
      <c r="AN3" s="810"/>
      <c r="AO3" s="810"/>
      <c r="AP3" s="810"/>
      <c r="AQ3" s="810"/>
      <c r="AR3" s="810"/>
      <c r="AS3" s="810"/>
      <c r="AT3" s="810"/>
      <c r="AU3" s="810"/>
      <c r="AV3" s="810"/>
      <c r="AW3" s="810"/>
      <c r="AX3" s="810"/>
      <c r="AY3" s="810"/>
      <c r="AZ3" s="810"/>
      <c r="BA3" s="810"/>
      <c r="BB3" s="810"/>
      <c r="BC3" s="810"/>
      <c r="BD3" s="810"/>
      <c r="BE3" s="810"/>
      <c r="BF3" s="810"/>
      <c r="BG3" s="810"/>
      <c r="BH3" s="810"/>
      <c r="BI3" s="810"/>
      <c r="BJ3" s="810"/>
      <c r="BK3" s="810"/>
      <c r="BL3" s="810"/>
      <c r="BM3" s="810"/>
      <c r="BN3" s="810"/>
      <c r="BO3" s="810"/>
      <c r="BP3" s="810"/>
      <c r="BQ3" s="810"/>
      <c r="BR3" s="810"/>
      <c r="BS3" s="810"/>
      <c r="BT3" s="810"/>
      <c r="BU3" s="810"/>
      <c r="BV3" s="810"/>
      <c r="BW3" s="810"/>
      <c r="BX3" s="810"/>
      <c r="BY3" s="810"/>
      <c r="BZ3" s="810"/>
      <c r="CA3" s="810"/>
      <c r="CB3" s="810"/>
      <c r="CC3" s="810"/>
      <c r="CD3" s="810"/>
      <c r="CE3" s="810"/>
      <c r="CF3" s="810"/>
      <c r="CG3" s="810"/>
      <c r="CH3" s="810"/>
      <c r="CI3" s="810"/>
      <c r="CJ3" s="810"/>
      <c r="CK3" s="810"/>
      <c r="CL3" s="810"/>
      <c r="CM3" s="810"/>
      <c r="CN3" s="810"/>
      <c r="CO3" s="810"/>
      <c r="CP3" s="810"/>
      <c r="CQ3" s="810"/>
      <c r="CR3" s="810"/>
      <c r="CS3" s="810"/>
      <c r="CT3" s="810"/>
      <c r="CU3" s="810"/>
      <c r="CV3" s="810"/>
      <c r="CW3" s="810"/>
      <c r="CX3" s="810"/>
      <c r="CY3" s="810"/>
      <c r="CZ3" s="810"/>
      <c r="DA3" s="810"/>
      <c r="DB3" s="810"/>
      <c r="DC3" s="810"/>
      <c r="DD3" s="810"/>
      <c r="DE3" s="810"/>
      <c r="DF3" s="810"/>
      <c r="DG3" s="810"/>
      <c r="DH3" s="810"/>
      <c r="DI3" s="810"/>
      <c r="DJ3" s="810"/>
      <c r="DK3" s="810"/>
      <c r="DL3" s="810"/>
      <c r="DM3" s="810"/>
      <c r="DN3" s="810"/>
      <c r="DO3" s="810"/>
      <c r="DP3" s="810"/>
      <c r="DQ3" s="810"/>
      <c r="DR3" s="810"/>
      <c r="DS3" s="810"/>
      <c r="DT3" s="810"/>
      <c r="DU3" s="810"/>
      <c r="DV3" s="810"/>
      <c r="DW3" s="810"/>
      <c r="DX3" s="810"/>
      <c r="DY3" s="810"/>
      <c r="DZ3" s="810"/>
      <c r="EA3" s="810"/>
      <c r="EB3" s="810"/>
      <c r="EC3" s="810"/>
      <c r="ED3" s="810"/>
      <c r="EE3" s="810"/>
      <c r="EF3" s="810"/>
      <c r="EG3" s="810"/>
      <c r="EH3" s="810"/>
      <c r="EI3" s="810"/>
      <c r="EJ3" s="810"/>
      <c r="EK3" s="810"/>
      <c r="EL3" s="810"/>
      <c r="EM3" s="810"/>
      <c r="EN3" s="810"/>
      <c r="EO3" s="810"/>
      <c r="EP3" s="810"/>
      <c r="EQ3" s="810"/>
      <c r="ER3" s="810"/>
      <c r="ES3" s="810"/>
      <c r="ET3" s="810"/>
      <c r="EU3" s="810"/>
      <c r="EV3" s="810"/>
      <c r="EW3" s="810"/>
      <c r="EX3" s="810"/>
      <c r="EY3" s="810"/>
      <c r="EZ3" s="810"/>
      <c r="FA3" s="810"/>
      <c r="FB3" s="810"/>
      <c r="FC3" s="810"/>
      <c r="FD3" s="810"/>
      <c r="FE3" s="810"/>
      <c r="FF3" s="810"/>
      <c r="FG3" s="810"/>
      <c r="FH3" s="810"/>
      <c r="FI3" s="810"/>
      <c r="FJ3" s="810"/>
      <c r="FK3" s="810"/>
      <c r="FL3" s="810"/>
      <c r="FM3" s="810"/>
      <c r="FN3" s="810"/>
      <c r="FO3" s="810"/>
      <c r="FP3" s="810"/>
      <c r="FQ3" s="810"/>
      <c r="FR3" s="810"/>
      <c r="FS3" s="810"/>
      <c r="FT3" s="810"/>
      <c r="FU3" s="810"/>
      <c r="FV3" s="810"/>
      <c r="FW3" s="810"/>
      <c r="FX3" s="810"/>
      <c r="FY3" s="810"/>
      <c r="FZ3" s="810"/>
      <c r="GA3" s="810"/>
      <c r="GB3" s="810"/>
      <c r="GC3" s="810"/>
      <c r="GD3" s="810"/>
      <c r="GE3" s="810"/>
      <c r="GF3" s="810"/>
      <c r="GG3" s="810"/>
      <c r="GH3" s="810"/>
      <c r="GI3" s="810"/>
      <c r="GJ3" s="810"/>
      <c r="GK3" s="810"/>
      <c r="GL3" s="810"/>
      <c r="GM3" s="810"/>
      <c r="GN3" s="810"/>
      <c r="GO3" s="810"/>
      <c r="GP3" s="810"/>
      <c r="GQ3" s="810"/>
      <c r="GR3" s="810"/>
      <c r="GS3" s="810"/>
      <c r="GT3" s="810"/>
      <c r="GU3" s="810"/>
      <c r="GV3" s="810"/>
      <c r="GW3" s="810"/>
      <c r="GX3" s="810"/>
      <c r="GY3" s="810"/>
      <c r="GZ3" s="810"/>
      <c r="HA3" s="810"/>
      <c r="HB3" s="810"/>
      <c r="HC3" s="810"/>
      <c r="HD3" s="810"/>
      <c r="HE3" s="810"/>
      <c r="HF3" s="810"/>
      <c r="HG3" s="810"/>
      <c r="HH3" s="810"/>
      <c r="HI3" s="810"/>
      <c r="HJ3" s="810"/>
      <c r="HK3" s="810"/>
      <c r="HL3" s="810"/>
      <c r="HM3" s="810"/>
      <c r="HN3" s="810"/>
      <c r="HO3" s="810"/>
      <c r="HP3" s="810"/>
      <c r="HQ3" s="810"/>
      <c r="HR3" s="810"/>
      <c r="HS3" s="810"/>
      <c r="HT3" s="810"/>
      <c r="HU3" s="810"/>
      <c r="HV3" s="810"/>
      <c r="HW3" s="810"/>
      <c r="HX3" s="810"/>
      <c r="HY3" s="810"/>
      <c r="HZ3" s="810"/>
      <c r="IA3" s="810"/>
      <c r="IB3" s="810"/>
      <c r="IC3" s="810"/>
      <c r="ID3" s="810"/>
      <c r="IE3" s="810"/>
      <c r="IF3" s="810"/>
      <c r="IG3" s="810"/>
      <c r="IH3" s="810"/>
      <c r="II3" s="810"/>
      <c r="IJ3" s="810"/>
      <c r="IK3" s="810"/>
      <c r="IL3" s="810"/>
      <c r="IM3" s="810"/>
      <c r="IN3" s="810"/>
      <c r="IO3" s="810"/>
      <c r="IP3" s="810"/>
      <c r="IQ3" s="810"/>
      <c r="IR3" s="810"/>
      <c r="IS3" s="810"/>
      <c r="IT3" s="810"/>
      <c r="IU3" s="810"/>
      <c r="IV3" s="810"/>
    </row>
    <row r="4" ht="13.5" thickBot="1"/>
    <row r="5" spans="1:256" ht="12.75">
      <c r="A5" s="1226" t="s">
        <v>937</v>
      </c>
      <c r="B5" s="1227"/>
      <c r="C5" s="1228"/>
      <c r="D5" s="1226" t="s">
        <v>414</v>
      </c>
      <c r="E5" s="1227"/>
      <c r="F5" s="1228"/>
      <c r="G5" s="1229" t="s">
        <v>938</v>
      </c>
      <c r="H5" s="1230"/>
      <c r="I5" s="1230"/>
      <c r="J5" s="1231"/>
      <c r="K5" s="1232"/>
      <c r="L5" s="1215" t="s">
        <v>939</v>
      </c>
      <c r="M5" s="812"/>
      <c r="N5" s="812" t="s">
        <v>940</v>
      </c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2"/>
      <c r="AA5" s="812"/>
      <c r="AB5" s="812"/>
      <c r="AC5" s="812"/>
      <c r="AD5" s="812"/>
      <c r="AE5" s="812"/>
      <c r="AF5" s="812"/>
      <c r="AG5" s="812"/>
      <c r="AH5" s="812"/>
      <c r="AI5" s="812"/>
      <c r="AJ5" s="812"/>
      <c r="AK5" s="812"/>
      <c r="AL5" s="812"/>
      <c r="AM5" s="812"/>
      <c r="AN5" s="812"/>
      <c r="AO5" s="812"/>
      <c r="AP5" s="812"/>
      <c r="AQ5" s="812"/>
      <c r="AR5" s="812"/>
      <c r="AS5" s="812"/>
      <c r="AT5" s="812"/>
      <c r="AU5" s="812"/>
      <c r="AV5" s="812"/>
      <c r="AW5" s="812"/>
      <c r="AX5" s="812"/>
      <c r="AY5" s="812"/>
      <c r="AZ5" s="812"/>
      <c r="BA5" s="812"/>
      <c r="BB5" s="812"/>
      <c r="BC5" s="812"/>
      <c r="BD5" s="812"/>
      <c r="BE5" s="812"/>
      <c r="BF5" s="812"/>
      <c r="BG5" s="812"/>
      <c r="BH5" s="812"/>
      <c r="BI5" s="812"/>
      <c r="BJ5" s="812"/>
      <c r="BK5" s="812"/>
      <c r="BL5" s="812"/>
      <c r="BM5" s="812"/>
      <c r="BN5" s="812"/>
      <c r="BO5" s="812"/>
      <c r="BP5" s="812"/>
      <c r="BQ5" s="812"/>
      <c r="BR5" s="812"/>
      <c r="BS5" s="812"/>
      <c r="BT5" s="812"/>
      <c r="BU5" s="812"/>
      <c r="BV5" s="812"/>
      <c r="BW5" s="812"/>
      <c r="BX5" s="812"/>
      <c r="BY5" s="812"/>
      <c r="BZ5" s="812"/>
      <c r="CA5" s="812"/>
      <c r="CB5" s="812"/>
      <c r="CC5" s="812"/>
      <c r="CD5" s="812"/>
      <c r="CE5" s="812"/>
      <c r="CF5" s="812"/>
      <c r="CG5" s="812"/>
      <c r="CH5" s="812"/>
      <c r="CI5" s="812"/>
      <c r="CJ5" s="812"/>
      <c r="CK5" s="812"/>
      <c r="CL5" s="812"/>
      <c r="CM5" s="812"/>
      <c r="CN5" s="812"/>
      <c r="CO5" s="812"/>
      <c r="CP5" s="812"/>
      <c r="CQ5" s="812"/>
      <c r="CR5" s="812"/>
      <c r="CS5" s="812"/>
      <c r="CT5" s="812"/>
      <c r="CU5" s="812"/>
      <c r="CV5" s="812"/>
      <c r="CW5" s="812"/>
      <c r="CX5" s="812"/>
      <c r="CY5" s="812"/>
      <c r="CZ5" s="812"/>
      <c r="DA5" s="812"/>
      <c r="DB5" s="812"/>
      <c r="DC5" s="812"/>
      <c r="DD5" s="812"/>
      <c r="DE5" s="812"/>
      <c r="DF5" s="812"/>
      <c r="DG5" s="812"/>
      <c r="DH5" s="812"/>
      <c r="DI5" s="812"/>
      <c r="DJ5" s="812"/>
      <c r="DK5" s="812"/>
      <c r="DL5" s="812"/>
      <c r="DM5" s="812"/>
      <c r="DN5" s="812"/>
      <c r="DO5" s="812"/>
      <c r="DP5" s="812"/>
      <c r="DQ5" s="812"/>
      <c r="DR5" s="812"/>
      <c r="DS5" s="812"/>
      <c r="DT5" s="812"/>
      <c r="DU5" s="812"/>
      <c r="DV5" s="812"/>
      <c r="DW5" s="812"/>
      <c r="DX5" s="812"/>
      <c r="DY5" s="812"/>
      <c r="DZ5" s="812"/>
      <c r="EA5" s="812"/>
      <c r="EB5" s="812"/>
      <c r="EC5" s="812"/>
      <c r="ED5" s="812"/>
      <c r="EE5" s="812"/>
      <c r="EF5" s="812"/>
      <c r="EG5" s="812"/>
      <c r="EH5" s="812"/>
      <c r="EI5" s="812"/>
      <c r="EJ5" s="812"/>
      <c r="EK5" s="812"/>
      <c r="EL5" s="812"/>
      <c r="EM5" s="812"/>
      <c r="EN5" s="812"/>
      <c r="EO5" s="812"/>
      <c r="EP5" s="812"/>
      <c r="EQ5" s="812"/>
      <c r="ER5" s="812"/>
      <c r="ES5" s="812"/>
      <c r="ET5" s="812"/>
      <c r="EU5" s="812"/>
      <c r="EV5" s="812"/>
      <c r="EW5" s="812"/>
      <c r="EX5" s="812"/>
      <c r="EY5" s="812"/>
      <c r="EZ5" s="812"/>
      <c r="FA5" s="812"/>
      <c r="FB5" s="812"/>
      <c r="FC5" s="812"/>
      <c r="FD5" s="812"/>
      <c r="FE5" s="812"/>
      <c r="FF5" s="812"/>
      <c r="FG5" s="812"/>
      <c r="FH5" s="812"/>
      <c r="FI5" s="812"/>
      <c r="FJ5" s="812"/>
      <c r="FK5" s="812"/>
      <c r="FL5" s="812"/>
      <c r="FM5" s="812"/>
      <c r="FN5" s="812"/>
      <c r="FO5" s="812"/>
      <c r="FP5" s="812"/>
      <c r="FQ5" s="812"/>
      <c r="FR5" s="812"/>
      <c r="FS5" s="812"/>
      <c r="FT5" s="812"/>
      <c r="FU5" s="812"/>
      <c r="FV5" s="812"/>
      <c r="FW5" s="812"/>
      <c r="FX5" s="812"/>
      <c r="FY5" s="812"/>
      <c r="FZ5" s="812"/>
      <c r="GA5" s="812"/>
      <c r="GB5" s="812"/>
      <c r="GC5" s="812"/>
      <c r="GD5" s="812"/>
      <c r="GE5" s="812"/>
      <c r="GF5" s="812"/>
      <c r="GG5" s="812"/>
      <c r="GH5" s="812"/>
      <c r="GI5" s="812"/>
      <c r="GJ5" s="812"/>
      <c r="GK5" s="812"/>
      <c r="GL5" s="812"/>
      <c r="GM5" s="812"/>
      <c r="GN5" s="812"/>
      <c r="GO5" s="812"/>
      <c r="GP5" s="812"/>
      <c r="GQ5" s="812"/>
      <c r="GR5" s="812"/>
      <c r="GS5" s="812"/>
      <c r="GT5" s="812"/>
      <c r="GU5" s="812"/>
      <c r="GV5" s="812"/>
      <c r="GW5" s="812"/>
      <c r="GX5" s="812"/>
      <c r="GY5" s="812"/>
      <c r="GZ5" s="812"/>
      <c r="HA5" s="812"/>
      <c r="HB5" s="812"/>
      <c r="HC5" s="812"/>
      <c r="HD5" s="812"/>
      <c r="HE5" s="812"/>
      <c r="HF5" s="812"/>
      <c r="HG5" s="812"/>
      <c r="HH5" s="812"/>
      <c r="HI5" s="812"/>
      <c r="HJ5" s="812"/>
      <c r="HK5" s="812"/>
      <c r="HL5" s="812"/>
      <c r="HM5" s="812"/>
      <c r="HN5" s="812"/>
      <c r="HO5" s="812"/>
      <c r="HP5" s="812"/>
      <c r="HQ5" s="812"/>
      <c r="HR5" s="812"/>
      <c r="HS5" s="812"/>
      <c r="HT5" s="812"/>
      <c r="HU5" s="812"/>
      <c r="HV5" s="812"/>
      <c r="HW5" s="812"/>
      <c r="HX5" s="812"/>
      <c r="HY5" s="812"/>
      <c r="HZ5" s="812"/>
      <c r="IA5" s="812"/>
      <c r="IB5" s="812"/>
      <c r="IC5" s="812"/>
      <c r="ID5" s="812"/>
      <c r="IE5" s="812"/>
      <c r="IF5" s="812"/>
      <c r="IG5" s="812"/>
      <c r="IH5" s="812"/>
      <c r="II5" s="812"/>
      <c r="IJ5" s="812"/>
      <c r="IK5" s="812"/>
      <c r="IL5" s="812"/>
      <c r="IM5" s="812"/>
      <c r="IN5" s="812"/>
      <c r="IO5" s="812"/>
      <c r="IP5" s="812"/>
      <c r="IQ5" s="812"/>
      <c r="IR5" s="812"/>
      <c r="IS5" s="812"/>
      <c r="IT5" s="812"/>
      <c r="IU5" s="812"/>
      <c r="IV5" s="812"/>
    </row>
    <row r="6" spans="1:256" ht="25.5">
      <c r="A6" s="1217" t="s">
        <v>941</v>
      </c>
      <c r="B6" s="1218"/>
      <c r="C6" s="887" t="s">
        <v>942</v>
      </c>
      <c r="D6" s="813" t="s">
        <v>943</v>
      </c>
      <c r="E6" s="814" t="s">
        <v>944</v>
      </c>
      <c r="F6" s="815" t="s">
        <v>945</v>
      </c>
      <c r="G6" s="813" t="s">
        <v>946</v>
      </c>
      <c r="H6" s="816" t="s">
        <v>947</v>
      </c>
      <c r="I6" s="816" t="s">
        <v>948</v>
      </c>
      <c r="J6" s="816" t="s">
        <v>947</v>
      </c>
      <c r="K6" s="815" t="s">
        <v>949</v>
      </c>
      <c r="L6" s="1216"/>
      <c r="M6" s="812"/>
      <c r="N6" s="812"/>
      <c r="O6" s="812"/>
      <c r="P6" s="812"/>
      <c r="Q6" s="812"/>
      <c r="R6" s="812"/>
      <c r="S6" s="812"/>
      <c r="T6" s="812"/>
      <c r="U6" s="812"/>
      <c r="V6" s="812"/>
      <c r="W6" s="812"/>
      <c r="X6" s="812"/>
      <c r="Y6" s="812"/>
      <c r="Z6" s="812"/>
      <c r="AA6" s="812"/>
      <c r="AB6" s="812"/>
      <c r="AC6" s="812"/>
      <c r="AD6" s="812"/>
      <c r="AE6" s="812"/>
      <c r="AF6" s="812"/>
      <c r="AG6" s="812"/>
      <c r="AH6" s="812"/>
      <c r="AI6" s="812"/>
      <c r="AJ6" s="812"/>
      <c r="AK6" s="812"/>
      <c r="AL6" s="812"/>
      <c r="AM6" s="812"/>
      <c r="AN6" s="812"/>
      <c r="AO6" s="812"/>
      <c r="AP6" s="812"/>
      <c r="AQ6" s="812"/>
      <c r="AR6" s="812"/>
      <c r="AS6" s="812"/>
      <c r="AT6" s="812"/>
      <c r="AU6" s="812"/>
      <c r="AV6" s="812"/>
      <c r="AW6" s="812"/>
      <c r="AX6" s="812"/>
      <c r="AY6" s="812"/>
      <c r="AZ6" s="812"/>
      <c r="BA6" s="812"/>
      <c r="BB6" s="812"/>
      <c r="BC6" s="812"/>
      <c r="BD6" s="812"/>
      <c r="BE6" s="812"/>
      <c r="BF6" s="812"/>
      <c r="BG6" s="812"/>
      <c r="BH6" s="812"/>
      <c r="BI6" s="812"/>
      <c r="BJ6" s="812"/>
      <c r="BK6" s="812"/>
      <c r="BL6" s="812"/>
      <c r="BM6" s="812"/>
      <c r="BN6" s="812"/>
      <c r="BO6" s="812"/>
      <c r="BP6" s="812"/>
      <c r="BQ6" s="812"/>
      <c r="BR6" s="812"/>
      <c r="BS6" s="812"/>
      <c r="BT6" s="812"/>
      <c r="BU6" s="812"/>
      <c r="BV6" s="812"/>
      <c r="BW6" s="812"/>
      <c r="BX6" s="812"/>
      <c r="BY6" s="812"/>
      <c r="BZ6" s="812"/>
      <c r="CA6" s="812"/>
      <c r="CB6" s="812"/>
      <c r="CC6" s="812"/>
      <c r="CD6" s="812"/>
      <c r="CE6" s="812"/>
      <c r="CF6" s="812"/>
      <c r="CG6" s="812"/>
      <c r="CH6" s="812"/>
      <c r="CI6" s="812"/>
      <c r="CJ6" s="812"/>
      <c r="CK6" s="812"/>
      <c r="CL6" s="812"/>
      <c r="CM6" s="812"/>
      <c r="CN6" s="812"/>
      <c r="CO6" s="812"/>
      <c r="CP6" s="812"/>
      <c r="CQ6" s="812"/>
      <c r="CR6" s="812"/>
      <c r="CS6" s="812"/>
      <c r="CT6" s="812"/>
      <c r="CU6" s="812"/>
      <c r="CV6" s="812"/>
      <c r="CW6" s="812"/>
      <c r="CX6" s="812"/>
      <c r="CY6" s="812"/>
      <c r="CZ6" s="812"/>
      <c r="DA6" s="812"/>
      <c r="DB6" s="812"/>
      <c r="DC6" s="812"/>
      <c r="DD6" s="812"/>
      <c r="DE6" s="812"/>
      <c r="DF6" s="812"/>
      <c r="DG6" s="812"/>
      <c r="DH6" s="812"/>
      <c r="DI6" s="812"/>
      <c r="DJ6" s="812"/>
      <c r="DK6" s="812"/>
      <c r="DL6" s="812"/>
      <c r="DM6" s="812"/>
      <c r="DN6" s="812"/>
      <c r="DO6" s="812"/>
      <c r="DP6" s="812"/>
      <c r="DQ6" s="812"/>
      <c r="DR6" s="812"/>
      <c r="DS6" s="812"/>
      <c r="DT6" s="812"/>
      <c r="DU6" s="812"/>
      <c r="DV6" s="812"/>
      <c r="DW6" s="812"/>
      <c r="DX6" s="812"/>
      <c r="DY6" s="812"/>
      <c r="DZ6" s="812"/>
      <c r="EA6" s="812"/>
      <c r="EB6" s="812"/>
      <c r="EC6" s="812"/>
      <c r="ED6" s="812"/>
      <c r="EE6" s="812"/>
      <c r="EF6" s="812"/>
      <c r="EG6" s="812"/>
      <c r="EH6" s="812"/>
      <c r="EI6" s="812"/>
      <c r="EJ6" s="812"/>
      <c r="EK6" s="812"/>
      <c r="EL6" s="812"/>
      <c r="EM6" s="812"/>
      <c r="EN6" s="812"/>
      <c r="EO6" s="812"/>
      <c r="EP6" s="812"/>
      <c r="EQ6" s="812"/>
      <c r="ER6" s="812"/>
      <c r="ES6" s="812"/>
      <c r="ET6" s="812"/>
      <c r="EU6" s="812"/>
      <c r="EV6" s="812"/>
      <c r="EW6" s="812"/>
      <c r="EX6" s="812"/>
      <c r="EY6" s="812"/>
      <c r="EZ6" s="812"/>
      <c r="FA6" s="812"/>
      <c r="FB6" s="812"/>
      <c r="FC6" s="812"/>
      <c r="FD6" s="812"/>
      <c r="FE6" s="812"/>
      <c r="FF6" s="812"/>
      <c r="FG6" s="812"/>
      <c r="FH6" s="812"/>
      <c r="FI6" s="812"/>
      <c r="FJ6" s="812"/>
      <c r="FK6" s="812"/>
      <c r="FL6" s="812"/>
      <c r="FM6" s="812"/>
      <c r="FN6" s="812"/>
      <c r="FO6" s="812"/>
      <c r="FP6" s="812"/>
      <c r="FQ6" s="812"/>
      <c r="FR6" s="812"/>
      <c r="FS6" s="812"/>
      <c r="FT6" s="812"/>
      <c r="FU6" s="812"/>
      <c r="FV6" s="812"/>
      <c r="FW6" s="812"/>
      <c r="FX6" s="812"/>
      <c r="FY6" s="812"/>
      <c r="FZ6" s="812"/>
      <c r="GA6" s="812"/>
      <c r="GB6" s="812"/>
      <c r="GC6" s="812"/>
      <c r="GD6" s="812"/>
      <c r="GE6" s="812"/>
      <c r="GF6" s="812"/>
      <c r="GG6" s="812"/>
      <c r="GH6" s="812"/>
      <c r="GI6" s="812"/>
      <c r="GJ6" s="812"/>
      <c r="GK6" s="812"/>
      <c r="GL6" s="812"/>
      <c r="GM6" s="812"/>
      <c r="GN6" s="812"/>
      <c r="GO6" s="812"/>
      <c r="GP6" s="812"/>
      <c r="GQ6" s="812"/>
      <c r="GR6" s="812"/>
      <c r="GS6" s="812"/>
      <c r="GT6" s="812"/>
      <c r="GU6" s="812"/>
      <c r="GV6" s="812"/>
      <c r="GW6" s="812"/>
      <c r="GX6" s="812"/>
      <c r="GY6" s="812"/>
      <c r="GZ6" s="812"/>
      <c r="HA6" s="812"/>
      <c r="HB6" s="812"/>
      <c r="HC6" s="812"/>
      <c r="HD6" s="812"/>
      <c r="HE6" s="812"/>
      <c r="HF6" s="812"/>
      <c r="HG6" s="812"/>
      <c r="HH6" s="812"/>
      <c r="HI6" s="812"/>
      <c r="HJ6" s="812"/>
      <c r="HK6" s="812"/>
      <c r="HL6" s="812"/>
      <c r="HM6" s="812"/>
      <c r="HN6" s="812"/>
      <c r="HO6" s="812"/>
      <c r="HP6" s="812"/>
      <c r="HQ6" s="812"/>
      <c r="HR6" s="812"/>
      <c r="HS6" s="812"/>
      <c r="HT6" s="812"/>
      <c r="HU6" s="812"/>
      <c r="HV6" s="812"/>
      <c r="HW6" s="812"/>
      <c r="HX6" s="812"/>
      <c r="HY6" s="812"/>
      <c r="HZ6" s="812"/>
      <c r="IA6" s="812"/>
      <c r="IB6" s="812"/>
      <c r="IC6" s="812"/>
      <c r="ID6" s="812"/>
      <c r="IE6" s="812"/>
      <c r="IF6" s="812"/>
      <c r="IG6" s="812"/>
      <c r="IH6" s="812"/>
      <c r="II6" s="812"/>
      <c r="IJ6" s="812"/>
      <c r="IK6" s="812"/>
      <c r="IL6" s="812"/>
      <c r="IM6" s="812"/>
      <c r="IN6" s="812"/>
      <c r="IO6" s="812"/>
      <c r="IP6" s="812"/>
      <c r="IQ6" s="812"/>
      <c r="IR6" s="812"/>
      <c r="IS6" s="812"/>
      <c r="IT6" s="812"/>
      <c r="IU6" s="812"/>
      <c r="IV6" s="812"/>
    </row>
    <row r="7" spans="1:256" ht="12.75">
      <c r="A7" s="1219" t="s">
        <v>399</v>
      </c>
      <c r="B7" s="1220"/>
      <c r="C7" s="888" t="s">
        <v>400</v>
      </c>
      <c r="D7" s="817" t="s">
        <v>401</v>
      </c>
      <c r="E7" s="818" t="s">
        <v>402</v>
      </c>
      <c r="F7" s="819" t="s">
        <v>403</v>
      </c>
      <c r="G7" s="817" t="s">
        <v>404</v>
      </c>
      <c r="H7" s="820" t="s">
        <v>406</v>
      </c>
      <c r="I7" s="820" t="s">
        <v>407</v>
      </c>
      <c r="J7" s="820" t="s">
        <v>360</v>
      </c>
      <c r="K7" s="819" t="s">
        <v>361</v>
      </c>
      <c r="L7" s="821" t="s">
        <v>362</v>
      </c>
      <c r="M7" s="822"/>
      <c r="N7" s="822"/>
      <c r="O7" s="822"/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2"/>
      <c r="AD7" s="822"/>
      <c r="AE7" s="822"/>
      <c r="AF7" s="822"/>
      <c r="AG7" s="822"/>
      <c r="AH7" s="822"/>
      <c r="AI7" s="822"/>
      <c r="AJ7" s="822"/>
      <c r="AK7" s="822"/>
      <c r="AL7" s="822"/>
      <c r="AM7" s="822"/>
      <c r="AN7" s="822"/>
      <c r="AO7" s="822"/>
      <c r="AP7" s="822"/>
      <c r="AQ7" s="822"/>
      <c r="AR7" s="822"/>
      <c r="AS7" s="822"/>
      <c r="AT7" s="822"/>
      <c r="AU7" s="822"/>
      <c r="AV7" s="822"/>
      <c r="AW7" s="822"/>
      <c r="AX7" s="822"/>
      <c r="AY7" s="822"/>
      <c r="AZ7" s="822"/>
      <c r="BA7" s="822"/>
      <c r="BB7" s="822"/>
      <c r="BC7" s="822"/>
      <c r="BD7" s="822"/>
      <c r="BE7" s="822"/>
      <c r="BF7" s="822"/>
      <c r="BG7" s="822"/>
      <c r="BH7" s="822"/>
      <c r="BI7" s="822"/>
      <c r="BJ7" s="822"/>
      <c r="BK7" s="822"/>
      <c r="BL7" s="822"/>
      <c r="BM7" s="822"/>
      <c r="BN7" s="822"/>
      <c r="BO7" s="822"/>
      <c r="BP7" s="822"/>
      <c r="BQ7" s="822"/>
      <c r="BR7" s="822"/>
      <c r="BS7" s="822"/>
      <c r="BT7" s="822"/>
      <c r="BU7" s="822"/>
      <c r="BV7" s="822"/>
      <c r="BW7" s="822"/>
      <c r="BX7" s="822"/>
      <c r="BY7" s="822"/>
      <c r="BZ7" s="822"/>
      <c r="CA7" s="822"/>
      <c r="CB7" s="822"/>
      <c r="CC7" s="822"/>
      <c r="CD7" s="822"/>
      <c r="CE7" s="822"/>
      <c r="CF7" s="822"/>
      <c r="CG7" s="822"/>
      <c r="CH7" s="822"/>
      <c r="CI7" s="822"/>
      <c r="CJ7" s="822"/>
      <c r="CK7" s="822"/>
      <c r="CL7" s="822"/>
      <c r="CM7" s="822"/>
      <c r="CN7" s="822"/>
      <c r="CO7" s="822"/>
      <c r="CP7" s="822"/>
      <c r="CQ7" s="822"/>
      <c r="CR7" s="822"/>
      <c r="CS7" s="822"/>
      <c r="CT7" s="822"/>
      <c r="CU7" s="822"/>
      <c r="CV7" s="822"/>
      <c r="CW7" s="822"/>
      <c r="CX7" s="822"/>
      <c r="CY7" s="822"/>
      <c r="CZ7" s="822"/>
      <c r="DA7" s="822"/>
      <c r="DB7" s="822"/>
      <c r="DC7" s="822"/>
      <c r="DD7" s="822"/>
      <c r="DE7" s="822"/>
      <c r="DF7" s="822"/>
      <c r="DG7" s="822"/>
      <c r="DH7" s="822"/>
      <c r="DI7" s="822"/>
      <c r="DJ7" s="822"/>
      <c r="DK7" s="822"/>
      <c r="DL7" s="822"/>
      <c r="DM7" s="822"/>
      <c r="DN7" s="822"/>
      <c r="DO7" s="822"/>
      <c r="DP7" s="822"/>
      <c r="DQ7" s="822"/>
      <c r="DR7" s="822"/>
      <c r="DS7" s="822"/>
      <c r="DT7" s="822"/>
      <c r="DU7" s="822"/>
      <c r="DV7" s="822"/>
      <c r="DW7" s="822"/>
      <c r="DX7" s="822"/>
      <c r="DY7" s="822"/>
      <c r="DZ7" s="822"/>
      <c r="EA7" s="822"/>
      <c r="EB7" s="822"/>
      <c r="EC7" s="822"/>
      <c r="ED7" s="822"/>
      <c r="EE7" s="822"/>
      <c r="EF7" s="822"/>
      <c r="EG7" s="822"/>
      <c r="EH7" s="822"/>
      <c r="EI7" s="822"/>
      <c r="EJ7" s="822"/>
      <c r="EK7" s="822"/>
      <c r="EL7" s="822"/>
      <c r="EM7" s="822"/>
      <c r="EN7" s="822"/>
      <c r="EO7" s="822"/>
      <c r="EP7" s="822"/>
      <c r="EQ7" s="822"/>
      <c r="ER7" s="822"/>
      <c r="ES7" s="822"/>
      <c r="ET7" s="822"/>
      <c r="EU7" s="822"/>
      <c r="EV7" s="822"/>
      <c r="EW7" s="822"/>
      <c r="EX7" s="822"/>
      <c r="EY7" s="822"/>
      <c r="EZ7" s="822"/>
      <c r="FA7" s="822"/>
      <c r="FB7" s="822"/>
      <c r="FC7" s="822"/>
      <c r="FD7" s="822"/>
      <c r="FE7" s="822"/>
      <c r="FF7" s="822"/>
      <c r="FG7" s="822"/>
      <c r="FH7" s="822"/>
      <c r="FI7" s="822"/>
      <c r="FJ7" s="822"/>
      <c r="FK7" s="822"/>
      <c r="FL7" s="822"/>
      <c r="FM7" s="822"/>
      <c r="FN7" s="822"/>
      <c r="FO7" s="822"/>
      <c r="FP7" s="822"/>
      <c r="FQ7" s="822"/>
      <c r="FR7" s="822"/>
      <c r="FS7" s="822"/>
      <c r="FT7" s="822"/>
      <c r="FU7" s="822"/>
      <c r="FV7" s="822"/>
      <c r="FW7" s="822"/>
      <c r="FX7" s="822"/>
      <c r="FY7" s="822"/>
      <c r="FZ7" s="822"/>
      <c r="GA7" s="822"/>
      <c r="GB7" s="822"/>
      <c r="GC7" s="822"/>
      <c r="GD7" s="822"/>
      <c r="GE7" s="822"/>
      <c r="GF7" s="822"/>
      <c r="GG7" s="822"/>
      <c r="GH7" s="822"/>
      <c r="GI7" s="822"/>
      <c r="GJ7" s="822"/>
      <c r="GK7" s="822"/>
      <c r="GL7" s="822"/>
      <c r="GM7" s="822"/>
      <c r="GN7" s="822"/>
      <c r="GO7" s="822"/>
      <c r="GP7" s="822"/>
      <c r="GQ7" s="822"/>
      <c r="GR7" s="822"/>
      <c r="GS7" s="822"/>
      <c r="GT7" s="822"/>
      <c r="GU7" s="822"/>
      <c r="GV7" s="822"/>
      <c r="GW7" s="822"/>
      <c r="GX7" s="822"/>
      <c r="GY7" s="822"/>
      <c r="GZ7" s="822"/>
      <c r="HA7" s="822"/>
      <c r="HB7" s="822"/>
      <c r="HC7" s="822"/>
      <c r="HD7" s="822"/>
      <c r="HE7" s="822"/>
      <c r="HF7" s="822"/>
      <c r="HG7" s="822"/>
      <c r="HH7" s="822"/>
      <c r="HI7" s="822"/>
      <c r="HJ7" s="822"/>
      <c r="HK7" s="822"/>
      <c r="HL7" s="822"/>
      <c r="HM7" s="822"/>
      <c r="HN7" s="822"/>
      <c r="HO7" s="822"/>
      <c r="HP7" s="822"/>
      <c r="HQ7" s="822"/>
      <c r="HR7" s="822"/>
      <c r="HS7" s="822"/>
      <c r="HT7" s="822"/>
      <c r="HU7" s="822"/>
      <c r="HV7" s="822"/>
      <c r="HW7" s="822"/>
      <c r="HX7" s="822"/>
      <c r="HY7" s="822"/>
      <c r="HZ7" s="822"/>
      <c r="IA7" s="822"/>
      <c r="IB7" s="822"/>
      <c r="IC7" s="822"/>
      <c r="ID7" s="822"/>
      <c r="IE7" s="822"/>
      <c r="IF7" s="822"/>
      <c r="IG7" s="822"/>
      <c r="IH7" s="822"/>
      <c r="II7" s="822"/>
      <c r="IJ7" s="822"/>
      <c r="IK7" s="822"/>
      <c r="IL7" s="822"/>
      <c r="IM7" s="822"/>
      <c r="IN7" s="822"/>
      <c r="IO7" s="822"/>
      <c r="IP7" s="822"/>
      <c r="IQ7" s="822"/>
      <c r="IR7" s="822"/>
      <c r="IS7" s="822"/>
      <c r="IT7" s="822"/>
      <c r="IU7" s="822"/>
      <c r="IV7" s="822"/>
    </row>
    <row r="8" spans="1:256" ht="12.75">
      <c r="A8" s="889"/>
      <c r="B8" s="823"/>
      <c r="C8" s="890" t="s">
        <v>950</v>
      </c>
      <c r="D8" s="824"/>
      <c r="E8" s="825"/>
      <c r="F8" s="826">
        <f>F9+F10+F15+F16+F17+F18</f>
        <v>210414392</v>
      </c>
      <c r="G8" s="824"/>
      <c r="H8" s="827"/>
      <c r="I8" s="827"/>
      <c r="J8" s="825"/>
      <c r="K8" s="826"/>
      <c r="L8" s="828">
        <f aca="true" t="shared" si="0" ref="L8:L14">F8+K8</f>
        <v>210414392</v>
      </c>
      <c r="M8" s="829"/>
      <c r="N8" s="830">
        <f>SUM(N9:N18)</f>
        <v>210414392</v>
      </c>
      <c r="O8" s="831"/>
      <c r="P8" s="831"/>
      <c r="Q8" s="831"/>
      <c r="R8" s="831"/>
      <c r="S8" s="831"/>
      <c r="T8" s="831"/>
      <c r="U8" s="831"/>
      <c r="V8" s="831"/>
      <c r="W8" s="831"/>
      <c r="X8" s="831"/>
      <c r="Y8" s="831"/>
      <c r="Z8" s="831"/>
      <c r="AA8" s="831"/>
      <c r="AB8" s="831"/>
      <c r="AC8" s="831"/>
      <c r="AD8" s="831"/>
      <c r="AE8" s="831"/>
      <c r="AF8" s="831"/>
      <c r="AG8" s="831"/>
      <c r="AH8" s="831"/>
      <c r="AI8" s="831"/>
      <c r="AJ8" s="831"/>
      <c r="AK8" s="831"/>
      <c r="AL8" s="831"/>
      <c r="AM8" s="831"/>
      <c r="AN8" s="831"/>
      <c r="AO8" s="831"/>
      <c r="AP8" s="831"/>
      <c r="AQ8" s="831"/>
      <c r="AR8" s="831"/>
      <c r="AS8" s="831"/>
      <c r="AT8" s="831"/>
      <c r="AU8" s="831"/>
      <c r="AV8" s="831"/>
      <c r="AW8" s="831"/>
      <c r="AX8" s="831"/>
      <c r="AY8" s="831"/>
      <c r="AZ8" s="831"/>
      <c r="BA8" s="831"/>
      <c r="BB8" s="831"/>
      <c r="BC8" s="831"/>
      <c r="BD8" s="831"/>
      <c r="BE8" s="831"/>
      <c r="BF8" s="831"/>
      <c r="BG8" s="831"/>
      <c r="BH8" s="831"/>
      <c r="BI8" s="831"/>
      <c r="BJ8" s="831"/>
      <c r="BK8" s="831"/>
      <c r="BL8" s="831"/>
      <c r="BM8" s="831"/>
      <c r="BN8" s="831"/>
      <c r="BO8" s="831"/>
      <c r="BP8" s="831"/>
      <c r="BQ8" s="831"/>
      <c r="BR8" s="831"/>
      <c r="BS8" s="831"/>
      <c r="BT8" s="831"/>
      <c r="BU8" s="831"/>
      <c r="BV8" s="831"/>
      <c r="BW8" s="831"/>
      <c r="BX8" s="831"/>
      <c r="BY8" s="831"/>
      <c r="BZ8" s="831"/>
      <c r="CA8" s="831"/>
      <c r="CB8" s="831"/>
      <c r="CC8" s="831"/>
      <c r="CD8" s="831"/>
      <c r="CE8" s="831"/>
      <c r="CF8" s="831"/>
      <c r="CG8" s="831"/>
      <c r="CH8" s="831"/>
      <c r="CI8" s="831"/>
      <c r="CJ8" s="831"/>
      <c r="CK8" s="831"/>
      <c r="CL8" s="831"/>
      <c r="CM8" s="831"/>
      <c r="CN8" s="831"/>
      <c r="CO8" s="831"/>
      <c r="CP8" s="831"/>
      <c r="CQ8" s="831"/>
      <c r="CR8" s="831"/>
      <c r="CS8" s="831"/>
      <c r="CT8" s="831"/>
      <c r="CU8" s="831"/>
      <c r="CV8" s="831"/>
      <c r="CW8" s="831"/>
      <c r="CX8" s="831"/>
      <c r="CY8" s="831"/>
      <c r="CZ8" s="831"/>
      <c r="DA8" s="831"/>
      <c r="DB8" s="831"/>
      <c r="DC8" s="831"/>
      <c r="DD8" s="831"/>
      <c r="DE8" s="831"/>
      <c r="DF8" s="831"/>
      <c r="DG8" s="831"/>
      <c r="DH8" s="831"/>
      <c r="DI8" s="831"/>
      <c r="DJ8" s="831"/>
      <c r="DK8" s="831"/>
      <c r="DL8" s="831"/>
      <c r="DM8" s="831"/>
      <c r="DN8" s="831"/>
      <c r="DO8" s="831"/>
      <c r="DP8" s="831"/>
      <c r="DQ8" s="831"/>
      <c r="DR8" s="831"/>
      <c r="DS8" s="831"/>
      <c r="DT8" s="831"/>
      <c r="DU8" s="831"/>
      <c r="DV8" s="831"/>
      <c r="DW8" s="831"/>
      <c r="DX8" s="831"/>
      <c r="DY8" s="831"/>
      <c r="DZ8" s="831"/>
      <c r="EA8" s="831"/>
      <c r="EB8" s="831"/>
      <c r="EC8" s="831"/>
      <c r="ED8" s="831"/>
      <c r="EE8" s="831"/>
      <c r="EF8" s="831"/>
      <c r="EG8" s="831"/>
      <c r="EH8" s="831"/>
      <c r="EI8" s="831"/>
      <c r="EJ8" s="831"/>
      <c r="EK8" s="831"/>
      <c r="EL8" s="831"/>
      <c r="EM8" s="831"/>
      <c r="EN8" s="831"/>
      <c r="EO8" s="831"/>
      <c r="EP8" s="831"/>
      <c r="EQ8" s="831"/>
      <c r="ER8" s="831"/>
      <c r="ES8" s="831"/>
      <c r="ET8" s="831"/>
      <c r="EU8" s="831"/>
      <c r="EV8" s="831"/>
      <c r="EW8" s="831"/>
      <c r="EX8" s="831"/>
      <c r="EY8" s="831"/>
      <c r="EZ8" s="831"/>
      <c r="FA8" s="831"/>
      <c r="FB8" s="831"/>
      <c r="FC8" s="831"/>
      <c r="FD8" s="831"/>
      <c r="FE8" s="831"/>
      <c r="FF8" s="831"/>
      <c r="FG8" s="831"/>
      <c r="FH8" s="831"/>
      <c r="FI8" s="831"/>
      <c r="FJ8" s="831"/>
      <c r="FK8" s="831"/>
      <c r="FL8" s="831"/>
      <c r="FM8" s="831"/>
      <c r="FN8" s="831"/>
      <c r="FO8" s="831"/>
      <c r="FP8" s="831"/>
      <c r="FQ8" s="831"/>
      <c r="FR8" s="831"/>
      <c r="FS8" s="831"/>
      <c r="FT8" s="831"/>
      <c r="FU8" s="831"/>
      <c r="FV8" s="831"/>
      <c r="FW8" s="831"/>
      <c r="FX8" s="831"/>
      <c r="FY8" s="831"/>
      <c r="FZ8" s="831"/>
      <c r="GA8" s="831"/>
      <c r="GB8" s="831"/>
      <c r="GC8" s="831"/>
      <c r="GD8" s="831"/>
      <c r="GE8" s="831"/>
      <c r="GF8" s="831"/>
      <c r="GG8" s="831"/>
      <c r="GH8" s="831"/>
      <c r="GI8" s="831"/>
      <c r="GJ8" s="831"/>
      <c r="GK8" s="831"/>
      <c r="GL8" s="831"/>
      <c r="GM8" s="831"/>
      <c r="GN8" s="831"/>
      <c r="GO8" s="831"/>
      <c r="GP8" s="831"/>
      <c r="GQ8" s="831"/>
      <c r="GR8" s="831"/>
      <c r="GS8" s="831"/>
      <c r="GT8" s="831"/>
      <c r="GU8" s="831"/>
      <c r="GV8" s="831"/>
      <c r="GW8" s="831"/>
      <c r="GX8" s="831"/>
      <c r="GY8" s="831"/>
      <c r="GZ8" s="831"/>
      <c r="HA8" s="831"/>
      <c r="HB8" s="831"/>
      <c r="HC8" s="831"/>
      <c r="HD8" s="831"/>
      <c r="HE8" s="831"/>
      <c r="HF8" s="831"/>
      <c r="HG8" s="831"/>
      <c r="HH8" s="831"/>
      <c r="HI8" s="831"/>
      <c r="HJ8" s="831"/>
      <c r="HK8" s="831"/>
      <c r="HL8" s="831"/>
      <c r="HM8" s="831"/>
      <c r="HN8" s="831"/>
      <c r="HO8" s="831"/>
      <c r="HP8" s="831"/>
      <c r="HQ8" s="831"/>
      <c r="HR8" s="831"/>
      <c r="HS8" s="831"/>
      <c r="HT8" s="831"/>
      <c r="HU8" s="831"/>
      <c r="HV8" s="831"/>
      <c r="HW8" s="831"/>
      <c r="HX8" s="831"/>
      <c r="HY8" s="831"/>
      <c r="HZ8" s="831"/>
      <c r="IA8" s="831"/>
      <c r="IB8" s="831"/>
      <c r="IC8" s="831"/>
      <c r="ID8" s="831"/>
      <c r="IE8" s="831"/>
      <c r="IF8" s="831"/>
      <c r="IG8" s="831"/>
      <c r="IH8" s="831"/>
      <c r="II8" s="831"/>
      <c r="IJ8" s="831"/>
      <c r="IK8" s="831"/>
      <c r="IL8" s="831"/>
      <c r="IM8" s="831"/>
      <c r="IN8" s="831"/>
      <c r="IO8" s="831"/>
      <c r="IP8" s="831"/>
      <c r="IQ8" s="831"/>
      <c r="IR8" s="831"/>
      <c r="IS8" s="831"/>
      <c r="IT8" s="831"/>
      <c r="IU8" s="831"/>
      <c r="IV8" s="831"/>
    </row>
    <row r="9" spans="1:256" ht="12.75">
      <c r="A9" s="832" t="s">
        <v>951</v>
      </c>
      <c r="B9" s="833" t="s">
        <v>952</v>
      </c>
      <c r="C9" s="891" t="s">
        <v>423</v>
      </c>
      <c r="D9" s="834">
        <v>26.11</v>
      </c>
      <c r="E9" s="835">
        <v>5450000</v>
      </c>
      <c r="F9" s="836">
        <f>D9*E9+652750</f>
        <v>142952250</v>
      </c>
      <c r="G9" s="837"/>
      <c r="H9" s="838"/>
      <c r="I9" s="838"/>
      <c r="J9" s="835"/>
      <c r="K9" s="836"/>
      <c r="L9" s="839">
        <f t="shared" si="0"/>
        <v>142952250</v>
      </c>
      <c r="M9" s="840"/>
      <c r="N9" s="841">
        <f>SUM(L9)</f>
        <v>142952250</v>
      </c>
      <c r="O9" s="842"/>
      <c r="P9" s="842"/>
      <c r="Q9" s="842"/>
      <c r="R9" s="842"/>
      <c r="S9" s="842"/>
      <c r="T9" s="842"/>
      <c r="U9" s="842"/>
      <c r="V9" s="842"/>
      <c r="W9" s="842"/>
      <c r="X9" s="842"/>
      <c r="Y9" s="842"/>
      <c r="Z9" s="842"/>
      <c r="AA9" s="842"/>
      <c r="AB9" s="842"/>
      <c r="AC9" s="842"/>
      <c r="AD9" s="842"/>
      <c r="AE9" s="842"/>
      <c r="AF9" s="842"/>
      <c r="AG9" s="842"/>
      <c r="AH9" s="842"/>
      <c r="AI9" s="842"/>
      <c r="AJ9" s="842"/>
      <c r="AK9" s="842"/>
      <c r="AL9" s="842"/>
      <c r="AM9" s="842"/>
      <c r="AN9" s="842"/>
      <c r="AO9" s="842"/>
      <c r="AP9" s="842"/>
      <c r="AQ9" s="842"/>
      <c r="AR9" s="842"/>
      <c r="AS9" s="842"/>
      <c r="AT9" s="842"/>
      <c r="AU9" s="842"/>
      <c r="AV9" s="842"/>
      <c r="AW9" s="842"/>
      <c r="AX9" s="842"/>
      <c r="AY9" s="842"/>
      <c r="AZ9" s="842"/>
      <c r="BA9" s="842"/>
      <c r="BB9" s="842"/>
      <c r="BC9" s="842"/>
      <c r="BD9" s="842"/>
      <c r="BE9" s="842"/>
      <c r="BF9" s="842"/>
      <c r="BG9" s="842"/>
      <c r="BH9" s="842"/>
      <c r="BI9" s="842"/>
      <c r="BJ9" s="842"/>
      <c r="BK9" s="842"/>
      <c r="BL9" s="842"/>
      <c r="BM9" s="842"/>
      <c r="BN9" s="842"/>
      <c r="BO9" s="842"/>
      <c r="BP9" s="842"/>
      <c r="BQ9" s="842"/>
      <c r="BR9" s="842"/>
      <c r="BS9" s="842"/>
      <c r="BT9" s="842"/>
      <c r="BU9" s="842"/>
      <c r="BV9" s="842"/>
      <c r="BW9" s="842"/>
      <c r="BX9" s="842"/>
      <c r="BY9" s="842"/>
      <c r="BZ9" s="842"/>
      <c r="CA9" s="842"/>
      <c r="CB9" s="842"/>
      <c r="CC9" s="842"/>
      <c r="CD9" s="842"/>
      <c r="CE9" s="842"/>
      <c r="CF9" s="842"/>
      <c r="CG9" s="842"/>
      <c r="CH9" s="842"/>
      <c r="CI9" s="842"/>
      <c r="CJ9" s="842"/>
      <c r="CK9" s="842"/>
      <c r="CL9" s="842"/>
      <c r="CM9" s="842"/>
      <c r="CN9" s="842"/>
      <c r="CO9" s="842"/>
      <c r="CP9" s="842"/>
      <c r="CQ9" s="842"/>
      <c r="CR9" s="842"/>
      <c r="CS9" s="842"/>
      <c r="CT9" s="842"/>
      <c r="CU9" s="842"/>
      <c r="CV9" s="842"/>
      <c r="CW9" s="842"/>
      <c r="CX9" s="842"/>
      <c r="CY9" s="842"/>
      <c r="CZ9" s="842"/>
      <c r="DA9" s="842"/>
      <c r="DB9" s="842"/>
      <c r="DC9" s="842"/>
      <c r="DD9" s="842"/>
      <c r="DE9" s="842"/>
      <c r="DF9" s="842"/>
      <c r="DG9" s="842"/>
      <c r="DH9" s="842"/>
      <c r="DI9" s="842"/>
      <c r="DJ9" s="842"/>
      <c r="DK9" s="842"/>
      <c r="DL9" s="842"/>
      <c r="DM9" s="842"/>
      <c r="DN9" s="842"/>
      <c r="DO9" s="842"/>
      <c r="DP9" s="842"/>
      <c r="DQ9" s="842"/>
      <c r="DR9" s="842"/>
      <c r="DS9" s="842"/>
      <c r="DT9" s="842"/>
      <c r="DU9" s="842"/>
      <c r="DV9" s="842"/>
      <c r="DW9" s="842"/>
      <c r="DX9" s="842"/>
      <c r="DY9" s="842"/>
      <c r="DZ9" s="842"/>
      <c r="EA9" s="842"/>
      <c r="EB9" s="842"/>
      <c r="EC9" s="842"/>
      <c r="ED9" s="842"/>
      <c r="EE9" s="842"/>
      <c r="EF9" s="842"/>
      <c r="EG9" s="842"/>
      <c r="EH9" s="842"/>
      <c r="EI9" s="842"/>
      <c r="EJ9" s="842"/>
      <c r="EK9" s="842"/>
      <c r="EL9" s="842"/>
      <c r="EM9" s="842"/>
      <c r="EN9" s="842"/>
      <c r="EO9" s="842"/>
      <c r="EP9" s="842"/>
      <c r="EQ9" s="842"/>
      <c r="ER9" s="842"/>
      <c r="ES9" s="842"/>
      <c r="ET9" s="842"/>
      <c r="EU9" s="842"/>
      <c r="EV9" s="842"/>
      <c r="EW9" s="842"/>
      <c r="EX9" s="842"/>
      <c r="EY9" s="842"/>
      <c r="EZ9" s="842"/>
      <c r="FA9" s="842"/>
      <c r="FB9" s="842"/>
      <c r="FC9" s="842"/>
      <c r="FD9" s="842"/>
      <c r="FE9" s="842"/>
      <c r="FF9" s="842"/>
      <c r="FG9" s="842"/>
      <c r="FH9" s="842"/>
      <c r="FI9" s="842"/>
      <c r="FJ9" s="842"/>
      <c r="FK9" s="842"/>
      <c r="FL9" s="842"/>
      <c r="FM9" s="842"/>
      <c r="FN9" s="842"/>
      <c r="FO9" s="842"/>
      <c r="FP9" s="842"/>
      <c r="FQ9" s="842"/>
      <c r="FR9" s="842"/>
      <c r="FS9" s="842"/>
      <c r="FT9" s="842"/>
      <c r="FU9" s="842"/>
      <c r="FV9" s="842"/>
      <c r="FW9" s="842"/>
      <c r="FX9" s="842"/>
      <c r="FY9" s="842"/>
      <c r="FZ9" s="842"/>
      <c r="GA9" s="842"/>
      <c r="GB9" s="842"/>
      <c r="GC9" s="842"/>
      <c r="GD9" s="842"/>
      <c r="GE9" s="842"/>
      <c r="GF9" s="842"/>
      <c r="GG9" s="842"/>
      <c r="GH9" s="842"/>
      <c r="GI9" s="842"/>
      <c r="GJ9" s="842"/>
      <c r="GK9" s="842"/>
      <c r="GL9" s="842"/>
      <c r="GM9" s="842"/>
      <c r="GN9" s="842"/>
      <c r="GO9" s="842"/>
      <c r="GP9" s="842"/>
      <c r="GQ9" s="842"/>
      <c r="GR9" s="842"/>
      <c r="GS9" s="842"/>
      <c r="GT9" s="842"/>
      <c r="GU9" s="842"/>
      <c r="GV9" s="842"/>
      <c r="GW9" s="842"/>
      <c r="GX9" s="842"/>
      <c r="GY9" s="842"/>
      <c r="GZ9" s="842"/>
      <c r="HA9" s="842"/>
      <c r="HB9" s="842"/>
      <c r="HC9" s="842"/>
      <c r="HD9" s="842"/>
      <c r="HE9" s="842"/>
      <c r="HF9" s="842"/>
      <c r="HG9" s="842"/>
      <c r="HH9" s="842"/>
      <c r="HI9" s="842"/>
      <c r="HJ9" s="842"/>
      <c r="HK9" s="842"/>
      <c r="HL9" s="842"/>
      <c r="HM9" s="842"/>
      <c r="HN9" s="842"/>
      <c r="HO9" s="842"/>
      <c r="HP9" s="842"/>
      <c r="HQ9" s="842"/>
      <c r="HR9" s="842"/>
      <c r="HS9" s="842"/>
      <c r="HT9" s="842"/>
      <c r="HU9" s="842"/>
      <c r="HV9" s="842"/>
      <c r="HW9" s="842"/>
      <c r="HX9" s="842"/>
      <c r="HY9" s="842"/>
      <c r="HZ9" s="842"/>
      <c r="IA9" s="842"/>
      <c r="IB9" s="842"/>
      <c r="IC9" s="842"/>
      <c r="ID9" s="842"/>
      <c r="IE9" s="842"/>
      <c r="IF9" s="842"/>
      <c r="IG9" s="842"/>
      <c r="IH9" s="842"/>
      <c r="II9" s="842"/>
      <c r="IJ9" s="842"/>
      <c r="IK9" s="842"/>
      <c r="IL9" s="842"/>
      <c r="IM9" s="842"/>
      <c r="IN9" s="842"/>
      <c r="IO9" s="842"/>
      <c r="IP9" s="842"/>
      <c r="IQ9" s="842"/>
      <c r="IR9" s="842"/>
      <c r="IS9" s="842"/>
      <c r="IT9" s="842"/>
      <c r="IU9" s="842"/>
      <c r="IV9" s="842"/>
    </row>
    <row r="10" spans="1:256" ht="12.75">
      <c r="A10" s="843"/>
      <c r="B10" s="833" t="s">
        <v>953</v>
      </c>
      <c r="C10" s="891" t="s">
        <v>954</v>
      </c>
      <c r="D10" s="837"/>
      <c r="E10" s="835"/>
      <c r="F10" s="836">
        <v>65506481</v>
      </c>
      <c r="G10" s="837"/>
      <c r="H10" s="838"/>
      <c r="I10" s="838"/>
      <c r="J10" s="835"/>
      <c r="K10" s="836"/>
      <c r="L10" s="839">
        <f t="shared" si="0"/>
        <v>65506481</v>
      </c>
      <c r="M10" s="840"/>
      <c r="N10" s="841">
        <f>SUM(L11:L14)</f>
        <v>65506481</v>
      </c>
      <c r="O10" s="842"/>
      <c r="P10" s="842"/>
      <c r="Q10" s="842"/>
      <c r="R10" s="842"/>
      <c r="S10" s="842"/>
      <c r="T10" s="842"/>
      <c r="U10" s="842"/>
      <c r="V10" s="842"/>
      <c r="W10" s="842"/>
      <c r="X10" s="842"/>
      <c r="Y10" s="842"/>
      <c r="Z10" s="842"/>
      <c r="AA10" s="842"/>
      <c r="AB10" s="842"/>
      <c r="AC10" s="842"/>
      <c r="AD10" s="842"/>
      <c r="AE10" s="842"/>
      <c r="AF10" s="842"/>
      <c r="AG10" s="842"/>
      <c r="AH10" s="842"/>
      <c r="AI10" s="842"/>
      <c r="AJ10" s="842"/>
      <c r="AK10" s="842"/>
      <c r="AL10" s="842"/>
      <c r="AM10" s="842"/>
      <c r="AN10" s="842"/>
      <c r="AO10" s="842"/>
      <c r="AP10" s="842"/>
      <c r="AQ10" s="842"/>
      <c r="AR10" s="842"/>
      <c r="AS10" s="842"/>
      <c r="AT10" s="842"/>
      <c r="AU10" s="842"/>
      <c r="AV10" s="842"/>
      <c r="AW10" s="842"/>
      <c r="AX10" s="842"/>
      <c r="AY10" s="842"/>
      <c r="AZ10" s="842"/>
      <c r="BA10" s="842"/>
      <c r="BB10" s="842"/>
      <c r="BC10" s="842"/>
      <c r="BD10" s="842"/>
      <c r="BE10" s="842"/>
      <c r="BF10" s="842"/>
      <c r="BG10" s="842"/>
      <c r="BH10" s="842"/>
      <c r="BI10" s="842"/>
      <c r="BJ10" s="842"/>
      <c r="BK10" s="842"/>
      <c r="BL10" s="842"/>
      <c r="BM10" s="842"/>
      <c r="BN10" s="842"/>
      <c r="BO10" s="842"/>
      <c r="BP10" s="842"/>
      <c r="BQ10" s="842"/>
      <c r="BR10" s="842"/>
      <c r="BS10" s="842"/>
      <c r="BT10" s="842"/>
      <c r="BU10" s="842"/>
      <c r="BV10" s="842"/>
      <c r="BW10" s="842"/>
      <c r="BX10" s="842"/>
      <c r="BY10" s="842"/>
      <c r="BZ10" s="842"/>
      <c r="CA10" s="842"/>
      <c r="CB10" s="842"/>
      <c r="CC10" s="842"/>
      <c r="CD10" s="842"/>
      <c r="CE10" s="842"/>
      <c r="CF10" s="842"/>
      <c r="CG10" s="842"/>
      <c r="CH10" s="842"/>
      <c r="CI10" s="842"/>
      <c r="CJ10" s="842"/>
      <c r="CK10" s="842"/>
      <c r="CL10" s="842"/>
      <c r="CM10" s="842"/>
      <c r="CN10" s="842"/>
      <c r="CO10" s="842"/>
      <c r="CP10" s="842"/>
      <c r="CQ10" s="842"/>
      <c r="CR10" s="842"/>
      <c r="CS10" s="842"/>
      <c r="CT10" s="842"/>
      <c r="CU10" s="842"/>
      <c r="CV10" s="842"/>
      <c r="CW10" s="842"/>
      <c r="CX10" s="842"/>
      <c r="CY10" s="842"/>
      <c r="CZ10" s="842"/>
      <c r="DA10" s="842"/>
      <c r="DB10" s="842"/>
      <c r="DC10" s="842"/>
      <c r="DD10" s="842"/>
      <c r="DE10" s="842"/>
      <c r="DF10" s="842"/>
      <c r="DG10" s="842"/>
      <c r="DH10" s="842"/>
      <c r="DI10" s="842"/>
      <c r="DJ10" s="842"/>
      <c r="DK10" s="842"/>
      <c r="DL10" s="842"/>
      <c r="DM10" s="842"/>
      <c r="DN10" s="842"/>
      <c r="DO10" s="842"/>
      <c r="DP10" s="842"/>
      <c r="DQ10" s="842"/>
      <c r="DR10" s="842"/>
      <c r="DS10" s="842"/>
      <c r="DT10" s="842"/>
      <c r="DU10" s="842"/>
      <c r="DV10" s="842"/>
      <c r="DW10" s="842"/>
      <c r="DX10" s="842"/>
      <c r="DY10" s="842"/>
      <c r="DZ10" s="842"/>
      <c r="EA10" s="842"/>
      <c r="EB10" s="842"/>
      <c r="EC10" s="842"/>
      <c r="ED10" s="842"/>
      <c r="EE10" s="842"/>
      <c r="EF10" s="842"/>
      <c r="EG10" s="842"/>
      <c r="EH10" s="842"/>
      <c r="EI10" s="842"/>
      <c r="EJ10" s="842"/>
      <c r="EK10" s="842"/>
      <c r="EL10" s="842"/>
      <c r="EM10" s="842"/>
      <c r="EN10" s="842"/>
      <c r="EO10" s="842"/>
      <c r="EP10" s="842"/>
      <c r="EQ10" s="842"/>
      <c r="ER10" s="842"/>
      <c r="ES10" s="842"/>
      <c r="ET10" s="842"/>
      <c r="EU10" s="842"/>
      <c r="EV10" s="842"/>
      <c r="EW10" s="842"/>
      <c r="EX10" s="842"/>
      <c r="EY10" s="842"/>
      <c r="EZ10" s="842"/>
      <c r="FA10" s="842"/>
      <c r="FB10" s="842"/>
      <c r="FC10" s="842"/>
      <c r="FD10" s="842"/>
      <c r="FE10" s="842"/>
      <c r="FF10" s="842"/>
      <c r="FG10" s="842"/>
      <c r="FH10" s="842"/>
      <c r="FI10" s="842"/>
      <c r="FJ10" s="842"/>
      <c r="FK10" s="842"/>
      <c r="FL10" s="842"/>
      <c r="FM10" s="842"/>
      <c r="FN10" s="842"/>
      <c r="FO10" s="842"/>
      <c r="FP10" s="842"/>
      <c r="FQ10" s="842"/>
      <c r="FR10" s="842"/>
      <c r="FS10" s="842"/>
      <c r="FT10" s="842"/>
      <c r="FU10" s="842"/>
      <c r="FV10" s="842"/>
      <c r="FW10" s="842"/>
      <c r="FX10" s="842"/>
      <c r="FY10" s="842"/>
      <c r="FZ10" s="842"/>
      <c r="GA10" s="842"/>
      <c r="GB10" s="842"/>
      <c r="GC10" s="842"/>
      <c r="GD10" s="842"/>
      <c r="GE10" s="842"/>
      <c r="GF10" s="842"/>
      <c r="GG10" s="842"/>
      <c r="GH10" s="842"/>
      <c r="GI10" s="842"/>
      <c r="GJ10" s="842"/>
      <c r="GK10" s="842"/>
      <c r="GL10" s="842"/>
      <c r="GM10" s="842"/>
      <c r="GN10" s="842"/>
      <c r="GO10" s="842"/>
      <c r="GP10" s="842"/>
      <c r="GQ10" s="842"/>
      <c r="GR10" s="842"/>
      <c r="GS10" s="842"/>
      <c r="GT10" s="842"/>
      <c r="GU10" s="842"/>
      <c r="GV10" s="842"/>
      <c r="GW10" s="842"/>
      <c r="GX10" s="842"/>
      <c r="GY10" s="842"/>
      <c r="GZ10" s="842"/>
      <c r="HA10" s="842"/>
      <c r="HB10" s="842"/>
      <c r="HC10" s="842"/>
      <c r="HD10" s="842"/>
      <c r="HE10" s="842"/>
      <c r="HF10" s="842"/>
      <c r="HG10" s="842"/>
      <c r="HH10" s="842"/>
      <c r="HI10" s="842"/>
      <c r="HJ10" s="842"/>
      <c r="HK10" s="842"/>
      <c r="HL10" s="842"/>
      <c r="HM10" s="842"/>
      <c r="HN10" s="842"/>
      <c r="HO10" s="842"/>
      <c r="HP10" s="842"/>
      <c r="HQ10" s="842"/>
      <c r="HR10" s="842"/>
      <c r="HS10" s="842"/>
      <c r="HT10" s="842"/>
      <c r="HU10" s="842"/>
      <c r="HV10" s="842"/>
      <c r="HW10" s="842"/>
      <c r="HX10" s="842"/>
      <c r="HY10" s="842"/>
      <c r="HZ10" s="842"/>
      <c r="IA10" s="842"/>
      <c r="IB10" s="842"/>
      <c r="IC10" s="842"/>
      <c r="ID10" s="842"/>
      <c r="IE10" s="842"/>
      <c r="IF10" s="842"/>
      <c r="IG10" s="842"/>
      <c r="IH10" s="842"/>
      <c r="II10" s="842"/>
      <c r="IJ10" s="842"/>
      <c r="IK10" s="842"/>
      <c r="IL10" s="842"/>
      <c r="IM10" s="842"/>
      <c r="IN10" s="842"/>
      <c r="IO10" s="842"/>
      <c r="IP10" s="842"/>
      <c r="IQ10" s="842"/>
      <c r="IR10" s="842"/>
      <c r="IS10" s="842"/>
      <c r="IT10" s="842"/>
      <c r="IU10" s="842"/>
      <c r="IV10" s="842"/>
    </row>
    <row r="11" spans="1:14" ht="12.75">
      <c r="A11" s="844"/>
      <c r="B11" s="845" t="s">
        <v>955</v>
      </c>
      <c r="C11" s="892" t="s">
        <v>956</v>
      </c>
      <c r="D11" s="846"/>
      <c r="E11" s="847">
        <v>25200</v>
      </c>
      <c r="F11" s="848">
        <v>20189141</v>
      </c>
      <c r="G11" s="846"/>
      <c r="H11" s="849"/>
      <c r="I11" s="849"/>
      <c r="J11" s="847"/>
      <c r="K11" s="848"/>
      <c r="L11" s="850">
        <f t="shared" si="0"/>
        <v>20189141</v>
      </c>
      <c r="M11" s="851"/>
      <c r="N11" s="841"/>
    </row>
    <row r="12" spans="1:14" ht="12.75">
      <c r="A12" s="844"/>
      <c r="B12" s="845" t="s">
        <v>957</v>
      </c>
      <c r="C12" s="892" t="s">
        <v>958</v>
      </c>
      <c r="D12" s="846"/>
      <c r="E12" s="847"/>
      <c r="F12" s="848">
        <v>30240000</v>
      </c>
      <c r="G12" s="846"/>
      <c r="H12" s="849"/>
      <c r="I12" s="849"/>
      <c r="J12" s="847"/>
      <c r="K12" s="848"/>
      <c r="L12" s="850">
        <f t="shared" si="0"/>
        <v>30240000</v>
      </c>
      <c r="M12" s="851"/>
      <c r="N12" s="841"/>
    </row>
    <row r="13" spans="1:14" ht="12.75">
      <c r="A13" s="844"/>
      <c r="B13" s="845" t="s">
        <v>959</v>
      </c>
      <c r="C13" s="892" t="s">
        <v>960</v>
      </c>
      <c r="D13" s="846"/>
      <c r="E13" s="847"/>
      <c r="F13" s="848">
        <v>0</v>
      </c>
      <c r="G13" s="846"/>
      <c r="H13" s="849"/>
      <c r="I13" s="849"/>
      <c r="J13" s="847"/>
      <c r="K13" s="848"/>
      <c r="L13" s="850">
        <f t="shared" si="0"/>
        <v>0</v>
      </c>
      <c r="M13" s="851"/>
      <c r="N13" s="841"/>
    </row>
    <row r="14" spans="1:14" ht="12.75">
      <c r="A14" s="844"/>
      <c r="B14" s="845" t="s">
        <v>961</v>
      </c>
      <c r="C14" s="892" t="s">
        <v>962</v>
      </c>
      <c r="D14" s="846"/>
      <c r="E14" s="847"/>
      <c r="F14" s="848">
        <v>15077340</v>
      </c>
      <c r="G14" s="846"/>
      <c r="H14" s="849"/>
      <c r="I14" s="849"/>
      <c r="J14" s="847"/>
      <c r="K14" s="848"/>
      <c r="L14" s="850">
        <f t="shared" si="0"/>
        <v>15077340</v>
      </c>
      <c r="M14" s="851"/>
      <c r="N14" s="841"/>
    </row>
    <row r="15" spans="1:256" ht="12.75">
      <c r="A15" s="843"/>
      <c r="B15" s="833" t="s">
        <v>963</v>
      </c>
      <c r="C15" s="893" t="s">
        <v>964</v>
      </c>
      <c r="D15" s="837">
        <v>8650</v>
      </c>
      <c r="E15" s="835">
        <v>2700</v>
      </c>
      <c r="F15" s="836">
        <v>0</v>
      </c>
      <c r="G15" s="837"/>
      <c r="H15" s="838"/>
      <c r="I15" s="838"/>
      <c r="J15" s="835"/>
      <c r="K15" s="836"/>
      <c r="L15" s="839">
        <f>F15+K15</f>
        <v>0</v>
      </c>
      <c r="M15" s="840"/>
      <c r="N15" s="841">
        <f>SUM(L15)</f>
        <v>0</v>
      </c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2"/>
      <c r="AC15" s="842"/>
      <c r="AD15" s="842"/>
      <c r="AE15" s="842"/>
      <c r="AF15" s="842"/>
      <c r="AG15" s="842"/>
      <c r="AH15" s="842"/>
      <c r="AI15" s="842"/>
      <c r="AJ15" s="842"/>
      <c r="AK15" s="842"/>
      <c r="AL15" s="842"/>
      <c r="AM15" s="842"/>
      <c r="AN15" s="842"/>
      <c r="AO15" s="842"/>
      <c r="AP15" s="842"/>
      <c r="AQ15" s="842"/>
      <c r="AR15" s="842"/>
      <c r="AS15" s="842"/>
      <c r="AT15" s="842"/>
      <c r="AU15" s="842"/>
      <c r="AV15" s="842"/>
      <c r="AW15" s="842"/>
      <c r="AX15" s="842"/>
      <c r="AY15" s="842"/>
      <c r="AZ15" s="842"/>
      <c r="BA15" s="842"/>
      <c r="BB15" s="842"/>
      <c r="BC15" s="842"/>
      <c r="BD15" s="842"/>
      <c r="BE15" s="842"/>
      <c r="BF15" s="842"/>
      <c r="BG15" s="842"/>
      <c r="BH15" s="842"/>
      <c r="BI15" s="842"/>
      <c r="BJ15" s="842"/>
      <c r="BK15" s="842"/>
      <c r="BL15" s="842"/>
      <c r="BM15" s="842"/>
      <c r="BN15" s="842"/>
      <c r="BO15" s="842"/>
      <c r="BP15" s="842"/>
      <c r="BQ15" s="842"/>
      <c r="BR15" s="842"/>
      <c r="BS15" s="842"/>
      <c r="BT15" s="842"/>
      <c r="BU15" s="842"/>
      <c r="BV15" s="842"/>
      <c r="BW15" s="842"/>
      <c r="BX15" s="842"/>
      <c r="BY15" s="842"/>
      <c r="BZ15" s="842"/>
      <c r="CA15" s="842"/>
      <c r="CB15" s="842"/>
      <c r="CC15" s="842"/>
      <c r="CD15" s="842"/>
      <c r="CE15" s="842"/>
      <c r="CF15" s="842"/>
      <c r="CG15" s="842"/>
      <c r="CH15" s="842"/>
      <c r="CI15" s="842"/>
      <c r="CJ15" s="842"/>
      <c r="CK15" s="842"/>
      <c r="CL15" s="842"/>
      <c r="CM15" s="842"/>
      <c r="CN15" s="842"/>
      <c r="CO15" s="842"/>
      <c r="CP15" s="842"/>
      <c r="CQ15" s="842"/>
      <c r="CR15" s="842"/>
      <c r="CS15" s="842"/>
      <c r="CT15" s="842"/>
      <c r="CU15" s="842"/>
      <c r="CV15" s="842"/>
      <c r="CW15" s="842"/>
      <c r="CX15" s="842"/>
      <c r="CY15" s="842"/>
      <c r="CZ15" s="842"/>
      <c r="DA15" s="842"/>
      <c r="DB15" s="842"/>
      <c r="DC15" s="842"/>
      <c r="DD15" s="842"/>
      <c r="DE15" s="842"/>
      <c r="DF15" s="842"/>
      <c r="DG15" s="842"/>
      <c r="DH15" s="842"/>
      <c r="DI15" s="842"/>
      <c r="DJ15" s="842"/>
      <c r="DK15" s="842"/>
      <c r="DL15" s="842"/>
      <c r="DM15" s="842"/>
      <c r="DN15" s="842"/>
      <c r="DO15" s="842"/>
      <c r="DP15" s="842"/>
      <c r="DQ15" s="842"/>
      <c r="DR15" s="842"/>
      <c r="DS15" s="842"/>
      <c r="DT15" s="842"/>
      <c r="DU15" s="842"/>
      <c r="DV15" s="842"/>
      <c r="DW15" s="842"/>
      <c r="DX15" s="842"/>
      <c r="DY15" s="842"/>
      <c r="DZ15" s="842"/>
      <c r="EA15" s="842"/>
      <c r="EB15" s="842"/>
      <c r="EC15" s="842"/>
      <c r="ED15" s="842"/>
      <c r="EE15" s="842"/>
      <c r="EF15" s="842"/>
      <c r="EG15" s="842"/>
      <c r="EH15" s="842"/>
      <c r="EI15" s="842"/>
      <c r="EJ15" s="842"/>
      <c r="EK15" s="842"/>
      <c r="EL15" s="842"/>
      <c r="EM15" s="842"/>
      <c r="EN15" s="842"/>
      <c r="EO15" s="842"/>
      <c r="EP15" s="842"/>
      <c r="EQ15" s="842"/>
      <c r="ER15" s="842"/>
      <c r="ES15" s="842"/>
      <c r="ET15" s="842"/>
      <c r="EU15" s="842"/>
      <c r="EV15" s="842"/>
      <c r="EW15" s="842"/>
      <c r="EX15" s="842"/>
      <c r="EY15" s="842"/>
      <c r="EZ15" s="842"/>
      <c r="FA15" s="842"/>
      <c r="FB15" s="842"/>
      <c r="FC15" s="842"/>
      <c r="FD15" s="842"/>
      <c r="FE15" s="842"/>
      <c r="FF15" s="842"/>
      <c r="FG15" s="842"/>
      <c r="FH15" s="842"/>
      <c r="FI15" s="842"/>
      <c r="FJ15" s="842"/>
      <c r="FK15" s="842"/>
      <c r="FL15" s="842"/>
      <c r="FM15" s="842"/>
      <c r="FN15" s="842"/>
      <c r="FO15" s="842"/>
      <c r="FP15" s="842"/>
      <c r="FQ15" s="842"/>
      <c r="FR15" s="842"/>
      <c r="FS15" s="842"/>
      <c r="FT15" s="842"/>
      <c r="FU15" s="842"/>
      <c r="FV15" s="842"/>
      <c r="FW15" s="842"/>
      <c r="FX15" s="842"/>
      <c r="FY15" s="842"/>
      <c r="FZ15" s="842"/>
      <c r="GA15" s="842"/>
      <c r="GB15" s="842"/>
      <c r="GC15" s="842"/>
      <c r="GD15" s="842"/>
      <c r="GE15" s="842"/>
      <c r="GF15" s="842"/>
      <c r="GG15" s="842"/>
      <c r="GH15" s="842"/>
      <c r="GI15" s="842"/>
      <c r="GJ15" s="842"/>
      <c r="GK15" s="842"/>
      <c r="GL15" s="842"/>
      <c r="GM15" s="842"/>
      <c r="GN15" s="842"/>
      <c r="GO15" s="842"/>
      <c r="GP15" s="842"/>
      <c r="GQ15" s="842"/>
      <c r="GR15" s="842"/>
      <c r="GS15" s="842"/>
      <c r="GT15" s="842"/>
      <c r="GU15" s="842"/>
      <c r="GV15" s="842"/>
      <c r="GW15" s="842"/>
      <c r="GX15" s="842"/>
      <c r="GY15" s="842"/>
      <c r="GZ15" s="842"/>
      <c r="HA15" s="842"/>
      <c r="HB15" s="842"/>
      <c r="HC15" s="842"/>
      <c r="HD15" s="842"/>
      <c r="HE15" s="842"/>
      <c r="HF15" s="842"/>
      <c r="HG15" s="842"/>
      <c r="HH15" s="842"/>
      <c r="HI15" s="842"/>
      <c r="HJ15" s="842"/>
      <c r="HK15" s="842"/>
      <c r="HL15" s="842"/>
      <c r="HM15" s="842"/>
      <c r="HN15" s="842"/>
      <c r="HO15" s="842"/>
      <c r="HP15" s="842"/>
      <c r="HQ15" s="842"/>
      <c r="HR15" s="842"/>
      <c r="HS15" s="842"/>
      <c r="HT15" s="842"/>
      <c r="HU15" s="842"/>
      <c r="HV15" s="842"/>
      <c r="HW15" s="842"/>
      <c r="HX15" s="842"/>
      <c r="HY15" s="842"/>
      <c r="HZ15" s="842"/>
      <c r="IA15" s="842"/>
      <c r="IB15" s="842"/>
      <c r="IC15" s="842"/>
      <c r="ID15" s="842"/>
      <c r="IE15" s="842"/>
      <c r="IF15" s="842"/>
      <c r="IG15" s="842"/>
      <c r="IH15" s="842"/>
      <c r="II15" s="842"/>
      <c r="IJ15" s="842"/>
      <c r="IK15" s="842"/>
      <c r="IL15" s="842"/>
      <c r="IM15" s="842"/>
      <c r="IN15" s="842"/>
      <c r="IO15" s="842"/>
      <c r="IP15" s="842"/>
      <c r="IQ15" s="842"/>
      <c r="IR15" s="842"/>
      <c r="IS15" s="842"/>
      <c r="IT15" s="842"/>
      <c r="IU15" s="842"/>
      <c r="IV15" s="842"/>
    </row>
    <row r="16" spans="1:256" ht="12.75">
      <c r="A16" s="843"/>
      <c r="B16" s="833" t="s">
        <v>965</v>
      </c>
      <c r="C16" s="893" t="s">
        <v>966</v>
      </c>
      <c r="D16" s="837">
        <v>264</v>
      </c>
      <c r="E16" s="835">
        <v>2550</v>
      </c>
      <c r="F16" s="836">
        <v>0</v>
      </c>
      <c r="G16" s="837"/>
      <c r="H16" s="838"/>
      <c r="I16" s="838"/>
      <c r="J16" s="835"/>
      <c r="K16" s="836"/>
      <c r="L16" s="839">
        <f>F16+K16</f>
        <v>0</v>
      </c>
      <c r="M16" s="840"/>
      <c r="N16" s="841">
        <f>SUM(L16)</f>
        <v>0</v>
      </c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2"/>
      <c r="AE16" s="842"/>
      <c r="AF16" s="842"/>
      <c r="AG16" s="842"/>
      <c r="AH16" s="842"/>
      <c r="AI16" s="842"/>
      <c r="AJ16" s="842"/>
      <c r="AK16" s="842"/>
      <c r="AL16" s="842"/>
      <c r="AM16" s="842"/>
      <c r="AN16" s="842"/>
      <c r="AO16" s="842"/>
      <c r="AP16" s="842"/>
      <c r="AQ16" s="842"/>
      <c r="AR16" s="842"/>
      <c r="AS16" s="842"/>
      <c r="AT16" s="842"/>
      <c r="AU16" s="842"/>
      <c r="AV16" s="842"/>
      <c r="AW16" s="842"/>
      <c r="AX16" s="842"/>
      <c r="AY16" s="842"/>
      <c r="AZ16" s="842"/>
      <c r="BA16" s="842"/>
      <c r="BB16" s="842"/>
      <c r="BC16" s="842"/>
      <c r="BD16" s="842"/>
      <c r="BE16" s="842"/>
      <c r="BF16" s="842"/>
      <c r="BG16" s="842"/>
      <c r="BH16" s="842"/>
      <c r="BI16" s="842"/>
      <c r="BJ16" s="842"/>
      <c r="BK16" s="842"/>
      <c r="BL16" s="842"/>
      <c r="BM16" s="842"/>
      <c r="BN16" s="842"/>
      <c r="BO16" s="842"/>
      <c r="BP16" s="842"/>
      <c r="BQ16" s="842"/>
      <c r="BR16" s="842"/>
      <c r="BS16" s="842"/>
      <c r="BT16" s="842"/>
      <c r="BU16" s="842"/>
      <c r="BV16" s="842"/>
      <c r="BW16" s="842"/>
      <c r="BX16" s="842"/>
      <c r="BY16" s="842"/>
      <c r="BZ16" s="842"/>
      <c r="CA16" s="842"/>
      <c r="CB16" s="842"/>
      <c r="CC16" s="842"/>
      <c r="CD16" s="842"/>
      <c r="CE16" s="842"/>
      <c r="CF16" s="842"/>
      <c r="CG16" s="842"/>
      <c r="CH16" s="842"/>
      <c r="CI16" s="842"/>
      <c r="CJ16" s="842"/>
      <c r="CK16" s="842"/>
      <c r="CL16" s="842"/>
      <c r="CM16" s="842"/>
      <c r="CN16" s="842"/>
      <c r="CO16" s="842"/>
      <c r="CP16" s="842"/>
      <c r="CQ16" s="842"/>
      <c r="CR16" s="842"/>
      <c r="CS16" s="842"/>
      <c r="CT16" s="842"/>
      <c r="CU16" s="842"/>
      <c r="CV16" s="842"/>
      <c r="CW16" s="842"/>
      <c r="CX16" s="842"/>
      <c r="CY16" s="842"/>
      <c r="CZ16" s="842"/>
      <c r="DA16" s="842"/>
      <c r="DB16" s="842"/>
      <c r="DC16" s="842"/>
      <c r="DD16" s="842"/>
      <c r="DE16" s="842"/>
      <c r="DF16" s="842"/>
      <c r="DG16" s="842"/>
      <c r="DH16" s="842"/>
      <c r="DI16" s="842"/>
      <c r="DJ16" s="842"/>
      <c r="DK16" s="842"/>
      <c r="DL16" s="842"/>
      <c r="DM16" s="842"/>
      <c r="DN16" s="842"/>
      <c r="DO16" s="842"/>
      <c r="DP16" s="842"/>
      <c r="DQ16" s="842"/>
      <c r="DR16" s="842"/>
      <c r="DS16" s="842"/>
      <c r="DT16" s="842"/>
      <c r="DU16" s="842"/>
      <c r="DV16" s="842"/>
      <c r="DW16" s="842"/>
      <c r="DX16" s="842"/>
      <c r="DY16" s="842"/>
      <c r="DZ16" s="842"/>
      <c r="EA16" s="842"/>
      <c r="EB16" s="842"/>
      <c r="EC16" s="842"/>
      <c r="ED16" s="842"/>
      <c r="EE16" s="842"/>
      <c r="EF16" s="842"/>
      <c r="EG16" s="842"/>
      <c r="EH16" s="842"/>
      <c r="EI16" s="842"/>
      <c r="EJ16" s="842"/>
      <c r="EK16" s="842"/>
      <c r="EL16" s="842"/>
      <c r="EM16" s="842"/>
      <c r="EN16" s="842"/>
      <c r="EO16" s="842"/>
      <c r="EP16" s="842"/>
      <c r="EQ16" s="842"/>
      <c r="ER16" s="842"/>
      <c r="ES16" s="842"/>
      <c r="ET16" s="842"/>
      <c r="EU16" s="842"/>
      <c r="EV16" s="842"/>
      <c r="EW16" s="842"/>
      <c r="EX16" s="842"/>
      <c r="EY16" s="842"/>
      <c r="EZ16" s="842"/>
      <c r="FA16" s="842"/>
      <c r="FB16" s="842"/>
      <c r="FC16" s="842"/>
      <c r="FD16" s="842"/>
      <c r="FE16" s="842"/>
      <c r="FF16" s="842"/>
      <c r="FG16" s="842"/>
      <c r="FH16" s="842"/>
      <c r="FI16" s="842"/>
      <c r="FJ16" s="842"/>
      <c r="FK16" s="842"/>
      <c r="FL16" s="842"/>
      <c r="FM16" s="842"/>
      <c r="FN16" s="842"/>
      <c r="FO16" s="842"/>
      <c r="FP16" s="842"/>
      <c r="FQ16" s="842"/>
      <c r="FR16" s="842"/>
      <c r="FS16" s="842"/>
      <c r="FT16" s="842"/>
      <c r="FU16" s="842"/>
      <c r="FV16" s="842"/>
      <c r="FW16" s="842"/>
      <c r="FX16" s="842"/>
      <c r="FY16" s="842"/>
      <c r="FZ16" s="842"/>
      <c r="GA16" s="842"/>
      <c r="GB16" s="842"/>
      <c r="GC16" s="842"/>
      <c r="GD16" s="842"/>
      <c r="GE16" s="842"/>
      <c r="GF16" s="842"/>
      <c r="GG16" s="842"/>
      <c r="GH16" s="842"/>
      <c r="GI16" s="842"/>
      <c r="GJ16" s="842"/>
      <c r="GK16" s="842"/>
      <c r="GL16" s="842"/>
      <c r="GM16" s="842"/>
      <c r="GN16" s="842"/>
      <c r="GO16" s="842"/>
      <c r="GP16" s="842"/>
      <c r="GQ16" s="842"/>
      <c r="GR16" s="842"/>
      <c r="GS16" s="842"/>
      <c r="GT16" s="842"/>
      <c r="GU16" s="842"/>
      <c r="GV16" s="842"/>
      <c r="GW16" s="842"/>
      <c r="GX16" s="842"/>
      <c r="GY16" s="842"/>
      <c r="GZ16" s="842"/>
      <c r="HA16" s="842"/>
      <c r="HB16" s="842"/>
      <c r="HC16" s="842"/>
      <c r="HD16" s="842"/>
      <c r="HE16" s="842"/>
      <c r="HF16" s="842"/>
      <c r="HG16" s="842"/>
      <c r="HH16" s="842"/>
      <c r="HI16" s="842"/>
      <c r="HJ16" s="842"/>
      <c r="HK16" s="842"/>
      <c r="HL16" s="842"/>
      <c r="HM16" s="842"/>
      <c r="HN16" s="842"/>
      <c r="HO16" s="842"/>
      <c r="HP16" s="842"/>
      <c r="HQ16" s="842"/>
      <c r="HR16" s="842"/>
      <c r="HS16" s="842"/>
      <c r="HT16" s="842"/>
      <c r="HU16" s="842"/>
      <c r="HV16" s="842"/>
      <c r="HW16" s="842"/>
      <c r="HX16" s="842"/>
      <c r="HY16" s="842"/>
      <c r="HZ16" s="842"/>
      <c r="IA16" s="842"/>
      <c r="IB16" s="842"/>
      <c r="IC16" s="842"/>
      <c r="ID16" s="842"/>
      <c r="IE16" s="842"/>
      <c r="IF16" s="842"/>
      <c r="IG16" s="842"/>
      <c r="IH16" s="842"/>
      <c r="II16" s="842"/>
      <c r="IJ16" s="842"/>
      <c r="IK16" s="842"/>
      <c r="IL16" s="842"/>
      <c r="IM16" s="842"/>
      <c r="IN16" s="842"/>
      <c r="IO16" s="842"/>
      <c r="IP16" s="842"/>
      <c r="IQ16" s="842"/>
      <c r="IR16" s="842"/>
      <c r="IS16" s="842"/>
      <c r="IT16" s="842"/>
      <c r="IU16" s="842"/>
      <c r="IV16" s="842"/>
    </row>
    <row r="17" spans="1:256" ht="12.75">
      <c r="A17" s="843"/>
      <c r="B17" s="833" t="s">
        <v>967</v>
      </c>
      <c r="C17" s="893" t="s">
        <v>968</v>
      </c>
      <c r="D17" s="837"/>
      <c r="E17" s="835"/>
      <c r="F17" s="836">
        <v>1538000</v>
      </c>
      <c r="G17" s="837"/>
      <c r="H17" s="838"/>
      <c r="I17" s="838"/>
      <c r="J17" s="835"/>
      <c r="K17" s="836"/>
      <c r="L17" s="839">
        <f>F17+K17</f>
        <v>1538000</v>
      </c>
      <c r="M17" s="840"/>
      <c r="N17" s="841">
        <f>SUM(L17)</f>
        <v>1538000</v>
      </c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2"/>
      <c r="AC17" s="842"/>
      <c r="AD17" s="842"/>
      <c r="AE17" s="842"/>
      <c r="AF17" s="842"/>
      <c r="AG17" s="842"/>
      <c r="AH17" s="842"/>
      <c r="AI17" s="842"/>
      <c r="AJ17" s="842"/>
      <c r="AK17" s="842"/>
      <c r="AL17" s="842"/>
      <c r="AM17" s="842"/>
      <c r="AN17" s="842"/>
      <c r="AO17" s="842"/>
      <c r="AP17" s="842"/>
      <c r="AQ17" s="842"/>
      <c r="AR17" s="842"/>
      <c r="AS17" s="842"/>
      <c r="AT17" s="842"/>
      <c r="AU17" s="842"/>
      <c r="AV17" s="842"/>
      <c r="AW17" s="842"/>
      <c r="AX17" s="842"/>
      <c r="AY17" s="842"/>
      <c r="AZ17" s="842"/>
      <c r="BA17" s="842"/>
      <c r="BB17" s="842"/>
      <c r="BC17" s="842"/>
      <c r="BD17" s="842"/>
      <c r="BE17" s="842"/>
      <c r="BF17" s="842"/>
      <c r="BG17" s="842"/>
      <c r="BH17" s="842"/>
      <c r="BI17" s="842"/>
      <c r="BJ17" s="842"/>
      <c r="BK17" s="842"/>
      <c r="BL17" s="842"/>
      <c r="BM17" s="842"/>
      <c r="BN17" s="842"/>
      <c r="BO17" s="842"/>
      <c r="BP17" s="842"/>
      <c r="BQ17" s="842"/>
      <c r="BR17" s="842"/>
      <c r="BS17" s="842"/>
      <c r="BT17" s="842"/>
      <c r="BU17" s="842"/>
      <c r="BV17" s="842"/>
      <c r="BW17" s="842"/>
      <c r="BX17" s="842"/>
      <c r="BY17" s="842"/>
      <c r="BZ17" s="842"/>
      <c r="CA17" s="842"/>
      <c r="CB17" s="842"/>
      <c r="CC17" s="842"/>
      <c r="CD17" s="842"/>
      <c r="CE17" s="842"/>
      <c r="CF17" s="842"/>
      <c r="CG17" s="842"/>
      <c r="CH17" s="842"/>
      <c r="CI17" s="842"/>
      <c r="CJ17" s="842"/>
      <c r="CK17" s="842"/>
      <c r="CL17" s="842"/>
      <c r="CM17" s="842"/>
      <c r="CN17" s="842"/>
      <c r="CO17" s="842"/>
      <c r="CP17" s="842"/>
      <c r="CQ17" s="842"/>
      <c r="CR17" s="842"/>
      <c r="CS17" s="842"/>
      <c r="CT17" s="842"/>
      <c r="CU17" s="842"/>
      <c r="CV17" s="842"/>
      <c r="CW17" s="842"/>
      <c r="CX17" s="842"/>
      <c r="CY17" s="842"/>
      <c r="CZ17" s="842"/>
      <c r="DA17" s="842"/>
      <c r="DB17" s="842"/>
      <c r="DC17" s="842"/>
      <c r="DD17" s="842"/>
      <c r="DE17" s="842"/>
      <c r="DF17" s="842"/>
      <c r="DG17" s="842"/>
      <c r="DH17" s="842"/>
      <c r="DI17" s="842"/>
      <c r="DJ17" s="842"/>
      <c r="DK17" s="842"/>
      <c r="DL17" s="842"/>
      <c r="DM17" s="842"/>
      <c r="DN17" s="842"/>
      <c r="DO17" s="842"/>
      <c r="DP17" s="842"/>
      <c r="DQ17" s="842"/>
      <c r="DR17" s="842"/>
      <c r="DS17" s="842"/>
      <c r="DT17" s="842"/>
      <c r="DU17" s="842"/>
      <c r="DV17" s="842"/>
      <c r="DW17" s="842"/>
      <c r="DX17" s="842"/>
      <c r="DY17" s="842"/>
      <c r="DZ17" s="842"/>
      <c r="EA17" s="842"/>
      <c r="EB17" s="842"/>
      <c r="EC17" s="842"/>
      <c r="ED17" s="842"/>
      <c r="EE17" s="842"/>
      <c r="EF17" s="842"/>
      <c r="EG17" s="842"/>
      <c r="EH17" s="842"/>
      <c r="EI17" s="842"/>
      <c r="EJ17" s="842"/>
      <c r="EK17" s="842"/>
      <c r="EL17" s="842"/>
      <c r="EM17" s="842"/>
      <c r="EN17" s="842"/>
      <c r="EO17" s="842"/>
      <c r="EP17" s="842"/>
      <c r="EQ17" s="842"/>
      <c r="ER17" s="842"/>
      <c r="ES17" s="842"/>
      <c r="ET17" s="842"/>
      <c r="EU17" s="842"/>
      <c r="EV17" s="842"/>
      <c r="EW17" s="842"/>
      <c r="EX17" s="842"/>
      <c r="EY17" s="842"/>
      <c r="EZ17" s="842"/>
      <c r="FA17" s="842"/>
      <c r="FB17" s="842"/>
      <c r="FC17" s="842"/>
      <c r="FD17" s="842"/>
      <c r="FE17" s="842"/>
      <c r="FF17" s="842"/>
      <c r="FG17" s="842"/>
      <c r="FH17" s="842"/>
      <c r="FI17" s="842"/>
      <c r="FJ17" s="842"/>
      <c r="FK17" s="842"/>
      <c r="FL17" s="842"/>
      <c r="FM17" s="842"/>
      <c r="FN17" s="842"/>
      <c r="FO17" s="842"/>
      <c r="FP17" s="842"/>
      <c r="FQ17" s="842"/>
      <c r="FR17" s="842"/>
      <c r="FS17" s="842"/>
      <c r="FT17" s="842"/>
      <c r="FU17" s="842"/>
      <c r="FV17" s="842"/>
      <c r="FW17" s="842"/>
      <c r="FX17" s="842"/>
      <c r="FY17" s="842"/>
      <c r="FZ17" s="842"/>
      <c r="GA17" s="842"/>
      <c r="GB17" s="842"/>
      <c r="GC17" s="842"/>
      <c r="GD17" s="842"/>
      <c r="GE17" s="842"/>
      <c r="GF17" s="842"/>
      <c r="GG17" s="842"/>
      <c r="GH17" s="842"/>
      <c r="GI17" s="842"/>
      <c r="GJ17" s="842"/>
      <c r="GK17" s="842"/>
      <c r="GL17" s="842"/>
      <c r="GM17" s="842"/>
      <c r="GN17" s="842"/>
      <c r="GO17" s="842"/>
      <c r="GP17" s="842"/>
      <c r="GQ17" s="842"/>
      <c r="GR17" s="842"/>
      <c r="GS17" s="842"/>
      <c r="GT17" s="842"/>
      <c r="GU17" s="842"/>
      <c r="GV17" s="842"/>
      <c r="GW17" s="842"/>
      <c r="GX17" s="842"/>
      <c r="GY17" s="842"/>
      <c r="GZ17" s="842"/>
      <c r="HA17" s="842"/>
      <c r="HB17" s="842"/>
      <c r="HC17" s="842"/>
      <c r="HD17" s="842"/>
      <c r="HE17" s="842"/>
      <c r="HF17" s="842"/>
      <c r="HG17" s="842"/>
      <c r="HH17" s="842"/>
      <c r="HI17" s="842"/>
      <c r="HJ17" s="842"/>
      <c r="HK17" s="842"/>
      <c r="HL17" s="842"/>
      <c r="HM17" s="842"/>
      <c r="HN17" s="842"/>
      <c r="HO17" s="842"/>
      <c r="HP17" s="842"/>
      <c r="HQ17" s="842"/>
      <c r="HR17" s="842"/>
      <c r="HS17" s="842"/>
      <c r="HT17" s="842"/>
      <c r="HU17" s="842"/>
      <c r="HV17" s="842"/>
      <c r="HW17" s="842"/>
      <c r="HX17" s="842"/>
      <c r="HY17" s="842"/>
      <c r="HZ17" s="842"/>
      <c r="IA17" s="842"/>
      <c r="IB17" s="842"/>
      <c r="IC17" s="842"/>
      <c r="ID17" s="842"/>
      <c r="IE17" s="842"/>
      <c r="IF17" s="842"/>
      <c r="IG17" s="842"/>
      <c r="IH17" s="842"/>
      <c r="II17" s="842"/>
      <c r="IJ17" s="842"/>
      <c r="IK17" s="842"/>
      <c r="IL17" s="842"/>
      <c r="IM17" s="842"/>
      <c r="IN17" s="842"/>
      <c r="IO17" s="842"/>
      <c r="IP17" s="842"/>
      <c r="IQ17" s="842"/>
      <c r="IR17" s="842"/>
      <c r="IS17" s="842"/>
      <c r="IT17" s="842"/>
      <c r="IU17" s="842"/>
      <c r="IV17" s="842"/>
    </row>
    <row r="18" spans="1:256" ht="25.5">
      <c r="A18" s="832" t="s">
        <v>969</v>
      </c>
      <c r="B18" s="833" t="s">
        <v>970</v>
      </c>
      <c r="C18" s="891" t="s">
        <v>971</v>
      </c>
      <c r="D18" s="852"/>
      <c r="E18" s="853"/>
      <c r="F18" s="836">
        <f>383873+42300-8512</f>
        <v>417661</v>
      </c>
      <c r="G18" s="854"/>
      <c r="H18" s="838"/>
      <c r="I18" s="855"/>
      <c r="J18" s="835"/>
      <c r="K18" s="836"/>
      <c r="L18" s="839">
        <f>F18+K18</f>
        <v>417661</v>
      </c>
      <c r="M18" s="840"/>
      <c r="N18" s="841">
        <f>SUM(L18)</f>
        <v>417661</v>
      </c>
      <c r="O18" s="842"/>
      <c r="P18" s="842"/>
      <c r="Q18" s="842"/>
      <c r="R18" s="842"/>
      <c r="S18" s="842"/>
      <c r="T18" s="842"/>
      <c r="U18" s="842"/>
      <c r="V18" s="842"/>
      <c r="W18" s="842"/>
      <c r="X18" s="842"/>
      <c r="Y18" s="842"/>
      <c r="Z18" s="842"/>
      <c r="AA18" s="842"/>
      <c r="AB18" s="842"/>
      <c r="AC18" s="842"/>
      <c r="AD18" s="842"/>
      <c r="AE18" s="842"/>
      <c r="AF18" s="842"/>
      <c r="AG18" s="842"/>
      <c r="AH18" s="842"/>
      <c r="AI18" s="842"/>
      <c r="AJ18" s="842"/>
      <c r="AK18" s="842"/>
      <c r="AL18" s="842"/>
      <c r="AM18" s="842"/>
      <c r="AN18" s="842"/>
      <c r="AO18" s="842"/>
      <c r="AP18" s="842"/>
      <c r="AQ18" s="842"/>
      <c r="AR18" s="842"/>
      <c r="AS18" s="842"/>
      <c r="AT18" s="842"/>
      <c r="AU18" s="842"/>
      <c r="AV18" s="842"/>
      <c r="AW18" s="842"/>
      <c r="AX18" s="842"/>
      <c r="AY18" s="842"/>
      <c r="AZ18" s="842"/>
      <c r="BA18" s="842"/>
      <c r="BB18" s="842"/>
      <c r="BC18" s="842"/>
      <c r="BD18" s="842"/>
      <c r="BE18" s="842"/>
      <c r="BF18" s="842"/>
      <c r="BG18" s="842"/>
      <c r="BH18" s="842"/>
      <c r="BI18" s="842"/>
      <c r="BJ18" s="842"/>
      <c r="BK18" s="842"/>
      <c r="BL18" s="842"/>
      <c r="BM18" s="842"/>
      <c r="BN18" s="842"/>
      <c r="BO18" s="842"/>
      <c r="BP18" s="842"/>
      <c r="BQ18" s="842"/>
      <c r="BR18" s="842"/>
      <c r="BS18" s="842"/>
      <c r="BT18" s="842"/>
      <c r="BU18" s="842"/>
      <c r="BV18" s="842"/>
      <c r="BW18" s="842"/>
      <c r="BX18" s="842"/>
      <c r="BY18" s="842"/>
      <c r="BZ18" s="842"/>
      <c r="CA18" s="842"/>
      <c r="CB18" s="842"/>
      <c r="CC18" s="842"/>
      <c r="CD18" s="842"/>
      <c r="CE18" s="842"/>
      <c r="CF18" s="842"/>
      <c r="CG18" s="842"/>
      <c r="CH18" s="842"/>
      <c r="CI18" s="842"/>
      <c r="CJ18" s="842"/>
      <c r="CK18" s="842"/>
      <c r="CL18" s="842"/>
      <c r="CM18" s="842"/>
      <c r="CN18" s="842"/>
      <c r="CO18" s="842"/>
      <c r="CP18" s="842"/>
      <c r="CQ18" s="842"/>
      <c r="CR18" s="842"/>
      <c r="CS18" s="842"/>
      <c r="CT18" s="842"/>
      <c r="CU18" s="842"/>
      <c r="CV18" s="842"/>
      <c r="CW18" s="842"/>
      <c r="CX18" s="842"/>
      <c r="CY18" s="842"/>
      <c r="CZ18" s="842"/>
      <c r="DA18" s="842"/>
      <c r="DB18" s="842"/>
      <c r="DC18" s="842"/>
      <c r="DD18" s="842"/>
      <c r="DE18" s="842"/>
      <c r="DF18" s="842"/>
      <c r="DG18" s="842"/>
      <c r="DH18" s="842"/>
      <c r="DI18" s="842"/>
      <c r="DJ18" s="842"/>
      <c r="DK18" s="842"/>
      <c r="DL18" s="842"/>
      <c r="DM18" s="842"/>
      <c r="DN18" s="842"/>
      <c r="DO18" s="842"/>
      <c r="DP18" s="842"/>
      <c r="DQ18" s="842"/>
      <c r="DR18" s="842"/>
      <c r="DS18" s="842"/>
      <c r="DT18" s="842"/>
      <c r="DU18" s="842"/>
      <c r="DV18" s="842"/>
      <c r="DW18" s="842"/>
      <c r="DX18" s="842"/>
      <c r="DY18" s="842"/>
      <c r="DZ18" s="842"/>
      <c r="EA18" s="842"/>
      <c r="EB18" s="842"/>
      <c r="EC18" s="842"/>
      <c r="ED18" s="842"/>
      <c r="EE18" s="842"/>
      <c r="EF18" s="842"/>
      <c r="EG18" s="842"/>
      <c r="EH18" s="842"/>
      <c r="EI18" s="842"/>
      <c r="EJ18" s="842"/>
      <c r="EK18" s="842"/>
      <c r="EL18" s="842"/>
      <c r="EM18" s="842"/>
      <c r="EN18" s="842"/>
      <c r="EO18" s="842"/>
      <c r="EP18" s="842"/>
      <c r="EQ18" s="842"/>
      <c r="ER18" s="842"/>
      <c r="ES18" s="842"/>
      <c r="ET18" s="842"/>
      <c r="EU18" s="842"/>
      <c r="EV18" s="842"/>
      <c r="EW18" s="842"/>
      <c r="EX18" s="842"/>
      <c r="EY18" s="842"/>
      <c r="EZ18" s="842"/>
      <c r="FA18" s="842"/>
      <c r="FB18" s="842"/>
      <c r="FC18" s="842"/>
      <c r="FD18" s="842"/>
      <c r="FE18" s="842"/>
      <c r="FF18" s="842"/>
      <c r="FG18" s="842"/>
      <c r="FH18" s="842"/>
      <c r="FI18" s="842"/>
      <c r="FJ18" s="842"/>
      <c r="FK18" s="842"/>
      <c r="FL18" s="842"/>
      <c r="FM18" s="842"/>
      <c r="FN18" s="842"/>
      <c r="FO18" s="842"/>
      <c r="FP18" s="842"/>
      <c r="FQ18" s="842"/>
      <c r="FR18" s="842"/>
      <c r="FS18" s="842"/>
      <c r="FT18" s="842"/>
      <c r="FU18" s="842"/>
      <c r="FV18" s="842"/>
      <c r="FW18" s="842"/>
      <c r="FX18" s="842"/>
      <c r="FY18" s="842"/>
      <c r="FZ18" s="842"/>
      <c r="GA18" s="842"/>
      <c r="GB18" s="842"/>
      <c r="GC18" s="842"/>
      <c r="GD18" s="842"/>
      <c r="GE18" s="842"/>
      <c r="GF18" s="842"/>
      <c r="GG18" s="842"/>
      <c r="GH18" s="842"/>
      <c r="GI18" s="842"/>
      <c r="GJ18" s="842"/>
      <c r="GK18" s="842"/>
      <c r="GL18" s="842"/>
      <c r="GM18" s="842"/>
      <c r="GN18" s="842"/>
      <c r="GO18" s="842"/>
      <c r="GP18" s="842"/>
      <c r="GQ18" s="842"/>
      <c r="GR18" s="842"/>
      <c r="GS18" s="842"/>
      <c r="GT18" s="842"/>
      <c r="GU18" s="842"/>
      <c r="GV18" s="842"/>
      <c r="GW18" s="842"/>
      <c r="GX18" s="842"/>
      <c r="GY18" s="842"/>
      <c r="GZ18" s="842"/>
      <c r="HA18" s="842"/>
      <c r="HB18" s="842"/>
      <c r="HC18" s="842"/>
      <c r="HD18" s="842"/>
      <c r="HE18" s="842"/>
      <c r="HF18" s="842"/>
      <c r="HG18" s="842"/>
      <c r="HH18" s="842"/>
      <c r="HI18" s="842"/>
      <c r="HJ18" s="842"/>
      <c r="HK18" s="842"/>
      <c r="HL18" s="842"/>
      <c r="HM18" s="842"/>
      <c r="HN18" s="842"/>
      <c r="HO18" s="842"/>
      <c r="HP18" s="842"/>
      <c r="HQ18" s="842"/>
      <c r="HR18" s="842"/>
      <c r="HS18" s="842"/>
      <c r="HT18" s="842"/>
      <c r="HU18" s="842"/>
      <c r="HV18" s="842"/>
      <c r="HW18" s="842"/>
      <c r="HX18" s="842"/>
      <c r="HY18" s="842"/>
      <c r="HZ18" s="842"/>
      <c r="IA18" s="842"/>
      <c r="IB18" s="842"/>
      <c r="IC18" s="842"/>
      <c r="ID18" s="842"/>
      <c r="IE18" s="842"/>
      <c r="IF18" s="842"/>
      <c r="IG18" s="842"/>
      <c r="IH18" s="842"/>
      <c r="II18" s="842"/>
      <c r="IJ18" s="842"/>
      <c r="IK18" s="842"/>
      <c r="IL18" s="842"/>
      <c r="IM18" s="842"/>
      <c r="IN18" s="842"/>
      <c r="IO18" s="842"/>
      <c r="IP18" s="842"/>
      <c r="IQ18" s="842"/>
      <c r="IR18" s="842"/>
      <c r="IS18" s="842"/>
      <c r="IT18" s="842"/>
      <c r="IU18" s="842"/>
      <c r="IV18" s="842"/>
    </row>
    <row r="19" spans="1:14" ht="25.5">
      <c r="A19" s="889"/>
      <c r="B19" s="856"/>
      <c r="C19" s="890" t="s">
        <v>972</v>
      </c>
      <c r="D19" s="857"/>
      <c r="E19" s="858"/>
      <c r="F19" s="826"/>
      <c r="G19" s="857"/>
      <c r="H19" s="859"/>
      <c r="I19" s="859"/>
      <c r="J19" s="858"/>
      <c r="K19" s="826">
        <f>K20+K23+K24</f>
        <v>129564505</v>
      </c>
      <c r="L19" s="828">
        <f>F19+K19</f>
        <v>129564505</v>
      </c>
      <c r="M19" s="851"/>
      <c r="N19" s="860">
        <f>SUM(N23:N24,+N20)</f>
        <v>129564505</v>
      </c>
    </row>
    <row r="20" spans="1:256" ht="25.5">
      <c r="A20" s="832" t="s">
        <v>973</v>
      </c>
      <c r="B20" s="833" t="s">
        <v>974</v>
      </c>
      <c r="C20" s="891" t="s">
        <v>975</v>
      </c>
      <c r="D20" s="837"/>
      <c r="E20" s="835"/>
      <c r="F20" s="836"/>
      <c r="G20" s="837"/>
      <c r="H20" s="838"/>
      <c r="I20" s="838"/>
      <c r="J20" s="835"/>
      <c r="K20" s="836">
        <f>SUM(K21:K22)</f>
        <v>103316800</v>
      </c>
      <c r="L20" s="839">
        <f>SUM(K20,F20)</f>
        <v>103316800</v>
      </c>
      <c r="M20" s="840"/>
      <c r="N20" s="841">
        <f>SUM(L21:L22)</f>
        <v>103316800</v>
      </c>
      <c r="O20" s="842"/>
      <c r="P20" s="842"/>
      <c r="Q20" s="842"/>
      <c r="R20" s="842"/>
      <c r="S20" s="842"/>
      <c r="T20" s="842"/>
      <c r="U20" s="842"/>
      <c r="V20" s="842"/>
      <c r="W20" s="842"/>
      <c r="X20" s="842"/>
      <c r="Y20" s="842"/>
      <c r="Z20" s="842"/>
      <c r="AA20" s="842"/>
      <c r="AB20" s="842"/>
      <c r="AC20" s="842"/>
      <c r="AD20" s="842"/>
      <c r="AE20" s="842"/>
      <c r="AF20" s="842"/>
      <c r="AG20" s="842"/>
      <c r="AH20" s="842"/>
      <c r="AI20" s="842"/>
      <c r="AJ20" s="842"/>
      <c r="AK20" s="842"/>
      <c r="AL20" s="842"/>
      <c r="AM20" s="842"/>
      <c r="AN20" s="842"/>
      <c r="AO20" s="842"/>
      <c r="AP20" s="842"/>
      <c r="AQ20" s="842"/>
      <c r="AR20" s="842"/>
      <c r="AS20" s="842"/>
      <c r="AT20" s="842"/>
      <c r="AU20" s="842"/>
      <c r="AV20" s="842"/>
      <c r="AW20" s="842"/>
      <c r="AX20" s="842"/>
      <c r="AY20" s="842"/>
      <c r="AZ20" s="842"/>
      <c r="BA20" s="842"/>
      <c r="BB20" s="842"/>
      <c r="BC20" s="842"/>
      <c r="BD20" s="842"/>
      <c r="BE20" s="842"/>
      <c r="BF20" s="842"/>
      <c r="BG20" s="842"/>
      <c r="BH20" s="842"/>
      <c r="BI20" s="842"/>
      <c r="BJ20" s="842"/>
      <c r="BK20" s="842"/>
      <c r="BL20" s="842"/>
      <c r="BM20" s="842"/>
      <c r="BN20" s="842"/>
      <c r="BO20" s="842"/>
      <c r="BP20" s="842"/>
      <c r="BQ20" s="842"/>
      <c r="BR20" s="842"/>
      <c r="BS20" s="842"/>
      <c r="BT20" s="842"/>
      <c r="BU20" s="842"/>
      <c r="BV20" s="842"/>
      <c r="BW20" s="842"/>
      <c r="BX20" s="842"/>
      <c r="BY20" s="842"/>
      <c r="BZ20" s="842"/>
      <c r="CA20" s="842"/>
      <c r="CB20" s="842"/>
      <c r="CC20" s="842"/>
      <c r="CD20" s="842"/>
      <c r="CE20" s="842"/>
      <c r="CF20" s="842"/>
      <c r="CG20" s="842"/>
      <c r="CH20" s="842"/>
      <c r="CI20" s="842"/>
      <c r="CJ20" s="842"/>
      <c r="CK20" s="842"/>
      <c r="CL20" s="842"/>
      <c r="CM20" s="842"/>
      <c r="CN20" s="842"/>
      <c r="CO20" s="842"/>
      <c r="CP20" s="842"/>
      <c r="CQ20" s="842"/>
      <c r="CR20" s="842"/>
      <c r="CS20" s="842"/>
      <c r="CT20" s="842"/>
      <c r="CU20" s="842"/>
      <c r="CV20" s="842"/>
      <c r="CW20" s="842"/>
      <c r="CX20" s="842"/>
      <c r="CY20" s="842"/>
      <c r="CZ20" s="842"/>
      <c r="DA20" s="842"/>
      <c r="DB20" s="842"/>
      <c r="DC20" s="842"/>
      <c r="DD20" s="842"/>
      <c r="DE20" s="842"/>
      <c r="DF20" s="842"/>
      <c r="DG20" s="842"/>
      <c r="DH20" s="842"/>
      <c r="DI20" s="842"/>
      <c r="DJ20" s="842"/>
      <c r="DK20" s="842"/>
      <c r="DL20" s="842"/>
      <c r="DM20" s="842"/>
      <c r="DN20" s="842"/>
      <c r="DO20" s="842"/>
      <c r="DP20" s="842"/>
      <c r="DQ20" s="842"/>
      <c r="DR20" s="842"/>
      <c r="DS20" s="842"/>
      <c r="DT20" s="842"/>
      <c r="DU20" s="842"/>
      <c r="DV20" s="842"/>
      <c r="DW20" s="842"/>
      <c r="DX20" s="842"/>
      <c r="DY20" s="842"/>
      <c r="DZ20" s="842"/>
      <c r="EA20" s="842"/>
      <c r="EB20" s="842"/>
      <c r="EC20" s="842"/>
      <c r="ED20" s="842"/>
      <c r="EE20" s="842"/>
      <c r="EF20" s="842"/>
      <c r="EG20" s="842"/>
      <c r="EH20" s="842"/>
      <c r="EI20" s="842"/>
      <c r="EJ20" s="842"/>
      <c r="EK20" s="842"/>
      <c r="EL20" s="842"/>
      <c r="EM20" s="842"/>
      <c r="EN20" s="842"/>
      <c r="EO20" s="842"/>
      <c r="EP20" s="842"/>
      <c r="EQ20" s="842"/>
      <c r="ER20" s="842"/>
      <c r="ES20" s="842"/>
      <c r="ET20" s="842"/>
      <c r="EU20" s="842"/>
      <c r="EV20" s="842"/>
      <c r="EW20" s="842"/>
      <c r="EX20" s="842"/>
      <c r="EY20" s="842"/>
      <c r="EZ20" s="842"/>
      <c r="FA20" s="842"/>
      <c r="FB20" s="842"/>
      <c r="FC20" s="842"/>
      <c r="FD20" s="842"/>
      <c r="FE20" s="842"/>
      <c r="FF20" s="842"/>
      <c r="FG20" s="842"/>
      <c r="FH20" s="842"/>
      <c r="FI20" s="842"/>
      <c r="FJ20" s="842"/>
      <c r="FK20" s="842"/>
      <c r="FL20" s="842"/>
      <c r="FM20" s="842"/>
      <c r="FN20" s="842"/>
      <c r="FO20" s="842"/>
      <c r="FP20" s="842"/>
      <c r="FQ20" s="842"/>
      <c r="FR20" s="842"/>
      <c r="FS20" s="842"/>
      <c r="FT20" s="842"/>
      <c r="FU20" s="842"/>
      <c r="FV20" s="842"/>
      <c r="FW20" s="842"/>
      <c r="FX20" s="842"/>
      <c r="FY20" s="842"/>
      <c r="FZ20" s="842"/>
      <c r="GA20" s="842"/>
      <c r="GB20" s="842"/>
      <c r="GC20" s="842"/>
      <c r="GD20" s="842"/>
      <c r="GE20" s="842"/>
      <c r="GF20" s="842"/>
      <c r="GG20" s="842"/>
      <c r="GH20" s="842"/>
      <c r="GI20" s="842"/>
      <c r="GJ20" s="842"/>
      <c r="GK20" s="842"/>
      <c r="GL20" s="842"/>
      <c r="GM20" s="842"/>
      <c r="GN20" s="842"/>
      <c r="GO20" s="842"/>
      <c r="GP20" s="842"/>
      <c r="GQ20" s="842"/>
      <c r="GR20" s="842"/>
      <c r="GS20" s="842"/>
      <c r="GT20" s="842"/>
      <c r="GU20" s="842"/>
      <c r="GV20" s="842"/>
      <c r="GW20" s="842"/>
      <c r="GX20" s="842"/>
      <c r="GY20" s="842"/>
      <c r="GZ20" s="842"/>
      <c r="HA20" s="842"/>
      <c r="HB20" s="842"/>
      <c r="HC20" s="842"/>
      <c r="HD20" s="842"/>
      <c r="HE20" s="842"/>
      <c r="HF20" s="842"/>
      <c r="HG20" s="842"/>
      <c r="HH20" s="842"/>
      <c r="HI20" s="842"/>
      <c r="HJ20" s="842"/>
      <c r="HK20" s="842"/>
      <c r="HL20" s="842"/>
      <c r="HM20" s="842"/>
      <c r="HN20" s="842"/>
      <c r="HO20" s="842"/>
      <c r="HP20" s="842"/>
      <c r="HQ20" s="842"/>
      <c r="HR20" s="842"/>
      <c r="HS20" s="842"/>
      <c r="HT20" s="842"/>
      <c r="HU20" s="842"/>
      <c r="HV20" s="842"/>
      <c r="HW20" s="842"/>
      <c r="HX20" s="842"/>
      <c r="HY20" s="842"/>
      <c r="HZ20" s="842"/>
      <c r="IA20" s="842"/>
      <c r="IB20" s="842"/>
      <c r="IC20" s="842"/>
      <c r="ID20" s="842"/>
      <c r="IE20" s="842"/>
      <c r="IF20" s="842"/>
      <c r="IG20" s="842"/>
      <c r="IH20" s="842"/>
      <c r="II20" s="842"/>
      <c r="IJ20" s="842"/>
      <c r="IK20" s="842"/>
      <c r="IL20" s="842"/>
      <c r="IM20" s="842"/>
      <c r="IN20" s="842"/>
      <c r="IO20" s="842"/>
      <c r="IP20" s="842"/>
      <c r="IQ20" s="842"/>
      <c r="IR20" s="842"/>
      <c r="IS20" s="842"/>
      <c r="IT20" s="842"/>
      <c r="IU20" s="842"/>
      <c r="IV20" s="842"/>
    </row>
    <row r="21" spans="1:14" ht="12.75">
      <c r="A21" s="844"/>
      <c r="B21" s="845" t="s">
        <v>976</v>
      </c>
      <c r="C21" s="892" t="s">
        <v>977</v>
      </c>
      <c r="D21" s="846"/>
      <c r="E21" s="847"/>
      <c r="F21" s="848"/>
      <c r="G21" s="861">
        <v>15.6</v>
      </c>
      <c r="H21" s="849">
        <v>4371500</v>
      </c>
      <c r="I21" s="862">
        <v>15.6</v>
      </c>
      <c r="J21" s="849">
        <v>4371500</v>
      </c>
      <c r="K21" s="848">
        <f>(G21*H21/12*8)+(I21*J21/12*4)+3221400</f>
        <v>71416800</v>
      </c>
      <c r="L21" s="850">
        <f>F21+K21</f>
        <v>71416800</v>
      </c>
      <c r="M21" s="851"/>
      <c r="N21" s="841"/>
    </row>
    <row r="22" spans="1:14" ht="25.5">
      <c r="A22" s="844"/>
      <c r="B22" s="845" t="s">
        <v>978</v>
      </c>
      <c r="C22" s="894" t="s">
        <v>979</v>
      </c>
      <c r="D22" s="846"/>
      <c r="E22" s="847"/>
      <c r="F22" s="848"/>
      <c r="G22" s="846">
        <v>11</v>
      </c>
      <c r="H22" s="849">
        <v>2400000</v>
      </c>
      <c r="I22" s="849">
        <v>11</v>
      </c>
      <c r="J22" s="847">
        <v>2400000</v>
      </c>
      <c r="K22" s="848">
        <f>(G22*H22/12*8)+(I22*J22/12*4)+5500000</f>
        <v>31900000</v>
      </c>
      <c r="L22" s="850">
        <f>F22+K22</f>
        <v>31900000</v>
      </c>
      <c r="M22" s="851"/>
      <c r="N22" s="841"/>
    </row>
    <row r="23" spans="1:256" ht="12.75">
      <c r="A23" s="843"/>
      <c r="B23" s="833" t="s">
        <v>980</v>
      </c>
      <c r="C23" s="893" t="s">
        <v>424</v>
      </c>
      <c r="D23" s="852"/>
      <c r="E23" s="853"/>
      <c r="F23" s="836"/>
      <c r="G23" s="854">
        <v>179.7</v>
      </c>
      <c r="H23" s="838">
        <v>97400</v>
      </c>
      <c r="I23" s="855">
        <v>179.7</v>
      </c>
      <c r="J23" s="835">
        <v>97400</v>
      </c>
      <c r="K23" s="836">
        <f>(G23*H23/12*8)+(I23*J23/12*4)</f>
        <v>17502780</v>
      </c>
      <c r="L23" s="839">
        <f>F23+K23</f>
        <v>17502780</v>
      </c>
      <c r="M23" s="840"/>
      <c r="N23" s="841">
        <f>SUM(L23)</f>
        <v>17502780</v>
      </c>
      <c r="O23" s="842"/>
      <c r="P23" s="842"/>
      <c r="Q23" s="842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42"/>
      <c r="AC23" s="842"/>
      <c r="AD23" s="842"/>
      <c r="AE23" s="842"/>
      <c r="AF23" s="842"/>
      <c r="AG23" s="842"/>
      <c r="AH23" s="842"/>
      <c r="AI23" s="842"/>
      <c r="AJ23" s="842"/>
      <c r="AK23" s="842"/>
      <c r="AL23" s="842"/>
      <c r="AM23" s="842"/>
      <c r="AN23" s="842"/>
      <c r="AO23" s="842"/>
      <c r="AP23" s="842"/>
      <c r="AQ23" s="842"/>
      <c r="AR23" s="842"/>
      <c r="AS23" s="842"/>
      <c r="AT23" s="842"/>
      <c r="AU23" s="842"/>
      <c r="AV23" s="842"/>
      <c r="AW23" s="842"/>
      <c r="AX23" s="842"/>
      <c r="AY23" s="842"/>
      <c r="AZ23" s="842"/>
      <c r="BA23" s="842"/>
      <c r="BB23" s="842"/>
      <c r="BC23" s="842"/>
      <c r="BD23" s="842"/>
      <c r="BE23" s="842"/>
      <c r="BF23" s="842"/>
      <c r="BG23" s="842"/>
      <c r="BH23" s="842"/>
      <c r="BI23" s="842"/>
      <c r="BJ23" s="842"/>
      <c r="BK23" s="842"/>
      <c r="BL23" s="842"/>
      <c r="BM23" s="842"/>
      <c r="BN23" s="842"/>
      <c r="BO23" s="842"/>
      <c r="BP23" s="842"/>
      <c r="BQ23" s="842"/>
      <c r="BR23" s="842"/>
      <c r="BS23" s="842"/>
      <c r="BT23" s="842"/>
      <c r="BU23" s="842"/>
      <c r="BV23" s="842"/>
      <c r="BW23" s="842"/>
      <c r="BX23" s="842"/>
      <c r="BY23" s="842"/>
      <c r="BZ23" s="842"/>
      <c r="CA23" s="842"/>
      <c r="CB23" s="842"/>
      <c r="CC23" s="842"/>
      <c r="CD23" s="842"/>
      <c r="CE23" s="842"/>
      <c r="CF23" s="842"/>
      <c r="CG23" s="842"/>
      <c r="CH23" s="842"/>
      <c r="CI23" s="842"/>
      <c r="CJ23" s="842"/>
      <c r="CK23" s="842"/>
      <c r="CL23" s="842"/>
      <c r="CM23" s="842"/>
      <c r="CN23" s="842"/>
      <c r="CO23" s="842"/>
      <c r="CP23" s="842"/>
      <c r="CQ23" s="842"/>
      <c r="CR23" s="842"/>
      <c r="CS23" s="842"/>
      <c r="CT23" s="842"/>
      <c r="CU23" s="842"/>
      <c r="CV23" s="842"/>
      <c r="CW23" s="842"/>
      <c r="CX23" s="842"/>
      <c r="CY23" s="842"/>
      <c r="CZ23" s="842"/>
      <c r="DA23" s="842"/>
      <c r="DB23" s="842"/>
      <c r="DC23" s="842"/>
      <c r="DD23" s="842"/>
      <c r="DE23" s="842"/>
      <c r="DF23" s="842"/>
      <c r="DG23" s="842"/>
      <c r="DH23" s="842"/>
      <c r="DI23" s="842"/>
      <c r="DJ23" s="842"/>
      <c r="DK23" s="842"/>
      <c r="DL23" s="842"/>
      <c r="DM23" s="842"/>
      <c r="DN23" s="842"/>
      <c r="DO23" s="842"/>
      <c r="DP23" s="842"/>
      <c r="DQ23" s="842"/>
      <c r="DR23" s="842"/>
      <c r="DS23" s="842"/>
      <c r="DT23" s="842"/>
      <c r="DU23" s="842"/>
      <c r="DV23" s="842"/>
      <c r="DW23" s="842"/>
      <c r="DX23" s="842"/>
      <c r="DY23" s="842"/>
      <c r="DZ23" s="842"/>
      <c r="EA23" s="842"/>
      <c r="EB23" s="842"/>
      <c r="EC23" s="842"/>
      <c r="ED23" s="842"/>
      <c r="EE23" s="842"/>
      <c r="EF23" s="842"/>
      <c r="EG23" s="842"/>
      <c r="EH23" s="842"/>
      <c r="EI23" s="842"/>
      <c r="EJ23" s="842"/>
      <c r="EK23" s="842"/>
      <c r="EL23" s="842"/>
      <c r="EM23" s="842"/>
      <c r="EN23" s="842"/>
      <c r="EO23" s="842"/>
      <c r="EP23" s="842"/>
      <c r="EQ23" s="842"/>
      <c r="ER23" s="842"/>
      <c r="ES23" s="842"/>
      <c r="ET23" s="842"/>
      <c r="EU23" s="842"/>
      <c r="EV23" s="842"/>
      <c r="EW23" s="842"/>
      <c r="EX23" s="842"/>
      <c r="EY23" s="842"/>
      <c r="EZ23" s="842"/>
      <c r="FA23" s="842"/>
      <c r="FB23" s="842"/>
      <c r="FC23" s="842"/>
      <c r="FD23" s="842"/>
      <c r="FE23" s="842"/>
      <c r="FF23" s="842"/>
      <c r="FG23" s="842"/>
      <c r="FH23" s="842"/>
      <c r="FI23" s="842"/>
      <c r="FJ23" s="842"/>
      <c r="FK23" s="842"/>
      <c r="FL23" s="842"/>
      <c r="FM23" s="842"/>
      <c r="FN23" s="842"/>
      <c r="FO23" s="842"/>
      <c r="FP23" s="842"/>
      <c r="FQ23" s="842"/>
      <c r="FR23" s="842"/>
      <c r="FS23" s="842"/>
      <c r="FT23" s="842"/>
      <c r="FU23" s="842"/>
      <c r="FV23" s="842"/>
      <c r="FW23" s="842"/>
      <c r="FX23" s="842"/>
      <c r="FY23" s="842"/>
      <c r="FZ23" s="842"/>
      <c r="GA23" s="842"/>
      <c r="GB23" s="842"/>
      <c r="GC23" s="842"/>
      <c r="GD23" s="842"/>
      <c r="GE23" s="842"/>
      <c r="GF23" s="842"/>
      <c r="GG23" s="842"/>
      <c r="GH23" s="842"/>
      <c r="GI23" s="842"/>
      <c r="GJ23" s="842"/>
      <c r="GK23" s="842"/>
      <c r="GL23" s="842"/>
      <c r="GM23" s="842"/>
      <c r="GN23" s="842"/>
      <c r="GO23" s="842"/>
      <c r="GP23" s="842"/>
      <c r="GQ23" s="842"/>
      <c r="GR23" s="842"/>
      <c r="GS23" s="842"/>
      <c r="GT23" s="842"/>
      <c r="GU23" s="842"/>
      <c r="GV23" s="842"/>
      <c r="GW23" s="842"/>
      <c r="GX23" s="842"/>
      <c r="GY23" s="842"/>
      <c r="GZ23" s="842"/>
      <c r="HA23" s="842"/>
      <c r="HB23" s="842"/>
      <c r="HC23" s="842"/>
      <c r="HD23" s="842"/>
      <c r="HE23" s="842"/>
      <c r="HF23" s="842"/>
      <c r="HG23" s="842"/>
      <c r="HH23" s="842"/>
      <c r="HI23" s="842"/>
      <c r="HJ23" s="842"/>
      <c r="HK23" s="842"/>
      <c r="HL23" s="842"/>
      <c r="HM23" s="842"/>
      <c r="HN23" s="842"/>
      <c r="HO23" s="842"/>
      <c r="HP23" s="842"/>
      <c r="HQ23" s="842"/>
      <c r="HR23" s="842"/>
      <c r="HS23" s="842"/>
      <c r="HT23" s="842"/>
      <c r="HU23" s="842"/>
      <c r="HV23" s="842"/>
      <c r="HW23" s="842"/>
      <c r="HX23" s="842"/>
      <c r="HY23" s="842"/>
      <c r="HZ23" s="842"/>
      <c r="IA23" s="842"/>
      <c r="IB23" s="842"/>
      <c r="IC23" s="842"/>
      <c r="ID23" s="842"/>
      <c r="IE23" s="842"/>
      <c r="IF23" s="842"/>
      <c r="IG23" s="842"/>
      <c r="IH23" s="842"/>
      <c r="II23" s="842"/>
      <c r="IJ23" s="842"/>
      <c r="IK23" s="842"/>
      <c r="IL23" s="842"/>
      <c r="IM23" s="842"/>
      <c r="IN23" s="842"/>
      <c r="IO23" s="842"/>
      <c r="IP23" s="842"/>
      <c r="IQ23" s="842"/>
      <c r="IR23" s="842"/>
      <c r="IS23" s="842"/>
      <c r="IT23" s="842"/>
      <c r="IU23" s="842"/>
      <c r="IV23" s="842"/>
    </row>
    <row r="24" spans="1:256" ht="25.5">
      <c r="A24" s="843"/>
      <c r="B24" s="833" t="s">
        <v>981</v>
      </c>
      <c r="C24" s="891" t="s">
        <v>460</v>
      </c>
      <c r="D24" s="852"/>
      <c r="E24" s="853"/>
      <c r="F24" s="836"/>
      <c r="G24" s="854"/>
      <c r="H24" s="838"/>
      <c r="I24" s="855"/>
      <c r="J24" s="835"/>
      <c r="K24" s="836">
        <f>SUM(K25:K28)</f>
        <v>8744925</v>
      </c>
      <c r="L24" s="839">
        <f>F24+K24</f>
        <v>8744925</v>
      </c>
      <c r="M24" s="840"/>
      <c r="N24" s="841">
        <f>SUM(L25:L28)</f>
        <v>8744925</v>
      </c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  <c r="Z24" s="842"/>
      <c r="AA24" s="842"/>
      <c r="AB24" s="842"/>
      <c r="AC24" s="842"/>
      <c r="AD24" s="842"/>
      <c r="AE24" s="842"/>
      <c r="AF24" s="842"/>
      <c r="AG24" s="842"/>
      <c r="AH24" s="842"/>
      <c r="AI24" s="842"/>
      <c r="AJ24" s="842"/>
      <c r="AK24" s="842"/>
      <c r="AL24" s="842"/>
      <c r="AM24" s="842"/>
      <c r="AN24" s="842"/>
      <c r="AO24" s="842"/>
      <c r="AP24" s="842"/>
      <c r="AQ24" s="842"/>
      <c r="AR24" s="842"/>
      <c r="AS24" s="842"/>
      <c r="AT24" s="842"/>
      <c r="AU24" s="842"/>
      <c r="AV24" s="842"/>
      <c r="AW24" s="842"/>
      <c r="AX24" s="842"/>
      <c r="AY24" s="842"/>
      <c r="AZ24" s="842"/>
      <c r="BA24" s="842"/>
      <c r="BB24" s="842"/>
      <c r="BC24" s="842"/>
      <c r="BD24" s="842"/>
      <c r="BE24" s="842"/>
      <c r="BF24" s="842"/>
      <c r="BG24" s="842"/>
      <c r="BH24" s="842"/>
      <c r="BI24" s="842"/>
      <c r="BJ24" s="842"/>
      <c r="BK24" s="842"/>
      <c r="BL24" s="842"/>
      <c r="BM24" s="842"/>
      <c r="BN24" s="842"/>
      <c r="BO24" s="842"/>
      <c r="BP24" s="842"/>
      <c r="BQ24" s="842"/>
      <c r="BR24" s="842"/>
      <c r="BS24" s="842"/>
      <c r="BT24" s="842"/>
      <c r="BU24" s="842"/>
      <c r="BV24" s="842"/>
      <c r="BW24" s="842"/>
      <c r="BX24" s="842"/>
      <c r="BY24" s="842"/>
      <c r="BZ24" s="842"/>
      <c r="CA24" s="842"/>
      <c r="CB24" s="842"/>
      <c r="CC24" s="842"/>
      <c r="CD24" s="842"/>
      <c r="CE24" s="842"/>
      <c r="CF24" s="842"/>
      <c r="CG24" s="842"/>
      <c r="CH24" s="842"/>
      <c r="CI24" s="842"/>
      <c r="CJ24" s="842"/>
      <c r="CK24" s="842"/>
      <c r="CL24" s="842"/>
      <c r="CM24" s="842"/>
      <c r="CN24" s="842"/>
      <c r="CO24" s="842"/>
      <c r="CP24" s="842"/>
      <c r="CQ24" s="842"/>
      <c r="CR24" s="842"/>
      <c r="CS24" s="842"/>
      <c r="CT24" s="842"/>
      <c r="CU24" s="842"/>
      <c r="CV24" s="842"/>
      <c r="CW24" s="842"/>
      <c r="CX24" s="842"/>
      <c r="CY24" s="842"/>
      <c r="CZ24" s="842"/>
      <c r="DA24" s="842"/>
      <c r="DB24" s="842"/>
      <c r="DC24" s="842"/>
      <c r="DD24" s="842"/>
      <c r="DE24" s="842"/>
      <c r="DF24" s="842"/>
      <c r="DG24" s="842"/>
      <c r="DH24" s="842"/>
      <c r="DI24" s="842"/>
      <c r="DJ24" s="842"/>
      <c r="DK24" s="842"/>
      <c r="DL24" s="842"/>
      <c r="DM24" s="842"/>
      <c r="DN24" s="842"/>
      <c r="DO24" s="842"/>
      <c r="DP24" s="842"/>
      <c r="DQ24" s="842"/>
      <c r="DR24" s="842"/>
      <c r="DS24" s="842"/>
      <c r="DT24" s="842"/>
      <c r="DU24" s="842"/>
      <c r="DV24" s="842"/>
      <c r="DW24" s="842"/>
      <c r="DX24" s="842"/>
      <c r="DY24" s="842"/>
      <c r="DZ24" s="842"/>
      <c r="EA24" s="842"/>
      <c r="EB24" s="842"/>
      <c r="EC24" s="842"/>
      <c r="ED24" s="842"/>
      <c r="EE24" s="842"/>
      <c r="EF24" s="842"/>
      <c r="EG24" s="842"/>
      <c r="EH24" s="842"/>
      <c r="EI24" s="842"/>
      <c r="EJ24" s="842"/>
      <c r="EK24" s="842"/>
      <c r="EL24" s="842"/>
      <c r="EM24" s="842"/>
      <c r="EN24" s="842"/>
      <c r="EO24" s="842"/>
      <c r="EP24" s="842"/>
      <c r="EQ24" s="842"/>
      <c r="ER24" s="842"/>
      <c r="ES24" s="842"/>
      <c r="ET24" s="842"/>
      <c r="EU24" s="842"/>
      <c r="EV24" s="842"/>
      <c r="EW24" s="842"/>
      <c r="EX24" s="842"/>
      <c r="EY24" s="842"/>
      <c r="EZ24" s="842"/>
      <c r="FA24" s="842"/>
      <c r="FB24" s="842"/>
      <c r="FC24" s="842"/>
      <c r="FD24" s="842"/>
      <c r="FE24" s="842"/>
      <c r="FF24" s="842"/>
      <c r="FG24" s="842"/>
      <c r="FH24" s="842"/>
      <c r="FI24" s="842"/>
      <c r="FJ24" s="842"/>
      <c r="FK24" s="842"/>
      <c r="FL24" s="842"/>
      <c r="FM24" s="842"/>
      <c r="FN24" s="842"/>
      <c r="FO24" s="842"/>
      <c r="FP24" s="842"/>
      <c r="FQ24" s="842"/>
      <c r="FR24" s="842"/>
      <c r="FS24" s="842"/>
      <c r="FT24" s="842"/>
      <c r="FU24" s="842"/>
      <c r="FV24" s="842"/>
      <c r="FW24" s="842"/>
      <c r="FX24" s="842"/>
      <c r="FY24" s="842"/>
      <c r="FZ24" s="842"/>
      <c r="GA24" s="842"/>
      <c r="GB24" s="842"/>
      <c r="GC24" s="842"/>
      <c r="GD24" s="842"/>
      <c r="GE24" s="842"/>
      <c r="GF24" s="842"/>
      <c r="GG24" s="842"/>
      <c r="GH24" s="842"/>
      <c r="GI24" s="842"/>
      <c r="GJ24" s="842"/>
      <c r="GK24" s="842"/>
      <c r="GL24" s="842"/>
      <c r="GM24" s="842"/>
      <c r="GN24" s="842"/>
      <c r="GO24" s="842"/>
      <c r="GP24" s="842"/>
      <c r="GQ24" s="842"/>
      <c r="GR24" s="842"/>
      <c r="GS24" s="842"/>
      <c r="GT24" s="842"/>
      <c r="GU24" s="842"/>
      <c r="GV24" s="842"/>
      <c r="GW24" s="842"/>
      <c r="GX24" s="842"/>
      <c r="GY24" s="842"/>
      <c r="GZ24" s="842"/>
      <c r="HA24" s="842"/>
      <c r="HB24" s="842"/>
      <c r="HC24" s="842"/>
      <c r="HD24" s="842"/>
      <c r="HE24" s="842"/>
      <c r="HF24" s="842"/>
      <c r="HG24" s="842"/>
      <c r="HH24" s="842"/>
      <c r="HI24" s="842"/>
      <c r="HJ24" s="842"/>
      <c r="HK24" s="842"/>
      <c r="HL24" s="842"/>
      <c r="HM24" s="842"/>
      <c r="HN24" s="842"/>
      <c r="HO24" s="842"/>
      <c r="HP24" s="842"/>
      <c r="HQ24" s="842"/>
      <c r="HR24" s="842"/>
      <c r="HS24" s="842"/>
      <c r="HT24" s="842"/>
      <c r="HU24" s="842"/>
      <c r="HV24" s="842"/>
      <c r="HW24" s="842"/>
      <c r="HX24" s="842"/>
      <c r="HY24" s="842"/>
      <c r="HZ24" s="842"/>
      <c r="IA24" s="842"/>
      <c r="IB24" s="842"/>
      <c r="IC24" s="842"/>
      <c r="ID24" s="842"/>
      <c r="IE24" s="842"/>
      <c r="IF24" s="842"/>
      <c r="IG24" s="842"/>
      <c r="IH24" s="842"/>
      <c r="II24" s="842"/>
      <c r="IJ24" s="842"/>
      <c r="IK24" s="842"/>
      <c r="IL24" s="842"/>
      <c r="IM24" s="842"/>
      <c r="IN24" s="842"/>
      <c r="IO24" s="842"/>
      <c r="IP24" s="842"/>
      <c r="IQ24" s="842"/>
      <c r="IR24" s="842"/>
      <c r="IS24" s="842"/>
      <c r="IT24" s="842"/>
      <c r="IU24" s="842"/>
      <c r="IV24" s="842"/>
    </row>
    <row r="25" spans="1:14" ht="25.5">
      <c r="A25" s="844"/>
      <c r="B25" s="845" t="s">
        <v>982</v>
      </c>
      <c r="C25" s="894" t="s">
        <v>983</v>
      </c>
      <c r="D25" s="846"/>
      <c r="E25" s="847"/>
      <c r="F25" s="848"/>
      <c r="G25" s="846">
        <v>7</v>
      </c>
      <c r="H25" s="849">
        <v>396700</v>
      </c>
      <c r="I25" s="849"/>
      <c r="J25" s="847"/>
      <c r="K25" s="848">
        <f>G25*H25+119000</f>
        <v>2895900</v>
      </c>
      <c r="L25" s="850">
        <f>SUM(K25)</f>
        <v>2895900</v>
      </c>
      <c r="M25" s="851"/>
      <c r="N25" s="841"/>
    </row>
    <row r="26" spans="1:14" ht="38.25">
      <c r="A26" s="844"/>
      <c r="B26" s="845"/>
      <c r="C26" s="894" t="s">
        <v>984</v>
      </c>
      <c r="D26" s="846"/>
      <c r="E26" s="847"/>
      <c r="F26" s="848"/>
      <c r="G26" s="846">
        <v>4</v>
      </c>
      <c r="H26" s="849">
        <v>363642</v>
      </c>
      <c r="I26" s="849"/>
      <c r="J26" s="847"/>
      <c r="K26" s="848">
        <f>G26*H26+62332</f>
        <v>1516900</v>
      </c>
      <c r="L26" s="850">
        <f>SUM(K26)</f>
        <v>1516900</v>
      </c>
      <c r="M26" s="851"/>
      <c r="N26" s="841"/>
    </row>
    <row r="27" spans="1:14" ht="25.5">
      <c r="A27" s="844"/>
      <c r="B27" s="845" t="s">
        <v>985</v>
      </c>
      <c r="C27" s="894" t="s">
        <v>986</v>
      </c>
      <c r="D27" s="846"/>
      <c r="E27" s="847"/>
      <c r="F27" s="848"/>
      <c r="G27" s="846">
        <v>2</v>
      </c>
      <c r="H27" s="849">
        <v>1447300</v>
      </c>
      <c r="I27" s="849"/>
      <c r="J27" s="847"/>
      <c r="K27" s="848">
        <f>G27*H27+76000</f>
        <v>2970600</v>
      </c>
      <c r="L27" s="850">
        <f>SUM(K27)</f>
        <v>2970600</v>
      </c>
      <c r="M27" s="851"/>
      <c r="N27" s="841"/>
    </row>
    <row r="28" spans="1:14" ht="38.25">
      <c r="A28" s="844"/>
      <c r="B28" s="845"/>
      <c r="C28" s="894" t="s">
        <v>987</v>
      </c>
      <c r="D28" s="846"/>
      <c r="E28" s="847"/>
      <c r="F28" s="848"/>
      <c r="G28" s="846">
        <v>1</v>
      </c>
      <c r="H28" s="849">
        <v>1326692</v>
      </c>
      <c r="I28" s="849"/>
      <c r="J28" s="847"/>
      <c r="K28" s="848">
        <f>G28*H28+34833</f>
        <v>1361525</v>
      </c>
      <c r="L28" s="850">
        <f>SUM(K28)</f>
        <v>1361525</v>
      </c>
      <c r="M28" s="851"/>
      <c r="N28" s="841"/>
    </row>
    <row r="29" spans="1:256" ht="25.5">
      <c r="A29" s="889"/>
      <c r="B29" s="863"/>
      <c r="C29" s="890" t="s">
        <v>988</v>
      </c>
      <c r="D29" s="824"/>
      <c r="E29" s="825"/>
      <c r="F29" s="826">
        <f>SUM(F37+F31+F42+F30)</f>
        <v>56828406</v>
      </c>
      <c r="G29" s="864"/>
      <c r="H29" s="827"/>
      <c r="I29" s="865"/>
      <c r="J29" s="825"/>
      <c r="K29" s="826">
        <f>SUM(K37+K31+K30+K42)</f>
        <v>57371724</v>
      </c>
      <c r="L29" s="826">
        <f>SUM(L37+L31+L30+L42)</f>
        <v>114200130</v>
      </c>
      <c r="M29" s="840"/>
      <c r="N29" s="860">
        <f>SUM(N30:N42)</f>
        <v>114200130</v>
      </c>
      <c r="O29" s="842"/>
      <c r="P29" s="842"/>
      <c r="Q29" s="842"/>
      <c r="R29" s="842"/>
      <c r="S29" s="842"/>
      <c r="T29" s="842"/>
      <c r="U29" s="842"/>
      <c r="V29" s="842"/>
      <c r="W29" s="842"/>
      <c r="X29" s="842"/>
      <c r="Y29" s="842"/>
      <c r="Z29" s="842"/>
      <c r="AA29" s="842"/>
      <c r="AB29" s="842"/>
      <c r="AC29" s="842"/>
      <c r="AD29" s="842"/>
      <c r="AE29" s="842"/>
      <c r="AF29" s="842"/>
      <c r="AG29" s="842"/>
      <c r="AH29" s="842"/>
      <c r="AI29" s="842"/>
      <c r="AJ29" s="842"/>
      <c r="AK29" s="842"/>
      <c r="AL29" s="842"/>
      <c r="AM29" s="842"/>
      <c r="AN29" s="842"/>
      <c r="AO29" s="842"/>
      <c r="AP29" s="842"/>
      <c r="AQ29" s="842"/>
      <c r="AR29" s="842"/>
      <c r="AS29" s="842"/>
      <c r="AT29" s="842"/>
      <c r="AU29" s="842"/>
      <c r="AV29" s="842"/>
      <c r="AW29" s="842"/>
      <c r="AX29" s="842"/>
      <c r="AY29" s="842"/>
      <c r="AZ29" s="842"/>
      <c r="BA29" s="842"/>
      <c r="BB29" s="842"/>
      <c r="BC29" s="842"/>
      <c r="BD29" s="842"/>
      <c r="BE29" s="842"/>
      <c r="BF29" s="842"/>
      <c r="BG29" s="842"/>
      <c r="BH29" s="842"/>
      <c r="BI29" s="842"/>
      <c r="BJ29" s="842"/>
      <c r="BK29" s="842"/>
      <c r="BL29" s="842"/>
      <c r="BM29" s="842"/>
      <c r="BN29" s="842"/>
      <c r="BO29" s="842"/>
      <c r="BP29" s="842"/>
      <c r="BQ29" s="842"/>
      <c r="BR29" s="842"/>
      <c r="BS29" s="842"/>
      <c r="BT29" s="842"/>
      <c r="BU29" s="842"/>
      <c r="BV29" s="842"/>
      <c r="BW29" s="842"/>
      <c r="BX29" s="842"/>
      <c r="BY29" s="842"/>
      <c r="BZ29" s="842"/>
      <c r="CA29" s="842"/>
      <c r="CB29" s="842"/>
      <c r="CC29" s="842"/>
      <c r="CD29" s="842"/>
      <c r="CE29" s="842"/>
      <c r="CF29" s="842"/>
      <c r="CG29" s="842"/>
      <c r="CH29" s="842"/>
      <c r="CI29" s="842"/>
      <c r="CJ29" s="842"/>
      <c r="CK29" s="842"/>
      <c r="CL29" s="842"/>
      <c r="CM29" s="842"/>
      <c r="CN29" s="842"/>
      <c r="CO29" s="842"/>
      <c r="CP29" s="842"/>
      <c r="CQ29" s="842"/>
      <c r="CR29" s="842"/>
      <c r="CS29" s="842"/>
      <c r="CT29" s="842"/>
      <c r="CU29" s="842"/>
      <c r="CV29" s="842"/>
      <c r="CW29" s="842"/>
      <c r="CX29" s="842"/>
      <c r="CY29" s="842"/>
      <c r="CZ29" s="842"/>
      <c r="DA29" s="842"/>
      <c r="DB29" s="842"/>
      <c r="DC29" s="842"/>
      <c r="DD29" s="842"/>
      <c r="DE29" s="842"/>
      <c r="DF29" s="842"/>
      <c r="DG29" s="842"/>
      <c r="DH29" s="842"/>
      <c r="DI29" s="842"/>
      <c r="DJ29" s="842"/>
      <c r="DK29" s="842"/>
      <c r="DL29" s="842"/>
      <c r="DM29" s="842"/>
      <c r="DN29" s="842"/>
      <c r="DO29" s="842"/>
      <c r="DP29" s="842"/>
      <c r="DQ29" s="842"/>
      <c r="DR29" s="842"/>
      <c r="DS29" s="842"/>
      <c r="DT29" s="842"/>
      <c r="DU29" s="842"/>
      <c r="DV29" s="842"/>
      <c r="DW29" s="842"/>
      <c r="DX29" s="842"/>
      <c r="DY29" s="842"/>
      <c r="DZ29" s="842"/>
      <c r="EA29" s="842"/>
      <c r="EB29" s="842"/>
      <c r="EC29" s="842"/>
      <c r="ED29" s="842"/>
      <c r="EE29" s="842"/>
      <c r="EF29" s="842"/>
      <c r="EG29" s="842"/>
      <c r="EH29" s="842"/>
      <c r="EI29" s="842"/>
      <c r="EJ29" s="842"/>
      <c r="EK29" s="842"/>
      <c r="EL29" s="842"/>
      <c r="EM29" s="842"/>
      <c r="EN29" s="842"/>
      <c r="EO29" s="842"/>
      <c r="EP29" s="842"/>
      <c r="EQ29" s="842"/>
      <c r="ER29" s="842"/>
      <c r="ES29" s="842"/>
      <c r="ET29" s="842"/>
      <c r="EU29" s="842"/>
      <c r="EV29" s="842"/>
      <c r="EW29" s="842"/>
      <c r="EX29" s="842"/>
      <c r="EY29" s="842"/>
      <c r="EZ29" s="842"/>
      <c r="FA29" s="842"/>
      <c r="FB29" s="842"/>
      <c r="FC29" s="842"/>
      <c r="FD29" s="842"/>
      <c r="FE29" s="842"/>
      <c r="FF29" s="842"/>
      <c r="FG29" s="842"/>
      <c r="FH29" s="842"/>
      <c r="FI29" s="842"/>
      <c r="FJ29" s="842"/>
      <c r="FK29" s="842"/>
      <c r="FL29" s="842"/>
      <c r="FM29" s="842"/>
      <c r="FN29" s="842"/>
      <c r="FO29" s="842"/>
      <c r="FP29" s="842"/>
      <c r="FQ29" s="842"/>
      <c r="FR29" s="842"/>
      <c r="FS29" s="842"/>
      <c r="FT29" s="842"/>
      <c r="FU29" s="842"/>
      <c r="FV29" s="842"/>
      <c r="FW29" s="842"/>
      <c r="FX29" s="842"/>
      <c r="FY29" s="842"/>
      <c r="FZ29" s="842"/>
      <c r="GA29" s="842"/>
      <c r="GB29" s="842"/>
      <c r="GC29" s="842"/>
      <c r="GD29" s="842"/>
      <c r="GE29" s="842"/>
      <c r="GF29" s="842"/>
      <c r="GG29" s="842"/>
      <c r="GH29" s="842"/>
      <c r="GI29" s="842"/>
      <c r="GJ29" s="842"/>
      <c r="GK29" s="842"/>
      <c r="GL29" s="842"/>
      <c r="GM29" s="842"/>
      <c r="GN29" s="842"/>
      <c r="GO29" s="842"/>
      <c r="GP29" s="842"/>
      <c r="GQ29" s="842"/>
      <c r="GR29" s="842"/>
      <c r="GS29" s="842"/>
      <c r="GT29" s="842"/>
      <c r="GU29" s="842"/>
      <c r="GV29" s="842"/>
      <c r="GW29" s="842"/>
      <c r="GX29" s="842"/>
      <c r="GY29" s="842"/>
      <c r="GZ29" s="842"/>
      <c r="HA29" s="842"/>
      <c r="HB29" s="842"/>
      <c r="HC29" s="842"/>
      <c r="HD29" s="842"/>
      <c r="HE29" s="842"/>
      <c r="HF29" s="842"/>
      <c r="HG29" s="842"/>
      <c r="HH29" s="842"/>
      <c r="HI29" s="842"/>
      <c r="HJ29" s="842"/>
      <c r="HK29" s="842"/>
      <c r="HL29" s="842"/>
      <c r="HM29" s="842"/>
      <c r="HN29" s="842"/>
      <c r="HO29" s="842"/>
      <c r="HP29" s="842"/>
      <c r="HQ29" s="842"/>
      <c r="HR29" s="842"/>
      <c r="HS29" s="842"/>
      <c r="HT29" s="842"/>
      <c r="HU29" s="842"/>
      <c r="HV29" s="842"/>
      <c r="HW29" s="842"/>
      <c r="HX29" s="842"/>
      <c r="HY29" s="842"/>
      <c r="HZ29" s="842"/>
      <c r="IA29" s="842"/>
      <c r="IB29" s="842"/>
      <c r="IC29" s="842"/>
      <c r="ID29" s="842"/>
      <c r="IE29" s="842"/>
      <c r="IF29" s="842"/>
      <c r="IG29" s="842"/>
      <c r="IH29" s="842"/>
      <c r="II29" s="842"/>
      <c r="IJ29" s="842"/>
      <c r="IK29" s="842"/>
      <c r="IL29" s="842"/>
      <c r="IM29" s="842"/>
      <c r="IN29" s="842"/>
      <c r="IO29" s="842"/>
      <c r="IP29" s="842"/>
      <c r="IQ29" s="842"/>
      <c r="IR29" s="842"/>
      <c r="IS29" s="842"/>
      <c r="IT29" s="842"/>
      <c r="IU29" s="842"/>
      <c r="IV29" s="842"/>
    </row>
    <row r="30" spans="1:256" ht="12.75">
      <c r="A30" s="832" t="s">
        <v>989</v>
      </c>
      <c r="B30" s="833" t="s">
        <v>990</v>
      </c>
      <c r="C30" s="893" t="s">
        <v>991</v>
      </c>
      <c r="D30" s="852"/>
      <c r="E30" s="853"/>
      <c r="F30" s="836">
        <v>48822917</v>
      </c>
      <c r="G30" s="854"/>
      <c r="H30" s="838"/>
      <c r="I30" s="855"/>
      <c r="J30" s="835"/>
      <c r="K30" s="836">
        <v>0</v>
      </c>
      <c r="L30" s="839">
        <f aca="true" t="shared" si="1" ref="L30:L41">F30+K30</f>
        <v>48822917</v>
      </c>
      <c r="M30" s="840"/>
      <c r="N30" s="841">
        <f>SUM(L30)</f>
        <v>48822917</v>
      </c>
      <c r="O30" s="842"/>
      <c r="P30" s="842"/>
      <c r="Q30" s="842"/>
      <c r="R30" s="842"/>
      <c r="S30" s="842"/>
      <c r="T30" s="842"/>
      <c r="U30" s="842"/>
      <c r="V30" s="842"/>
      <c r="W30" s="842"/>
      <c r="X30" s="842"/>
      <c r="Y30" s="842"/>
      <c r="Z30" s="842"/>
      <c r="AA30" s="842"/>
      <c r="AB30" s="842"/>
      <c r="AC30" s="842"/>
      <c r="AD30" s="842"/>
      <c r="AE30" s="842"/>
      <c r="AF30" s="842"/>
      <c r="AG30" s="842"/>
      <c r="AH30" s="842"/>
      <c r="AI30" s="842"/>
      <c r="AJ30" s="842"/>
      <c r="AK30" s="842"/>
      <c r="AL30" s="842"/>
      <c r="AM30" s="842"/>
      <c r="AN30" s="842"/>
      <c r="AO30" s="842"/>
      <c r="AP30" s="842"/>
      <c r="AQ30" s="842"/>
      <c r="AR30" s="842"/>
      <c r="AS30" s="842"/>
      <c r="AT30" s="842"/>
      <c r="AU30" s="842"/>
      <c r="AV30" s="842"/>
      <c r="AW30" s="842"/>
      <c r="AX30" s="842"/>
      <c r="AY30" s="842"/>
      <c r="AZ30" s="842"/>
      <c r="BA30" s="842"/>
      <c r="BB30" s="842"/>
      <c r="BC30" s="842"/>
      <c r="BD30" s="842"/>
      <c r="BE30" s="842"/>
      <c r="BF30" s="842"/>
      <c r="BG30" s="842"/>
      <c r="BH30" s="842"/>
      <c r="BI30" s="842"/>
      <c r="BJ30" s="842"/>
      <c r="BK30" s="842"/>
      <c r="BL30" s="842"/>
      <c r="BM30" s="842"/>
      <c r="BN30" s="842"/>
      <c r="BO30" s="842"/>
      <c r="BP30" s="842"/>
      <c r="BQ30" s="842"/>
      <c r="BR30" s="842"/>
      <c r="BS30" s="842"/>
      <c r="BT30" s="842"/>
      <c r="BU30" s="842"/>
      <c r="BV30" s="842"/>
      <c r="BW30" s="842"/>
      <c r="BX30" s="842"/>
      <c r="BY30" s="842"/>
      <c r="BZ30" s="842"/>
      <c r="CA30" s="842"/>
      <c r="CB30" s="842"/>
      <c r="CC30" s="842"/>
      <c r="CD30" s="842"/>
      <c r="CE30" s="842"/>
      <c r="CF30" s="842"/>
      <c r="CG30" s="842"/>
      <c r="CH30" s="842"/>
      <c r="CI30" s="842"/>
      <c r="CJ30" s="842"/>
      <c r="CK30" s="842"/>
      <c r="CL30" s="842"/>
      <c r="CM30" s="842"/>
      <c r="CN30" s="842"/>
      <c r="CO30" s="842"/>
      <c r="CP30" s="842"/>
      <c r="CQ30" s="842"/>
      <c r="CR30" s="842"/>
      <c r="CS30" s="842"/>
      <c r="CT30" s="842"/>
      <c r="CU30" s="842"/>
      <c r="CV30" s="842"/>
      <c r="CW30" s="842"/>
      <c r="CX30" s="842"/>
      <c r="CY30" s="842"/>
      <c r="CZ30" s="842"/>
      <c r="DA30" s="842"/>
      <c r="DB30" s="842"/>
      <c r="DC30" s="842"/>
      <c r="DD30" s="842"/>
      <c r="DE30" s="842"/>
      <c r="DF30" s="842"/>
      <c r="DG30" s="842"/>
      <c r="DH30" s="842"/>
      <c r="DI30" s="842"/>
      <c r="DJ30" s="842"/>
      <c r="DK30" s="842"/>
      <c r="DL30" s="842"/>
      <c r="DM30" s="842"/>
      <c r="DN30" s="842"/>
      <c r="DO30" s="842"/>
      <c r="DP30" s="842"/>
      <c r="DQ30" s="842"/>
      <c r="DR30" s="842"/>
      <c r="DS30" s="842"/>
      <c r="DT30" s="842"/>
      <c r="DU30" s="842"/>
      <c r="DV30" s="842"/>
      <c r="DW30" s="842"/>
      <c r="DX30" s="842"/>
      <c r="DY30" s="842"/>
      <c r="DZ30" s="842"/>
      <c r="EA30" s="842"/>
      <c r="EB30" s="842"/>
      <c r="EC30" s="842"/>
      <c r="ED30" s="842"/>
      <c r="EE30" s="842"/>
      <c r="EF30" s="842"/>
      <c r="EG30" s="842"/>
      <c r="EH30" s="842"/>
      <c r="EI30" s="842"/>
      <c r="EJ30" s="842"/>
      <c r="EK30" s="842"/>
      <c r="EL30" s="842"/>
      <c r="EM30" s="842"/>
      <c r="EN30" s="842"/>
      <c r="EO30" s="842"/>
      <c r="EP30" s="842"/>
      <c r="EQ30" s="842"/>
      <c r="ER30" s="842"/>
      <c r="ES30" s="842"/>
      <c r="ET30" s="842"/>
      <c r="EU30" s="842"/>
      <c r="EV30" s="842"/>
      <c r="EW30" s="842"/>
      <c r="EX30" s="842"/>
      <c r="EY30" s="842"/>
      <c r="EZ30" s="842"/>
      <c r="FA30" s="842"/>
      <c r="FB30" s="842"/>
      <c r="FC30" s="842"/>
      <c r="FD30" s="842"/>
      <c r="FE30" s="842"/>
      <c r="FF30" s="842"/>
      <c r="FG30" s="842"/>
      <c r="FH30" s="842"/>
      <c r="FI30" s="842"/>
      <c r="FJ30" s="842"/>
      <c r="FK30" s="842"/>
      <c r="FL30" s="842"/>
      <c r="FM30" s="842"/>
      <c r="FN30" s="842"/>
      <c r="FO30" s="842"/>
      <c r="FP30" s="842"/>
      <c r="FQ30" s="842"/>
      <c r="FR30" s="842"/>
      <c r="FS30" s="842"/>
      <c r="FT30" s="842"/>
      <c r="FU30" s="842"/>
      <c r="FV30" s="842"/>
      <c r="FW30" s="842"/>
      <c r="FX30" s="842"/>
      <c r="FY30" s="842"/>
      <c r="FZ30" s="842"/>
      <c r="GA30" s="842"/>
      <c r="GB30" s="842"/>
      <c r="GC30" s="842"/>
      <c r="GD30" s="842"/>
      <c r="GE30" s="842"/>
      <c r="GF30" s="842"/>
      <c r="GG30" s="842"/>
      <c r="GH30" s="842"/>
      <c r="GI30" s="842"/>
      <c r="GJ30" s="842"/>
      <c r="GK30" s="842"/>
      <c r="GL30" s="842"/>
      <c r="GM30" s="842"/>
      <c r="GN30" s="842"/>
      <c r="GO30" s="842"/>
      <c r="GP30" s="842"/>
      <c r="GQ30" s="842"/>
      <c r="GR30" s="842"/>
      <c r="GS30" s="842"/>
      <c r="GT30" s="842"/>
      <c r="GU30" s="842"/>
      <c r="GV30" s="842"/>
      <c r="GW30" s="842"/>
      <c r="GX30" s="842"/>
      <c r="GY30" s="842"/>
      <c r="GZ30" s="842"/>
      <c r="HA30" s="842"/>
      <c r="HB30" s="842"/>
      <c r="HC30" s="842"/>
      <c r="HD30" s="842"/>
      <c r="HE30" s="842"/>
      <c r="HF30" s="842"/>
      <c r="HG30" s="842"/>
      <c r="HH30" s="842"/>
      <c r="HI30" s="842"/>
      <c r="HJ30" s="842"/>
      <c r="HK30" s="842"/>
      <c r="HL30" s="842"/>
      <c r="HM30" s="842"/>
      <c r="HN30" s="842"/>
      <c r="HO30" s="842"/>
      <c r="HP30" s="842"/>
      <c r="HQ30" s="842"/>
      <c r="HR30" s="842"/>
      <c r="HS30" s="842"/>
      <c r="HT30" s="842"/>
      <c r="HU30" s="842"/>
      <c r="HV30" s="842"/>
      <c r="HW30" s="842"/>
      <c r="HX30" s="842"/>
      <c r="HY30" s="842"/>
      <c r="HZ30" s="842"/>
      <c r="IA30" s="842"/>
      <c r="IB30" s="842"/>
      <c r="IC30" s="842"/>
      <c r="ID30" s="842"/>
      <c r="IE30" s="842"/>
      <c r="IF30" s="842"/>
      <c r="IG30" s="842"/>
      <c r="IH30" s="842"/>
      <c r="II30" s="842"/>
      <c r="IJ30" s="842"/>
      <c r="IK30" s="842"/>
      <c r="IL30" s="842"/>
      <c r="IM30" s="842"/>
      <c r="IN30" s="842"/>
      <c r="IO30" s="842"/>
      <c r="IP30" s="842"/>
      <c r="IQ30" s="842"/>
      <c r="IR30" s="842"/>
      <c r="IS30" s="842"/>
      <c r="IT30" s="842"/>
      <c r="IU30" s="842"/>
      <c r="IV30" s="842"/>
    </row>
    <row r="31" spans="1:256" ht="12.75">
      <c r="A31" s="843"/>
      <c r="B31" s="833" t="s">
        <v>992</v>
      </c>
      <c r="C31" s="893" t="s">
        <v>993</v>
      </c>
      <c r="D31" s="852"/>
      <c r="E31" s="853"/>
      <c r="F31" s="836">
        <f>SUM(F32:F36)</f>
        <v>7545200</v>
      </c>
      <c r="G31" s="854"/>
      <c r="H31" s="838"/>
      <c r="I31" s="855"/>
      <c r="J31" s="835"/>
      <c r="K31" s="836">
        <f>SUM(K32:K36)</f>
        <v>31888142</v>
      </c>
      <c r="L31" s="839">
        <f t="shared" si="1"/>
        <v>39433342</v>
      </c>
      <c r="M31" s="840"/>
      <c r="N31" s="841">
        <f>SUM(L31)</f>
        <v>39433342</v>
      </c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2"/>
      <c r="AC31" s="842"/>
      <c r="AD31" s="842"/>
      <c r="AE31" s="842"/>
      <c r="AF31" s="842"/>
      <c r="AG31" s="842"/>
      <c r="AH31" s="842"/>
      <c r="AI31" s="842"/>
      <c r="AJ31" s="842"/>
      <c r="AK31" s="842"/>
      <c r="AL31" s="842"/>
      <c r="AM31" s="842"/>
      <c r="AN31" s="842"/>
      <c r="AO31" s="842"/>
      <c r="AP31" s="842"/>
      <c r="AQ31" s="842"/>
      <c r="AR31" s="842"/>
      <c r="AS31" s="842"/>
      <c r="AT31" s="842"/>
      <c r="AU31" s="842"/>
      <c r="AV31" s="842"/>
      <c r="AW31" s="842"/>
      <c r="AX31" s="842"/>
      <c r="AY31" s="842"/>
      <c r="AZ31" s="842"/>
      <c r="BA31" s="842"/>
      <c r="BB31" s="842"/>
      <c r="BC31" s="842"/>
      <c r="BD31" s="842"/>
      <c r="BE31" s="842"/>
      <c r="BF31" s="842"/>
      <c r="BG31" s="842"/>
      <c r="BH31" s="842"/>
      <c r="BI31" s="842"/>
      <c r="BJ31" s="842"/>
      <c r="BK31" s="842"/>
      <c r="BL31" s="842"/>
      <c r="BM31" s="842"/>
      <c r="BN31" s="842"/>
      <c r="BO31" s="842"/>
      <c r="BP31" s="842"/>
      <c r="BQ31" s="842"/>
      <c r="BR31" s="842"/>
      <c r="BS31" s="842"/>
      <c r="BT31" s="842"/>
      <c r="BU31" s="842"/>
      <c r="BV31" s="842"/>
      <c r="BW31" s="842"/>
      <c r="BX31" s="842"/>
      <c r="BY31" s="842"/>
      <c r="BZ31" s="842"/>
      <c r="CA31" s="842"/>
      <c r="CB31" s="842"/>
      <c r="CC31" s="842"/>
      <c r="CD31" s="842"/>
      <c r="CE31" s="842"/>
      <c r="CF31" s="842"/>
      <c r="CG31" s="842"/>
      <c r="CH31" s="842"/>
      <c r="CI31" s="842"/>
      <c r="CJ31" s="842"/>
      <c r="CK31" s="842"/>
      <c r="CL31" s="842"/>
      <c r="CM31" s="842"/>
      <c r="CN31" s="842"/>
      <c r="CO31" s="842"/>
      <c r="CP31" s="842"/>
      <c r="CQ31" s="842"/>
      <c r="CR31" s="842"/>
      <c r="CS31" s="842"/>
      <c r="CT31" s="842"/>
      <c r="CU31" s="842"/>
      <c r="CV31" s="842"/>
      <c r="CW31" s="842"/>
      <c r="CX31" s="842"/>
      <c r="CY31" s="842"/>
      <c r="CZ31" s="842"/>
      <c r="DA31" s="842"/>
      <c r="DB31" s="842"/>
      <c r="DC31" s="842"/>
      <c r="DD31" s="842"/>
      <c r="DE31" s="842"/>
      <c r="DF31" s="842"/>
      <c r="DG31" s="842"/>
      <c r="DH31" s="842"/>
      <c r="DI31" s="842"/>
      <c r="DJ31" s="842"/>
      <c r="DK31" s="842"/>
      <c r="DL31" s="842"/>
      <c r="DM31" s="842"/>
      <c r="DN31" s="842"/>
      <c r="DO31" s="842"/>
      <c r="DP31" s="842"/>
      <c r="DQ31" s="842"/>
      <c r="DR31" s="842"/>
      <c r="DS31" s="842"/>
      <c r="DT31" s="842"/>
      <c r="DU31" s="842"/>
      <c r="DV31" s="842"/>
      <c r="DW31" s="842"/>
      <c r="DX31" s="842"/>
      <c r="DY31" s="842"/>
      <c r="DZ31" s="842"/>
      <c r="EA31" s="842"/>
      <c r="EB31" s="842"/>
      <c r="EC31" s="842"/>
      <c r="ED31" s="842"/>
      <c r="EE31" s="842"/>
      <c r="EF31" s="842"/>
      <c r="EG31" s="842"/>
      <c r="EH31" s="842"/>
      <c r="EI31" s="842"/>
      <c r="EJ31" s="842"/>
      <c r="EK31" s="842"/>
      <c r="EL31" s="842"/>
      <c r="EM31" s="842"/>
      <c r="EN31" s="842"/>
      <c r="EO31" s="842"/>
      <c r="EP31" s="842"/>
      <c r="EQ31" s="842"/>
      <c r="ER31" s="842"/>
      <c r="ES31" s="842"/>
      <c r="ET31" s="842"/>
      <c r="EU31" s="842"/>
      <c r="EV31" s="842"/>
      <c r="EW31" s="842"/>
      <c r="EX31" s="842"/>
      <c r="EY31" s="842"/>
      <c r="EZ31" s="842"/>
      <c r="FA31" s="842"/>
      <c r="FB31" s="842"/>
      <c r="FC31" s="842"/>
      <c r="FD31" s="842"/>
      <c r="FE31" s="842"/>
      <c r="FF31" s="842"/>
      <c r="FG31" s="842"/>
      <c r="FH31" s="842"/>
      <c r="FI31" s="842"/>
      <c r="FJ31" s="842"/>
      <c r="FK31" s="842"/>
      <c r="FL31" s="842"/>
      <c r="FM31" s="842"/>
      <c r="FN31" s="842"/>
      <c r="FO31" s="842"/>
      <c r="FP31" s="842"/>
      <c r="FQ31" s="842"/>
      <c r="FR31" s="842"/>
      <c r="FS31" s="842"/>
      <c r="FT31" s="842"/>
      <c r="FU31" s="842"/>
      <c r="FV31" s="842"/>
      <c r="FW31" s="842"/>
      <c r="FX31" s="842"/>
      <c r="FY31" s="842"/>
      <c r="FZ31" s="842"/>
      <c r="GA31" s="842"/>
      <c r="GB31" s="842"/>
      <c r="GC31" s="842"/>
      <c r="GD31" s="842"/>
      <c r="GE31" s="842"/>
      <c r="GF31" s="842"/>
      <c r="GG31" s="842"/>
      <c r="GH31" s="842"/>
      <c r="GI31" s="842"/>
      <c r="GJ31" s="842"/>
      <c r="GK31" s="842"/>
      <c r="GL31" s="842"/>
      <c r="GM31" s="842"/>
      <c r="GN31" s="842"/>
      <c r="GO31" s="842"/>
      <c r="GP31" s="842"/>
      <c r="GQ31" s="842"/>
      <c r="GR31" s="842"/>
      <c r="GS31" s="842"/>
      <c r="GT31" s="842"/>
      <c r="GU31" s="842"/>
      <c r="GV31" s="842"/>
      <c r="GW31" s="842"/>
      <c r="GX31" s="842"/>
      <c r="GY31" s="842"/>
      <c r="GZ31" s="842"/>
      <c r="HA31" s="842"/>
      <c r="HB31" s="842"/>
      <c r="HC31" s="842"/>
      <c r="HD31" s="842"/>
      <c r="HE31" s="842"/>
      <c r="HF31" s="842"/>
      <c r="HG31" s="842"/>
      <c r="HH31" s="842"/>
      <c r="HI31" s="842"/>
      <c r="HJ31" s="842"/>
      <c r="HK31" s="842"/>
      <c r="HL31" s="842"/>
      <c r="HM31" s="842"/>
      <c r="HN31" s="842"/>
      <c r="HO31" s="842"/>
      <c r="HP31" s="842"/>
      <c r="HQ31" s="842"/>
      <c r="HR31" s="842"/>
      <c r="HS31" s="842"/>
      <c r="HT31" s="842"/>
      <c r="HU31" s="842"/>
      <c r="HV31" s="842"/>
      <c r="HW31" s="842"/>
      <c r="HX31" s="842"/>
      <c r="HY31" s="842"/>
      <c r="HZ31" s="842"/>
      <c r="IA31" s="842"/>
      <c r="IB31" s="842"/>
      <c r="IC31" s="842"/>
      <c r="ID31" s="842"/>
      <c r="IE31" s="842"/>
      <c r="IF31" s="842"/>
      <c r="IG31" s="842"/>
      <c r="IH31" s="842"/>
      <c r="II31" s="842"/>
      <c r="IJ31" s="842"/>
      <c r="IK31" s="842"/>
      <c r="IL31" s="842"/>
      <c r="IM31" s="842"/>
      <c r="IN31" s="842"/>
      <c r="IO31" s="842"/>
      <c r="IP31" s="842"/>
      <c r="IQ31" s="842"/>
      <c r="IR31" s="842"/>
      <c r="IS31" s="842"/>
      <c r="IT31" s="842"/>
      <c r="IU31" s="842"/>
      <c r="IV31" s="842"/>
    </row>
    <row r="32" spans="1:14" ht="12.75">
      <c r="A32" s="844"/>
      <c r="B32" s="845" t="s">
        <v>994</v>
      </c>
      <c r="C32" s="892" t="s">
        <v>995</v>
      </c>
      <c r="D32" s="861"/>
      <c r="E32" s="847"/>
      <c r="F32" s="848"/>
      <c r="G32" s="866"/>
      <c r="H32" s="849"/>
      <c r="I32" s="867"/>
      <c r="J32" s="847"/>
      <c r="K32" s="848">
        <f>4158000+352000</f>
        <v>4510000</v>
      </c>
      <c r="L32" s="850">
        <f t="shared" si="1"/>
        <v>4510000</v>
      </c>
      <c r="M32" s="851"/>
      <c r="N32" s="841"/>
    </row>
    <row r="33" spans="1:14" ht="12.75">
      <c r="A33" s="844"/>
      <c r="B33" s="845" t="s">
        <v>996</v>
      </c>
      <c r="C33" s="892" t="s">
        <v>997</v>
      </c>
      <c r="D33" s="861"/>
      <c r="E33" s="847"/>
      <c r="F33" s="848"/>
      <c r="G33" s="866"/>
      <c r="H33" s="849"/>
      <c r="I33" s="867"/>
      <c r="J33" s="847"/>
      <c r="K33" s="848">
        <f>18150000+1925000</f>
        <v>20075000</v>
      </c>
      <c r="L33" s="850">
        <f t="shared" si="1"/>
        <v>20075000</v>
      </c>
      <c r="M33" s="851"/>
      <c r="N33" s="841"/>
    </row>
    <row r="34" spans="1:14" ht="12.75">
      <c r="A34" s="844"/>
      <c r="B34" s="845" t="s">
        <v>998</v>
      </c>
      <c r="C34" s="892" t="s">
        <v>417</v>
      </c>
      <c r="D34" s="861">
        <v>70</v>
      </c>
      <c r="E34" s="847">
        <v>65360</v>
      </c>
      <c r="F34" s="848">
        <f>E34*D34</f>
        <v>4575200</v>
      </c>
      <c r="G34" s="866"/>
      <c r="H34" s="849"/>
      <c r="I34" s="867"/>
      <c r="J34" s="847"/>
      <c r="K34" s="848"/>
      <c r="L34" s="850"/>
      <c r="M34" s="851"/>
      <c r="N34" s="841"/>
    </row>
    <row r="35" spans="1:14" ht="12.75">
      <c r="A35" s="844"/>
      <c r="B35" s="845" t="s">
        <v>999</v>
      </c>
      <c r="C35" s="892" t="s">
        <v>1000</v>
      </c>
      <c r="D35" s="861">
        <v>9</v>
      </c>
      <c r="E35" s="847">
        <v>330000</v>
      </c>
      <c r="F35" s="848">
        <f>E35*D35</f>
        <v>2970000</v>
      </c>
      <c r="G35" s="866"/>
      <c r="H35" s="849"/>
      <c r="I35" s="867"/>
      <c r="J35" s="847"/>
      <c r="K35" s="848"/>
      <c r="L35" s="850"/>
      <c r="M35" s="851"/>
      <c r="N35" s="841"/>
    </row>
    <row r="36" spans="1:14" ht="12.75">
      <c r="A36" s="844"/>
      <c r="B36" s="845" t="s">
        <v>1001</v>
      </c>
      <c r="C36" s="892" t="s">
        <v>676</v>
      </c>
      <c r="D36" s="846"/>
      <c r="E36" s="847"/>
      <c r="F36" s="848"/>
      <c r="G36" s="866"/>
      <c r="H36" s="849"/>
      <c r="I36" s="867"/>
      <c r="J36" s="847"/>
      <c r="K36" s="848">
        <v>7303142</v>
      </c>
      <c r="L36" s="850">
        <f t="shared" si="1"/>
        <v>7303142</v>
      </c>
      <c r="M36" s="851"/>
      <c r="N36" s="841"/>
    </row>
    <row r="37" spans="1:256" ht="12.75">
      <c r="A37" s="843"/>
      <c r="B37" s="833" t="s">
        <v>1002</v>
      </c>
      <c r="C37" s="893" t="s">
        <v>1003</v>
      </c>
      <c r="D37" s="852"/>
      <c r="E37" s="853"/>
      <c r="F37" s="836"/>
      <c r="G37" s="854"/>
      <c r="H37" s="838"/>
      <c r="I37" s="855"/>
      <c r="J37" s="835"/>
      <c r="K37" s="836">
        <f>SUM(K38:K41)</f>
        <v>13608500</v>
      </c>
      <c r="L37" s="839">
        <f t="shared" si="1"/>
        <v>13608500</v>
      </c>
      <c r="M37" s="840"/>
      <c r="N37" s="841">
        <f>SUM(L37)</f>
        <v>13608500</v>
      </c>
      <c r="O37" s="842"/>
      <c r="P37" s="842"/>
      <c r="Q37" s="842"/>
      <c r="R37" s="842"/>
      <c r="S37" s="842"/>
      <c r="T37" s="842"/>
      <c r="U37" s="842"/>
      <c r="V37" s="842"/>
      <c r="W37" s="842"/>
      <c r="X37" s="842"/>
      <c r="Y37" s="842"/>
      <c r="Z37" s="842"/>
      <c r="AA37" s="842"/>
      <c r="AB37" s="842"/>
      <c r="AC37" s="842"/>
      <c r="AD37" s="842"/>
      <c r="AE37" s="842"/>
      <c r="AF37" s="842"/>
      <c r="AG37" s="842"/>
      <c r="AH37" s="842"/>
      <c r="AI37" s="842"/>
      <c r="AJ37" s="842"/>
      <c r="AK37" s="842"/>
      <c r="AL37" s="842"/>
      <c r="AM37" s="842"/>
      <c r="AN37" s="842"/>
      <c r="AO37" s="842"/>
      <c r="AP37" s="842"/>
      <c r="AQ37" s="842"/>
      <c r="AR37" s="842"/>
      <c r="AS37" s="842"/>
      <c r="AT37" s="842"/>
      <c r="AU37" s="842"/>
      <c r="AV37" s="842"/>
      <c r="AW37" s="842"/>
      <c r="AX37" s="842"/>
      <c r="AY37" s="842"/>
      <c r="AZ37" s="842"/>
      <c r="BA37" s="842"/>
      <c r="BB37" s="842"/>
      <c r="BC37" s="842"/>
      <c r="BD37" s="842"/>
      <c r="BE37" s="842"/>
      <c r="BF37" s="842"/>
      <c r="BG37" s="842"/>
      <c r="BH37" s="842"/>
      <c r="BI37" s="842"/>
      <c r="BJ37" s="842"/>
      <c r="BK37" s="842"/>
      <c r="BL37" s="842"/>
      <c r="BM37" s="842"/>
      <c r="BN37" s="842"/>
      <c r="BO37" s="842"/>
      <c r="BP37" s="842"/>
      <c r="BQ37" s="842"/>
      <c r="BR37" s="842"/>
      <c r="BS37" s="842"/>
      <c r="BT37" s="842"/>
      <c r="BU37" s="842"/>
      <c r="BV37" s="842"/>
      <c r="BW37" s="842"/>
      <c r="BX37" s="842"/>
      <c r="BY37" s="842"/>
      <c r="BZ37" s="842"/>
      <c r="CA37" s="842"/>
      <c r="CB37" s="842"/>
      <c r="CC37" s="842"/>
      <c r="CD37" s="842"/>
      <c r="CE37" s="842"/>
      <c r="CF37" s="842"/>
      <c r="CG37" s="842"/>
      <c r="CH37" s="842"/>
      <c r="CI37" s="842"/>
      <c r="CJ37" s="842"/>
      <c r="CK37" s="842"/>
      <c r="CL37" s="842"/>
      <c r="CM37" s="842"/>
      <c r="CN37" s="842"/>
      <c r="CO37" s="842"/>
      <c r="CP37" s="842"/>
      <c r="CQ37" s="842"/>
      <c r="CR37" s="842"/>
      <c r="CS37" s="842"/>
      <c r="CT37" s="842"/>
      <c r="CU37" s="842"/>
      <c r="CV37" s="842"/>
      <c r="CW37" s="842"/>
      <c r="CX37" s="842"/>
      <c r="CY37" s="842"/>
      <c r="CZ37" s="842"/>
      <c r="DA37" s="842"/>
      <c r="DB37" s="842"/>
      <c r="DC37" s="842"/>
      <c r="DD37" s="842"/>
      <c r="DE37" s="842"/>
      <c r="DF37" s="842"/>
      <c r="DG37" s="842"/>
      <c r="DH37" s="842"/>
      <c r="DI37" s="842"/>
      <c r="DJ37" s="842"/>
      <c r="DK37" s="842"/>
      <c r="DL37" s="842"/>
      <c r="DM37" s="842"/>
      <c r="DN37" s="842"/>
      <c r="DO37" s="842"/>
      <c r="DP37" s="842"/>
      <c r="DQ37" s="842"/>
      <c r="DR37" s="842"/>
      <c r="DS37" s="842"/>
      <c r="DT37" s="842"/>
      <c r="DU37" s="842"/>
      <c r="DV37" s="842"/>
      <c r="DW37" s="842"/>
      <c r="DX37" s="842"/>
      <c r="DY37" s="842"/>
      <c r="DZ37" s="842"/>
      <c r="EA37" s="842"/>
      <c r="EB37" s="842"/>
      <c r="EC37" s="842"/>
      <c r="ED37" s="842"/>
      <c r="EE37" s="842"/>
      <c r="EF37" s="842"/>
      <c r="EG37" s="842"/>
      <c r="EH37" s="842"/>
      <c r="EI37" s="842"/>
      <c r="EJ37" s="842"/>
      <c r="EK37" s="842"/>
      <c r="EL37" s="842"/>
      <c r="EM37" s="842"/>
      <c r="EN37" s="842"/>
      <c r="EO37" s="842"/>
      <c r="EP37" s="842"/>
      <c r="EQ37" s="842"/>
      <c r="ER37" s="842"/>
      <c r="ES37" s="842"/>
      <c r="ET37" s="842"/>
      <c r="EU37" s="842"/>
      <c r="EV37" s="842"/>
      <c r="EW37" s="842"/>
      <c r="EX37" s="842"/>
      <c r="EY37" s="842"/>
      <c r="EZ37" s="842"/>
      <c r="FA37" s="842"/>
      <c r="FB37" s="842"/>
      <c r="FC37" s="842"/>
      <c r="FD37" s="842"/>
      <c r="FE37" s="842"/>
      <c r="FF37" s="842"/>
      <c r="FG37" s="842"/>
      <c r="FH37" s="842"/>
      <c r="FI37" s="842"/>
      <c r="FJ37" s="842"/>
      <c r="FK37" s="842"/>
      <c r="FL37" s="842"/>
      <c r="FM37" s="842"/>
      <c r="FN37" s="842"/>
      <c r="FO37" s="842"/>
      <c r="FP37" s="842"/>
      <c r="FQ37" s="842"/>
      <c r="FR37" s="842"/>
      <c r="FS37" s="842"/>
      <c r="FT37" s="842"/>
      <c r="FU37" s="842"/>
      <c r="FV37" s="842"/>
      <c r="FW37" s="842"/>
      <c r="FX37" s="842"/>
      <c r="FY37" s="842"/>
      <c r="FZ37" s="842"/>
      <c r="GA37" s="842"/>
      <c r="GB37" s="842"/>
      <c r="GC37" s="842"/>
      <c r="GD37" s="842"/>
      <c r="GE37" s="842"/>
      <c r="GF37" s="842"/>
      <c r="GG37" s="842"/>
      <c r="GH37" s="842"/>
      <c r="GI37" s="842"/>
      <c r="GJ37" s="842"/>
      <c r="GK37" s="842"/>
      <c r="GL37" s="842"/>
      <c r="GM37" s="842"/>
      <c r="GN37" s="842"/>
      <c r="GO37" s="842"/>
      <c r="GP37" s="842"/>
      <c r="GQ37" s="842"/>
      <c r="GR37" s="842"/>
      <c r="GS37" s="842"/>
      <c r="GT37" s="842"/>
      <c r="GU37" s="842"/>
      <c r="GV37" s="842"/>
      <c r="GW37" s="842"/>
      <c r="GX37" s="842"/>
      <c r="GY37" s="842"/>
      <c r="GZ37" s="842"/>
      <c r="HA37" s="842"/>
      <c r="HB37" s="842"/>
      <c r="HC37" s="842"/>
      <c r="HD37" s="842"/>
      <c r="HE37" s="842"/>
      <c r="HF37" s="842"/>
      <c r="HG37" s="842"/>
      <c r="HH37" s="842"/>
      <c r="HI37" s="842"/>
      <c r="HJ37" s="842"/>
      <c r="HK37" s="842"/>
      <c r="HL37" s="842"/>
      <c r="HM37" s="842"/>
      <c r="HN37" s="842"/>
      <c r="HO37" s="842"/>
      <c r="HP37" s="842"/>
      <c r="HQ37" s="842"/>
      <c r="HR37" s="842"/>
      <c r="HS37" s="842"/>
      <c r="HT37" s="842"/>
      <c r="HU37" s="842"/>
      <c r="HV37" s="842"/>
      <c r="HW37" s="842"/>
      <c r="HX37" s="842"/>
      <c r="HY37" s="842"/>
      <c r="HZ37" s="842"/>
      <c r="IA37" s="842"/>
      <c r="IB37" s="842"/>
      <c r="IC37" s="842"/>
      <c r="ID37" s="842"/>
      <c r="IE37" s="842"/>
      <c r="IF37" s="842"/>
      <c r="IG37" s="842"/>
      <c r="IH37" s="842"/>
      <c r="II37" s="842"/>
      <c r="IJ37" s="842"/>
      <c r="IK37" s="842"/>
      <c r="IL37" s="842"/>
      <c r="IM37" s="842"/>
      <c r="IN37" s="842"/>
      <c r="IO37" s="842"/>
      <c r="IP37" s="842"/>
      <c r="IQ37" s="842"/>
      <c r="IR37" s="842"/>
      <c r="IS37" s="842"/>
      <c r="IT37" s="842"/>
      <c r="IU37" s="842"/>
      <c r="IV37" s="842"/>
    </row>
    <row r="38" spans="1:14" ht="12.75">
      <c r="A38" s="844"/>
      <c r="B38" s="845" t="s">
        <v>1004</v>
      </c>
      <c r="C38" s="894" t="s">
        <v>1005</v>
      </c>
      <c r="D38" s="868"/>
      <c r="E38" s="847"/>
      <c r="F38" s="848"/>
      <c r="G38" s="846">
        <v>1</v>
      </c>
      <c r="H38" s="849">
        <v>4419000</v>
      </c>
      <c r="I38" s="849"/>
      <c r="J38" s="847"/>
      <c r="K38" s="848">
        <f>G38*H38+206500</f>
        <v>4625500</v>
      </c>
      <c r="L38" s="869">
        <f t="shared" si="1"/>
        <v>4625500</v>
      </c>
      <c r="M38" s="851"/>
      <c r="N38" s="841"/>
    </row>
    <row r="39" spans="1:14" ht="25.5">
      <c r="A39" s="844"/>
      <c r="B39" s="845" t="s">
        <v>1006</v>
      </c>
      <c r="C39" s="894" t="s">
        <v>1007</v>
      </c>
      <c r="D39" s="868"/>
      <c r="E39" s="847"/>
      <c r="F39" s="848"/>
      <c r="G39" s="846">
        <v>2</v>
      </c>
      <c r="H39" s="849">
        <v>2993000</v>
      </c>
      <c r="I39" s="849"/>
      <c r="J39" s="847"/>
      <c r="K39" s="848">
        <f>G39*H39+230000</f>
        <v>6216000</v>
      </c>
      <c r="L39" s="869">
        <f t="shared" si="1"/>
        <v>6216000</v>
      </c>
      <c r="M39" s="851"/>
      <c r="N39" s="841"/>
    </row>
    <row r="40" spans="1:14" ht="25.5">
      <c r="A40" s="844"/>
      <c r="B40" s="845"/>
      <c r="C40" s="894" t="s">
        <v>1008</v>
      </c>
      <c r="D40" s="868"/>
      <c r="E40" s="847"/>
      <c r="F40" s="848"/>
      <c r="G40" s="846"/>
      <c r="H40" s="849"/>
      <c r="I40" s="849"/>
      <c r="J40" s="847"/>
      <c r="K40" s="848">
        <v>1038000</v>
      </c>
      <c r="L40" s="869">
        <f t="shared" si="1"/>
        <v>1038000</v>
      </c>
      <c r="M40" s="851"/>
      <c r="N40" s="841"/>
    </row>
    <row r="41" spans="1:14" ht="12.75">
      <c r="A41" s="844"/>
      <c r="B41" s="845" t="s">
        <v>1009</v>
      </c>
      <c r="C41" s="894" t="s">
        <v>1010</v>
      </c>
      <c r="D41" s="868"/>
      <c r="E41" s="847"/>
      <c r="F41" s="848"/>
      <c r="G41" s="846"/>
      <c r="H41" s="849"/>
      <c r="I41" s="849"/>
      <c r="J41" s="847"/>
      <c r="K41" s="870">
        <f>1539000+190000</f>
        <v>1729000</v>
      </c>
      <c r="L41" s="869">
        <f t="shared" si="1"/>
        <v>1729000</v>
      </c>
      <c r="M41" s="851"/>
      <c r="N41" s="841"/>
    </row>
    <row r="42" spans="1:14" ht="12.75">
      <c r="A42" s="832" t="s">
        <v>969</v>
      </c>
      <c r="B42" s="833" t="s">
        <v>1011</v>
      </c>
      <c r="C42" s="891" t="s">
        <v>1012</v>
      </c>
      <c r="D42" s="852"/>
      <c r="E42" s="853"/>
      <c r="F42" s="836">
        <f>218350+331456-89517</f>
        <v>460289</v>
      </c>
      <c r="G42" s="854"/>
      <c r="H42" s="838"/>
      <c r="I42" s="855"/>
      <c r="J42" s="835"/>
      <c r="K42" s="836">
        <f>10068391+1806691</f>
        <v>11875082</v>
      </c>
      <c r="L42" s="839">
        <f>F42+K42</f>
        <v>12335371</v>
      </c>
      <c r="M42" s="851"/>
      <c r="N42" s="841">
        <f>SUM(L42)</f>
        <v>12335371</v>
      </c>
    </row>
    <row r="43" spans="1:256" ht="25.5" customHeight="1">
      <c r="A43" s="889"/>
      <c r="B43" s="863"/>
      <c r="C43" s="890" t="s">
        <v>1013</v>
      </c>
      <c r="D43" s="824"/>
      <c r="E43" s="825"/>
      <c r="F43" s="826">
        <f>SUM(F44)</f>
        <v>70129703</v>
      </c>
      <c r="G43" s="864"/>
      <c r="H43" s="827"/>
      <c r="I43" s="865"/>
      <c r="J43" s="825"/>
      <c r="K43" s="826">
        <f>SUM(K44)</f>
        <v>0</v>
      </c>
      <c r="L43" s="826">
        <f>SUM(L44)</f>
        <v>70129703</v>
      </c>
      <c r="M43" s="840"/>
      <c r="N43" s="860">
        <f>SUM(N44)</f>
        <v>70129703</v>
      </c>
      <c r="O43" s="842"/>
      <c r="P43" s="842"/>
      <c r="Q43" s="842"/>
      <c r="R43" s="842"/>
      <c r="S43" s="842"/>
      <c r="T43" s="842"/>
      <c r="U43" s="842"/>
      <c r="V43" s="842"/>
      <c r="W43" s="842"/>
      <c r="X43" s="842"/>
      <c r="Y43" s="842"/>
      <c r="Z43" s="842"/>
      <c r="AA43" s="842"/>
      <c r="AB43" s="842"/>
      <c r="AC43" s="842"/>
      <c r="AD43" s="842"/>
      <c r="AE43" s="842"/>
      <c r="AF43" s="842"/>
      <c r="AG43" s="842"/>
      <c r="AH43" s="842"/>
      <c r="AI43" s="842"/>
      <c r="AJ43" s="842"/>
      <c r="AK43" s="842"/>
      <c r="AL43" s="842"/>
      <c r="AM43" s="842"/>
      <c r="AN43" s="842"/>
      <c r="AO43" s="842"/>
      <c r="AP43" s="842"/>
      <c r="AQ43" s="842"/>
      <c r="AR43" s="842"/>
      <c r="AS43" s="842"/>
      <c r="AT43" s="842"/>
      <c r="AU43" s="842"/>
      <c r="AV43" s="842"/>
      <c r="AW43" s="842"/>
      <c r="AX43" s="842"/>
      <c r="AY43" s="842"/>
      <c r="AZ43" s="842"/>
      <c r="BA43" s="842"/>
      <c r="BB43" s="842"/>
      <c r="BC43" s="842"/>
      <c r="BD43" s="842"/>
      <c r="BE43" s="842"/>
      <c r="BF43" s="842"/>
      <c r="BG43" s="842"/>
      <c r="BH43" s="842"/>
      <c r="BI43" s="842"/>
      <c r="BJ43" s="842"/>
      <c r="BK43" s="842"/>
      <c r="BL43" s="842"/>
      <c r="BM43" s="842"/>
      <c r="BN43" s="842"/>
      <c r="BO43" s="842"/>
      <c r="BP43" s="842"/>
      <c r="BQ43" s="842"/>
      <c r="BR43" s="842"/>
      <c r="BS43" s="842"/>
      <c r="BT43" s="842"/>
      <c r="BU43" s="842"/>
      <c r="BV43" s="842"/>
      <c r="BW43" s="842"/>
      <c r="BX43" s="842"/>
      <c r="BY43" s="842"/>
      <c r="BZ43" s="842"/>
      <c r="CA43" s="842"/>
      <c r="CB43" s="842"/>
      <c r="CC43" s="842"/>
      <c r="CD43" s="842"/>
      <c r="CE43" s="842"/>
      <c r="CF43" s="842"/>
      <c r="CG43" s="842"/>
      <c r="CH43" s="842"/>
      <c r="CI43" s="842"/>
      <c r="CJ43" s="842"/>
      <c r="CK43" s="842"/>
      <c r="CL43" s="842"/>
      <c r="CM43" s="842"/>
      <c r="CN43" s="842"/>
      <c r="CO43" s="842"/>
      <c r="CP43" s="842"/>
      <c r="CQ43" s="842"/>
      <c r="CR43" s="842"/>
      <c r="CS43" s="842"/>
      <c r="CT43" s="842"/>
      <c r="CU43" s="842"/>
      <c r="CV43" s="842"/>
      <c r="CW43" s="842"/>
      <c r="CX43" s="842"/>
      <c r="CY43" s="842"/>
      <c r="CZ43" s="842"/>
      <c r="DA43" s="842"/>
      <c r="DB43" s="842"/>
      <c r="DC43" s="842"/>
      <c r="DD43" s="842"/>
      <c r="DE43" s="842"/>
      <c r="DF43" s="842"/>
      <c r="DG43" s="842"/>
      <c r="DH43" s="842"/>
      <c r="DI43" s="842"/>
      <c r="DJ43" s="842"/>
      <c r="DK43" s="842"/>
      <c r="DL43" s="842"/>
      <c r="DM43" s="842"/>
      <c r="DN43" s="842"/>
      <c r="DO43" s="842"/>
      <c r="DP43" s="842"/>
      <c r="DQ43" s="842"/>
      <c r="DR43" s="842"/>
      <c r="DS43" s="842"/>
      <c r="DT43" s="842"/>
      <c r="DU43" s="842"/>
      <c r="DV43" s="842"/>
      <c r="DW43" s="842"/>
      <c r="DX43" s="842"/>
      <c r="DY43" s="842"/>
      <c r="DZ43" s="842"/>
      <c r="EA43" s="842"/>
      <c r="EB43" s="842"/>
      <c r="EC43" s="842"/>
      <c r="ED43" s="842"/>
      <c r="EE43" s="842"/>
      <c r="EF43" s="842"/>
      <c r="EG43" s="842"/>
      <c r="EH43" s="842"/>
      <c r="EI43" s="842"/>
      <c r="EJ43" s="842"/>
      <c r="EK43" s="842"/>
      <c r="EL43" s="842"/>
      <c r="EM43" s="842"/>
      <c r="EN43" s="842"/>
      <c r="EO43" s="842"/>
      <c r="EP43" s="842"/>
      <c r="EQ43" s="842"/>
      <c r="ER43" s="842"/>
      <c r="ES43" s="842"/>
      <c r="ET43" s="842"/>
      <c r="EU43" s="842"/>
      <c r="EV43" s="842"/>
      <c r="EW43" s="842"/>
      <c r="EX43" s="842"/>
      <c r="EY43" s="842"/>
      <c r="EZ43" s="842"/>
      <c r="FA43" s="842"/>
      <c r="FB43" s="842"/>
      <c r="FC43" s="842"/>
      <c r="FD43" s="842"/>
      <c r="FE43" s="842"/>
      <c r="FF43" s="842"/>
      <c r="FG43" s="842"/>
      <c r="FH43" s="842"/>
      <c r="FI43" s="842"/>
      <c r="FJ43" s="842"/>
      <c r="FK43" s="842"/>
      <c r="FL43" s="842"/>
      <c r="FM43" s="842"/>
      <c r="FN43" s="842"/>
      <c r="FO43" s="842"/>
      <c r="FP43" s="842"/>
      <c r="FQ43" s="842"/>
      <c r="FR43" s="842"/>
      <c r="FS43" s="842"/>
      <c r="FT43" s="842"/>
      <c r="FU43" s="842"/>
      <c r="FV43" s="842"/>
      <c r="FW43" s="842"/>
      <c r="FX43" s="842"/>
      <c r="FY43" s="842"/>
      <c r="FZ43" s="842"/>
      <c r="GA43" s="842"/>
      <c r="GB43" s="842"/>
      <c r="GC43" s="842"/>
      <c r="GD43" s="842"/>
      <c r="GE43" s="842"/>
      <c r="GF43" s="842"/>
      <c r="GG43" s="842"/>
      <c r="GH43" s="842"/>
      <c r="GI43" s="842"/>
      <c r="GJ43" s="842"/>
      <c r="GK43" s="842"/>
      <c r="GL43" s="842"/>
      <c r="GM43" s="842"/>
      <c r="GN43" s="842"/>
      <c r="GO43" s="842"/>
      <c r="GP43" s="842"/>
      <c r="GQ43" s="842"/>
      <c r="GR43" s="842"/>
      <c r="GS43" s="842"/>
      <c r="GT43" s="842"/>
      <c r="GU43" s="842"/>
      <c r="GV43" s="842"/>
      <c r="GW43" s="842"/>
      <c r="GX43" s="842"/>
      <c r="GY43" s="842"/>
      <c r="GZ43" s="842"/>
      <c r="HA43" s="842"/>
      <c r="HB43" s="842"/>
      <c r="HC43" s="842"/>
      <c r="HD43" s="842"/>
      <c r="HE43" s="842"/>
      <c r="HF43" s="842"/>
      <c r="HG43" s="842"/>
      <c r="HH43" s="842"/>
      <c r="HI43" s="842"/>
      <c r="HJ43" s="842"/>
      <c r="HK43" s="842"/>
      <c r="HL43" s="842"/>
      <c r="HM43" s="842"/>
      <c r="HN43" s="842"/>
      <c r="HO43" s="842"/>
      <c r="HP43" s="842"/>
      <c r="HQ43" s="842"/>
      <c r="HR43" s="842"/>
      <c r="HS43" s="842"/>
      <c r="HT43" s="842"/>
      <c r="HU43" s="842"/>
      <c r="HV43" s="842"/>
      <c r="HW43" s="842"/>
      <c r="HX43" s="842"/>
      <c r="HY43" s="842"/>
      <c r="HZ43" s="842"/>
      <c r="IA43" s="842"/>
      <c r="IB43" s="842"/>
      <c r="IC43" s="842"/>
      <c r="ID43" s="842"/>
      <c r="IE43" s="842"/>
      <c r="IF43" s="842"/>
      <c r="IG43" s="842"/>
      <c r="IH43" s="842"/>
      <c r="II43" s="842"/>
      <c r="IJ43" s="842"/>
      <c r="IK43" s="842"/>
      <c r="IL43" s="842"/>
      <c r="IM43" s="842"/>
      <c r="IN43" s="842"/>
      <c r="IO43" s="842"/>
      <c r="IP43" s="842"/>
      <c r="IQ43" s="842"/>
      <c r="IR43" s="842"/>
      <c r="IS43" s="842"/>
      <c r="IT43" s="842"/>
      <c r="IU43" s="842"/>
      <c r="IV43" s="842"/>
    </row>
    <row r="44" spans="1:256" ht="12.75">
      <c r="A44" s="832" t="s">
        <v>989</v>
      </c>
      <c r="B44" s="833" t="s">
        <v>1014</v>
      </c>
      <c r="C44" s="893" t="s">
        <v>1015</v>
      </c>
      <c r="D44" s="852"/>
      <c r="E44" s="853"/>
      <c r="F44" s="836">
        <f>SUM(F45:F47)</f>
        <v>70129703</v>
      </c>
      <c r="G44" s="854"/>
      <c r="H44" s="838"/>
      <c r="I44" s="855"/>
      <c r="J44" s="835"/>
      <c r="K44" s="836">
        <f>SUM(K45:K47)</f>
        <v>0</v>
      </c>
      <c r="L44" s="839">
        <f>F44+K44</f>
        <v>70129703</v>
      </c>
      <c r="M44" s="840"/>
      <c r="N44" s="841">
        <f>SUM(L45:L47)</f>
        <v>70129703</v>
      </c>
      <c r="O44" s="842"/>
      <c r="P44" s="842"/>
      <c r="Q44" s="842"/>
      <c r="R44" s="842"/>
      <c r="S44" s="842"/>
      <c r="T44" s="842"/>
      <c r="U44" s="842"/>
      <c r="V44" s="842"/>
      <c r="W44" s="842"/>
      <c r="X44" s="842"/>
      <c r="Y44" s="842"/>
      <c r="Z44" s="842"/>
      <c r="AA44" s="842"/>
      <c r="AB44" s="842"/>
      <c r="AC44" s="842"/>
      <c r="AD44" s="842"/>
      <c r="AE44" s="842"/>
      <c r="AF44" s="842"/>
      <c r="AG44" s="842"/>
      <c r="AH44" s="842"/>
      <c r="AI44" s="842"/>
      <c r="AJ44" s="842"/>
      <c r="AK44" s="842"/>
      <c r="AL44" s="842"/>
      <c r="AM44" s="842"/>
      <c r="AN44" s="842"/>
      <c r="AO44" s="842"/>
      <c r="AP44" s="842"/>
      <c r="AQ44" s="842"/>
      <c r="AR44" s="842"/>
      <c r="AS44" s="842"/>
      <c r="AT44" s="842"/>
      <c r="AU44" s="842"/>
      <c r="AV44" s="842"/>
      <c r="AW44" s="842"/>
      <c r="AX44" s="842"/>
      <c r="AY44" s="842"/>
      <c r="AZ44" s="842"/>
      <c r="BA44" s="842"/>
      <c r="BB44" s="842"/>
      <c r="BC44" s="842"/>
      <c r="BD44" s="842"/>
      <c r="BE44" s="842"/>
      <c r="BF44" s="842"/>
      <c r="BG44" s="842"/>
      <c r="BH44" s="842"/>
      <c r="BI44" s="842"/>
      <c r="BJ44" s="842"/>
      <c r="BK44" s="842"/>
      <c r="BL44" s="842"/>
      <c r="BM44" s="842"/>
      <c r="BN44" s="842"/>
      <c r="BO44" s="842"/>
      <c r="BP44" s="842"/>
      <c r="BQ44" s="842"/>
      <c r="BR44" s="842"/>
      <c r="BS44" s="842"/>
      <c r="BT44" s="842"/>
      <c r="BU44" s="842"/>
      <c r="BV44" s="842"/>
      <c r="BW44" s="842"/>
      <c r="BX44" s="842"/>
      <c r="BY44" s="842"/>
      <c r="BZ44" s="842"/>
      <c r="CA44" s="842"/>
      <c r="CB44" s="842"/>
      <c r="CC44" s="842"/>
      <c r="CD44" s="842"/>
      <c r="CE44" s="842"/>
      <c r="CF44" s="842"/>
      <c r="CG44" s="842"/>
      <c r="CH44" s="842"/>
      <c r="CI44" s="842"/>
      <c r="CJ44" s="842"/>
      <c r="CK44" s="842"/>
      <c r="CL44" s="842"/>
      <c r="CM44" s="842"/>
      <c r="CN44" s="842"/>
      <c r="CO44" s="842"/>
      <c r="CP44" s="842"/>
      <c r="CQ44" s="842"/>
      <c r="CR44" s="842"/>
      <c r="CS44" s="842"/>
      <c r="CT44" s="842"/>
      <c r="CU44" s="842"/>
      <c r="CV44" s="842"/>
      <c r="CW44" s="842"/>
      <c r="CX44" s="842"/>
      <c r="CY44" s="842"/>
      <c r="CZ44" s="842"/>
      <c r="DA44" s="842"/>
      <c r="DB44" s="842"/>
      <c r="DC44" s="842"/>
      <c r="DD44" s="842"/>
      <c r="DE44" s="842"/>
      <c r="DF44" s="842"/>
      <c r="DG44" s="842"/>
      <c r="DH44" s="842"/>
      <c r="DI44" s="842"/>
      <c r="DJ44" s="842"/>
      <c r="DK44" s="842"/>
      <c r="DL44" s="842"/>
      <c r="DM44" s="842"/>
      <c r="DN44" s="842"/>
      <c r="DO44" s="842"/>
      <c r="DP44" s="842"/>
      <c r="DQ44" s="842"/>
      <c r="DR44" s="842"/>
      <c r="DS44" s="842"/>
      <c r="DT44" s="842"/>
      <c r="DU44" s="842"/>
      <c r="DV44" s="842"/>
      <c r="DW44" s="842"/>
      <c r="DX44" s="842"/>
      <c r="DY44" s="842"/>
      <c r="DZ44" s="842"/>
      <c r="EA44" s="842"/>
      <c r="EB44" s="842"/>
      <c r="EC44" s="842"/>
      <c r="ED44" s="842"/>
      <c r="EE44" s="842"/>
      <c r="EF44" s="842"/>
      <c r="EG44" s="842"/>
      <c r="EH44" s="842"/>
      <c r="EI44" s="842"/>
      <c r="EJ44" s="842"/>
      <c r="EK44" s="842"/>
      <c r="EL44" s="842"/>
      <c r="EM44" s="842"/>
      <c r="EN44" s="842"/>
      <c r="EO44" s="842"/>
      <c r="EP44" s="842"/>
      <c r="EQ44" s="842"/>
      <c r="ER44" s="842"/>
      <c r="ES44" s="842"/>
      <c r="ET44" s="842"/>
      <c r="EU44" s="842"/>
      <c r="EV44" s="842"/>
      <c r="EW44" s="842"/>
      <c r="EX44" s="842"/>
      <c r="EY44" s="842"/>
      <c r="EZ44" s="842"/>
      <c r="FA44" s="842"/>
      <c r="FB44" s="842"/>
      <c r="FC44" s="842"/>
      <c r="FD44" s="842"/>
      <c r="FE44" s="842"/>
      <c r="FF44" s="842"/>
      <c r="FG44" s="842"/>
      <c r="FH44" s="842"/>
      <c r="FI44" s="842"/>
      <c r="FJ44" s="842"/>
      <c r="FK44" s="842"/>
      <c r="FL44" s="842"/>
      <c r="FM44" s="842"/>
      <c r="FN44" s="842"/>
      <c r="FO44" s="842"/>
      <c r="FP44" s="842"/>
      <c r="FQ44" s="842"/>
      <c r="FR44" s="842"/>
      <c r="FS44" s="842"/>
      <c r="FT44" s="842"/>
      <c r="FU44" s="842"/>
      <c r="FV44" s="842"/>
      <c r="FW44" s="842"/>
      <c r="FX44" s="842"/>
      <c r="FY44" s="842"/>
      <c r="FZ44" s="842"/>
      <c r="GA44" s="842"/>
      <c r="GB44" s="842"/>
      <c r="GC44" s="842"/>
      <c r="GD44" s="842"/>
      <c r="GE44" s="842"/>
      <c r="GF44" s="842"/>
      <c r="GG44" s="842"/>
      <c r="GH44" s="842"/>
      <c r="GI44" s="842"/>
      <c r="GJ44" s="842"/>
      <c r="GK44" s="842"/>
      <c r="GL44" s="842"/>
      <c r="GM44" s="842"/>
      <c r="GN44" s="842"/>
      <c r="GO44" s="842"/>
      <c r="GP44" s="842"/>
      <c r="GQ44" s="842"/>
      <c r="GR44" s="842"/>
      <c r="GS44" s="842"/>
      <c r="GT44" s="842"/>
      <c r="GU44" s="842"/>
      <c r="GV44" s="842"/>
      <c r="GW44" s="842"/>
      <c r="GX44" s="842"/>
      <c r="GY44" s="842"/>
      <c r="GZ44" s="842"/>
      <c r="HA44" s="842"/>
      <c r="HB44" s="842"/>
      <c r="HC44" s="842"/>
      <c r="HD44" s="842"/>
      <c r="HE44" s="842"/>
      <c r="HF44" s="842"/>
      <c r="HG44" s="842"/>
      <c r="HH44" s="842"/>
      <c r="HI44" s="842"/>
      <c r="HJ44" s="842"/>
      <c r="HK44" s="842"/>
      <c r="HL44" s="842"/>
      <c r="HM44" s="842"/>
      <c r="HN44" s="842"/>
      <c r="HO44" s="842"/>
      <c r="HP44" s="842"/>
      <c r="HQ44" s="842"/>
      <c r="HR44" s="842"/>
      <c r="HS44" s="842"/>
      <c r="HT44" s="842"/>
      <c r="HU44" s="842"/>
      <c r="HV44" s="842"/>
      <c r="HW44" s="842"/>
      <c r="HX44" s="842"/>
      <c r="HY44" s="842"/>
      <c r="HZ44" s="842"/>
      <c r="IA44" s="842"/>
      <c r="IB44" s="842"/>
      <c r="IC44" s="842"/>
      <c r="ID44" s="842"/>
      <c r="IE44" s="842"/>
      <c r="IF44" s="842"/>
      <c r="IG44" s="842"/>
      <c r="IH44" s="842"/>
      <c r="II44" s="842"/>
      <c r="IJ44" s="842"/>
      <c r="IK44" s="842"/>
      <c r="IL44" s="842"/>
      <c r="IM44" s="842"/>
      <c r="IN44" s="842"/>
      <c r="IO44" s="842"/>
      <c r="IP44" s="842"/>
      <c r="IQ44" s="842"/>
      <c r="IR44" s="842"/>
      <c r="IS44" s="842"/>
      <c r="IT44" s="842"/>
      <c r="IU44" s="842"/>
      <c r="IV44" s="842"/>
    </row>
    <row r="45" spans="1:14" ht="12.75">
      <c r="A45" s="844"/>
      <c r="B45" s="845" t="s">
        <v>1016</v>
      </c>
      <c r="C45" s="894" t="s">
        <v>1017</v>
      </c>
      <c r="D45" s="868">
        <v>9.28</v>
      </c>
      <c r="E45" s="871">
        <v>2200000</v>
      </c>
      <c r="F45" s="848">
        <f>E45*D45+1598080</f>
        <v>22014080</v>
      </c>
      <c r="G45" s="861"/>
      <c r="H45" s="849"/>
      <c r="I45" s="862"/>
      <c r="J45" s="847"/>
      <c r="K45" s="848"/>
      <c r="L45" s="869">
        <f>F45+K45</f>
        <v>22014080</v>
      </c>
      <c r="M45" s="851"/>
      <c r="N45" s="841"/>
    </row>
    <row r="46" spans="1:14" ht="12.75">
      <c r="A46" s="844"/>
      <c r="B46" s="845" t="s">
        <v>1018</v>
      </c>
      <c r="C46" s="894" t="s">
        <v>1019</v>
      </c>
      <c r="D46" s="868"/>
      <c r="E46" s="847"/>
      <c r="F46" s="870">
        <f>52368184-8204982+2062467</f>
        <v>46225669</v>
      </c>
      <c r="G46" s="846"/>
      <c r="H46" s="849"/>
      <c r="I46" s="849"/>
      <c r="J46" s="847"/>
      <c r="K46" s="848"/>
      <c r="L46" s="869">
        <f>F46+K46</f>
        <v>46225669</v>
      </c>
      <c r="M46" s="851"/>
      <c r="N46" s="851"/>
    </row>
    <row r="47" spans="1:256" ht="12.75">
      <c r="A47" s="843"/>
      <c r="B47" s="845" t="s">
        <v>1020</v>
      </c>
      <c r="C47" s="894" t="s">
        <v>1021</v>
      </c>
      <c r="D47" s="872">
        <f>3180+424-117</f>
        <v>3487</v>
      </c>
      <c r="E47" s="873">
        <v>542</v>
      </c>
      <c r="F47" s="874">
        <f>D47*E47</f>
        <v>1889954</v>
      </c>
      <c r="G47" s="854"/>
      <c r="H47" s="838"/>
      <c r="I47" s="855"/>
      <c r="J47" s="835"/>
      <c r="K47" s="836"/>
      <c r="L47" s="869">
        <f>F47+K47</f>
        <v>1889954</v>
      </c>
      <c r="M47" s="840"/>
      <c r="N47" s="841"/>
      <c r="O47" s="842"/>
      <c r="P47" s="842"/>
      <c r="Q47" s="842"/>
      <c r="R47" s="842"/>
      <c r="S47" s="842"/>
      <c r="T47" s="842"/>
      <c r="U47" s="842"/>
      <c r="V47" s="842"/>
      <c r="W47" s="842"/>
      <c r="X47" s="842"/>
      <c r="Y47" s="842"/>
      <c r="Z47" s="842"/>
      <c r="AA47" s="842"/>
      <c r="AB47" s="842"/>
      <c r="AC47" s="842"/>
      <c r="AD47" s="842"/>
      <c r="AE47" s="842"/>
      <c r="AF47" s="842"/>
      <c r="AG47" s="842"/>
      <c r="AH47" s="842"/>
      <c r="AI47" s="842"/>
      <c r="AJ47" s="842"/>
      <c r="AK47" s="842"/>
      <c r="AL47" s="842"/>
      <c r="AM47" s="842"/>
      <c r="AN47" s="842"/>
      <c r="AO47" s="842"/>
      <c r="AP47" s="842"/>
      <c r="AQ47" s="842"/>
      <c r="AR47" s="842"/>
      <c r="AS47" s="842"/>
      <c r="AT47" s="842"/>
      <c r="AU47" s="842"/>
      <c r="AV47" s="842"/>
      <c r="AW47" s="842"/>
      <c r="AX47" s="842"/>
      <c r="AY47" s="842"/>
      <c r="AZ47" s="842"/>
      <c r="BA47" s="842"/>
      <c r="BB47" s="842"/>
      <c r="BC47" s="842"/>
      <c r="BD47" s="842"/>
      <c r="BE47" s="842"/>
      <c r="BF47" s="842"/>
      <c r="BG47" s="842"/>
      <c r="BH47" s="842"/>
      <c r="BI47" s="842"/>
      <c r="BJ47" s="842"/>
      <c r="BK47" s="842"/>
      <c r="BL47" s="842"/>
      <c r="BM47" s="842"/>
      <c r="BN47" s="842"/>
      <c r="BO47" s="842"/>
      <c r="BP47" s="842"/>
      <c r="BQ47" s="842"/>
      <c r="BR47" s="842"/>
      <c r="BS47" s="842"/>
      <c r="BT47" s="842"/>
      <c r="BU47" s="842"/>
      <c r="BV47" s="842"/>
      <c r="BW47" s="842"/>
      <c r="BX47" s="842"/>
      <c r="BY47" s="842"/>
      <c r="BZ47" s="842"/>
      <c r="CA47" s="842"/>
      <c r="CB47" s="842"/>
      <c r="CC47" s="842"/>
      <c r="CD47" s="842"/>
      <c r="CE47" s="842"/>
      <c r="CF47" s="842"/>
      <c r="CG47" s="842"/>
      <c r="CH47" s="842"/>
      <c r="CI47" s="842"/>
      <c r="CJ47" s="842"/>
      <c r="CK47" s="842"/>
      <c r="CL47" s="842"/>
      <c r="CM47" s="842"/>
      <c r="CN47" s="842"/>
      <c r="CO47" s="842"/>
      <c r="CP47" s="842"/>
      <c r="CQ47" s="842"/>
      <c r="CR47" s="842"/>
      <c r="CS47" s="842"/>
      <c r="CT47" s="842"/>
      <c r="CU47" s="842"/>
      <c r="CV47" s="842"/>
      <c r="CW47" s="842"/>
      <c r="CX47" s="842"/>
      <c r="CY47" s="842"/>
      <c r="CZ47" s="842"/>
      <c r="DA47" s="842"/>
      <c r="DB47" s="842"/>
      <c r="DC47" s="842"/>
      <c r="DD47" s="842"/>
      <c r="DE47" s="842"/>
      <c r="DF47" s="842"/>
      <c r="DG47" s="842"/>
      <c r="DH47" s="842"/>
      <c r="DI47" s="842"/>
      <c r="DJ47" s="842"/>
      <c r="DK47" s="842"/>
      <c r="DL47" s="842"/>
      <c r="DM47" s="842"/>
      <c r="DN47" s="842"/>
      <c r="DO47" s="842"/>
      <c r="DP47" s="842"/>
      <c r="DQ47" s="842"/>
      <c r="DR47" s="842"/>
      <c r="DS47" s="842"/>
      <c r="DT47" s="842"/>
      <c r="DU47" s="842"/>
      <c r="DV47" s="842"/>
      <c r="DW47" s="842"/>
      <c r="DX47" s="842"/>
      <c r="DY47" s="842"/>
      <c r="DZ47" s="842"/>
      <c r="EA47" s="842"/>
      <c r="EB47" s="842"/>
      <c r="EC47" s="842"/>
      <c r="ED47" s="842"/>
      <c r="EE47" s="842"/>
      <c r="EF47" s="842"/>
      <c r="EG47" s="842"/>
      <c r="EH47" s="842"/>
      <c r="EI47" s="842"/>
      <c r="EJ47" s="842"/>
      <c r="EK47" s="842"/>
      <c r="EL47" s="842"/>
      <c r="EM47" s="842"/>
      <c r="EN47" s="842"/>
      <c r="EO47" s="842"/>
      <c r="EP47" s="842"/>
      <c r="EQ47" s="842"/>
      <c r="ER47" s="842"/>
      <c r="ES47" s="842"/>
      <c r="ET47" s="842"/>
      <c r="EU47" s="842"/>
      <c r="EV47" s="842"/>
      <c r="EW47" s="842"/>
      <c r="EX47" s="842"/>
      <c r="EY47" s="842"/>
      <c r="EZ47" s="842"/>
      <c r="FA47" s="842"/>
      <c r="FB47" s="842"/>
      <c r="FC47" s="842"/>
      <c r="FD47" s="842"/>
      <c r="FE47" s="842"/>
      <c r="FF47" s="842"/>
      <c r="FG47" s="842"/>
      <c r="FH47" s="842"/>
      <c r="FI47" s="842"/>
      <c r="FJ47" s="842"/>
      <c r="FK47" s="842"/>
      <c r="FL47" s="842"/>
      <c r="FM47" s="842"/>
      <c r="FN47" s="842"/>
      <c r="FO47" s="842"/>
      <c r="FP47" s="842"/>
      <c r="FQ47" s="842"/>
      <c r="FR47" s="842"/>
      <c r="FS47" s="842"/>
      <c r="FT47" s="842"/>
      <c r="FU47" s="842"/>
      <c r="FV47" s="842"/>
      <c r="FW47" s="842"/>
      <c r="FX47" s="842"/>
      <c r="FY47" s="842"/>
      <c r="FZ47" s="842"/>
      <c r="GA47" s="842"/>
      <c r="GB47" s="842"/>
      <c r="GC47" s="842"/>
      <c r="GD47" s="842"/>
      <c r="GE47" s="842"/>
      <c r="GF47" s="842"/>
      <c r="GG47" s="842"/>
      <c r="GH47" s="842"/>
      <c r="GI47" s="842"/>
      <c r="GJ47" s="842"/>
      <c r="GK47" s="842"/>
      <c r="GL47" s="842"/>
      <c r="GM47" s="842"/>
      <c r="GN47" s="842"/>
      <c r="GO47" s="842"/>
      <c r="GP47" s="842"/>
      <c r="GQ47" s="842"/>
      <c r="GR47" s="842"/>
      <c r="GS47" s="842"/>
      <c r="GT47" s="842"/>
      <c r="GU47" s="842"/>
      <c r="GV47" s="842"/>
      <c r="GW47" s="842"/>
      <c r="GX47" s="842"/>
      <c r="GY47" s="842"/>
      <c r="GZ47" s="842"/>
      <c r="HA47" s="842"/>
      <c r="HB47" s="842"/>
      <c r="HC47" s="842"/>
      <c r="HD47" s="842"/>
      <c r="HE47" s="842"/>
      <c r="HF47" s="842"/>
      <c r="HG47" s="842"/>
      <c r="HH47" s="842"/>
      <c r="HI47" s="842"/>
      <c r="HJ47" s="842"/>
      <c r="HK47" s="842"/>
      <c r="HL47" s="842"/>
      <c r="HM47" s="842"/>
      <c r="HN47" s="842"/>
      <c r="HO47" s="842"/>
      <c r="HP47" s="842"/>
      <c r="HQ47" s="842"/>
      <c r="HR47" s="842"/>
      <c r="HS47" s="842"/>
      <c r="HT47" s="842"/>
      <c r="HU47" s="842"/>
      <c r="HV47" s="842"/>
      <c r="HW47" s="842"/>
      <c r="HX47" s="842"/>
      <c r="HY47" s="842"/>
      <c r="HZ47" s="842"/>
      <c r="IA47" s="842"/>
      <c r="IB47" s="842"/>
      <c r="IC47" s="842"/>
      <c r="ID47" s="842"/>
      <c r="IE47" s="842"/>
      <c r="IF47" s="842"/>
      <c r="IG47" s="842"/>
      <c r="IH47" s="842"/>
      <c r="II47" s="842"/>
      <c r="IJ47" s="842"/>
      <c r="IK47" s="842"/>
      <c r="IL47" s="842"/>
      <c r="IM47" s="842"/>
      <c r="IN47" s="842"/>
      <c r="IO47" s="842"/>
      <c r="IP47" s="842"/>
      <c r="IQ47" s="842"/>
      <c r="IR47" s="842"/>
      <c r="IS47" s="842"/>
      <c r="IT47" s="842"/>
      <c r="IU47" s="842"/>
      <c r="IV47" s="842"/>
    </row>
    <row r="48" spans="1:256" ht="12.75">
      <c r="A48" s="889"/>
      <c r="B48" s="863"/>
      <c r="C48" s="890" t="s">
        <v>565</v>
      </c>
      <c r="D48" s="824"/>
      <c r="E48" s="825"/>
      <c r="F48" s="826">
        <f>SUM(F49:F51)</f>
        <v>15521527</v>
      </c>
      <c r="G48" s="864"/>
      <c r="H48" s="827"/>
      <c r="I48" s="865"/>
      <c r="J48" s="825"/>
      <c r="K48" s="826">
        <f>SUM(K49:K51)</f>
        <v>0</v>
      </c>
      <c r="L48" s="828">
        <f>SUM(L49:L51)</f>
        <v>15521527</v>
      </c>
      <c r="M48" s="840"/>
      <c r="N48" s="860">
        <f>SUM(N49:N51)</f>
        <v>15521527</v>
      </c>
      <c r="O48" s="842"/>
      <c r="P48" s="842"/>
      <c r="Q48" s="842"/>
      <c r="R48" s="842"/>
      <c r="S48" s="842"/>
      <c r="T48" s="842"/>
      <c r="U48" s="842"/>
      <c r="V48" s="842"/>
      <c r="W48" s="842"/>
      <c r="X48" s="842"/>
      <c r="Y48" s="842"/>
      <c r="Z48" s="842"/>
      <c r="AA48" s="842"/>
      <c r="AB48" s="842"/>
      <c r="AC48" s="842"/>
      <c r="AD48" s="842"/>
      <c r="AE48" s="842"/>
      <c r="AF48" s="842"/>
      <c r="AG48" s="842"/>
      <c r="AH48" s="842"/>
      <c r="AI48" s="842"/>
      <c r="AJ48" s="842"/>
      <c r="AK48" s="842"/>
      <c r="AL48" s="842"/>
      <c r="AM48" s="842"/>
      <c r="AN48" s="842"/>
      <c r="AO48" s="842"/>
      <c r="AP48" s="842"/>
      <c r="AQ48" s="842"/>
      <c r="AR48" s="842"/>
      <c r="AS48" s="842"/>
      <c r="AT48" s="842"/>
      <c r="AU48" s="842"/>
      <c r="AV48" s="842"/>
      <c r="AW48" s="842"/>
      <c r="AX48" s="842"/>
      <c r="AY48" s="842"/>
      <c r="AZ48" s="842"/>
      <c r="BA48" s="842"/>
      <c r="BB48" s="842"/>
      <c r="BC48" s="842"/>
      <c r="BD48" s="842"/>
      <c r="BE48" s="842"/>
      <c r="BF48" s="842"/>
      <c r="BG48" s="842"/>
      <c r="BH48" s="842"/>
      <c r="BI48" s="842"/>
      <c r="BJ48" s="842"/>
      <c r="BK48" s="842"/>
      <c r="BL48" s="842"/>
      <c r="BM48" s="842"/>
      <c r="BN48" s="842"/>
      <c r="BO48" s="842"/>
      <c r="BP48" s="842"/>
      <c r="BQ48" s="842"/>
      <c r="BR48" s="842"/>
      <c r="BS48" s="842"/>
      <c r="BT48" s="842"/>
      <c r="BU48" s="842"/>
      <c r="BV48" s="842"/>
      <c r="BW48" s="842"/>
      <c r="BX48" s="842"/>
      <c r="BY48" s="842"/>
      <c r="BZ48" s="842"/>
      <c r="CA48" s="842"/>
      <c r="CB48" s="842"/>
      <c r="CC48" s="842"/>
      <c r="CD48" s="842"/>
      <c r="CE48" s="842"/>
      <c r="CF48" s="842"/>
      <c r="CG48" s="842"/>
      <c r="CH48" s="842"/>
      <c r="CI48" s="842"/>
      <c r="CJ48" s="842"/>
      <c r="CK48" s="842"/>
      <c r="CL48" s="842"/>
      <c r="CM48" s="842"/>
      <c r="CN48" s="842"/>
      <c r="CO48" s="842"/>
      <c r="CP48" s="842"/>
      <c r="CQ48" s="842"/>
      <c r="CR48" s="842"/>
      <c r="CS48" s="842"/>
      <c r="CT48" s="842"/>
      <c r="CU48" s="842"/>
      <c r="CV48" s="842"/>
      <c r="CW48" s="842"/>
      <c r="CX48" s="842"/>
      <c r="CY48" s="842"/>
      <c r="CZ48" s="842"/>
      <c r="DA48" s="842"/>
      <c r="DB48" s="842"/>
      <c r="DC48" s="842"/>
      <c r="DD48" s="842"/>
      <c r="DE48" s="842"/>
      <c r="DF48" s="842"/>
      <c r="DG48" s="842"/>
      <c r="DH48" s="842"/>
      <c r="DI48" s="842"/>
      <c r="DJ48" s="842"/>
      <c r="DK48" s="842"/>
      <c r="DL48" s="842"/>
      <c r="DM48" s="842"/>
      <c r="DN48" s="842"/>
      <c r="DO48" s="842"/>
      <c r="DP48" s="842"/>
      <c r="DQ48" s="842"/>
      <c r="DR48" s="842"/>
      <c r="DS48" s="842"/>
      <c r="DT48" s="842"/>
      <c r="DU48" s="842"/>
      <c r="DV48" s="842"/>
      <c r="DW48" s="842"/>
      <c r="DX48" s="842"/>
      <c r="DY48" s="842"/>
      <c r="DZ48" s="842"/>
      <c r="EA48" s="842"/>
      <c r="EB48" s="842"/>
      <c r="EC48" s="842"/>
      <c r="ED48" s="842"/>
      <c r="EE48" s="842"/>
      <c r="EF48" s="842"/>
      <c r="EG48" s="842"/>
      <c r="EH48" s="842"/>
      <c r="EI48" s="842"/>
      <c r="EJ48" s="842"/>
      <c r="EK48" s="842"/>
      <c r="EL48" s="842"/>
      <c r="EM48" s="842"/>
      <c r="EN48" s="842"/>
      <c r="EO48" s="842"/>
      <c r="EP48" s="842"/>
      <c r="EQ48" s="842"/>
      <c r="ER48" s="842"/>
      <c r="ES48" s="842"/>
      <c r="ET48" s="842"/>
      <c r="EU48" s="842"/>
      <c r="EV48" s="842"/>
      <c r="EW48" s="842"/>
      <c r="EX48" s="842"/>
      <c r="EY48" s="842"/>
      <c r="EZ48" s="842"/>
      <c r="FA48" s="842"/>
      <c r="FB48" s="842"/>
      <c r="FC48" s="842"/>
      <c r="FD48" s="842"/>
      <c r="FE48" s="842"/>
      <c r="FF48" s="842"/>
      <c r="FG48" s="842"/>
      <c r="FH48" s="842"/>
      <c r="FI48" s="842"/>
      <c r="FJ48" s="842"/>
      <c r="FK48" s="842"/>
      <c r="FL48" s="842"/>
      <c r="FM48" s="842"/>
      <c r="FN48" s="842"/>
      <c r="FO48" s="842"/>
      <c r="FP48" s="842"/>
      <c r="FQ48" s="842"/>
      <c r="FR48" s="842"/>
      <c r="FS48" s="842"/>
      <c r="FT48" s="842"/>
      <c r="FU48" s="842"/>
      <c r="FV48" s="842"/>
      <c r="FW48" s="842"/>
      <c r="FX48" s="842"/>
      <c r="FY48" s="842"/>
      <c r="FZ48" s="842"/>
      <c r="GA48" s="842"/>
      <c r="GB48" s="842"/>
      <c r="GC48" s="842"/>
      <c r="GD48" s="842"/>
      <c r="GE48" s="842"/>
      <c r="GF48" s="842"/>
      <c r="GG48" s="842"/>
      <c r="GH48" s="842"/>
      <c r="GI48" s="842"/>
      <c r="GJ48" s="842"/>
      <c r="GK48" s="842"/>
      <c r="GL48" s="842"/>
      <c r="GM48" s="842"/>
      <c r="GN48" s="842"/>
      <c r="GO48" s="842"/>
      <c r="GP48" s="842"/>
      <c r="GQ48" s="842"/>
      <c r="GR48" s="842"/>
      <c r="GS48" s="842"/>
      <c r="GT48" s="842"/>
      <c r="GU48" s="842"/>
      <c r="GV48" s="842"/>
      <c r="GW48" s="842"/>
      <c r="GX48" s="842"/>
      <c r="GY48" s="842"/>
      <c r="GZ48" s="842"/>
      <c r="HA48" s="842"/>
      <c r="HB48" s="842"/>
      <c r="HC48" s="842"/>
      <c r="HD48" s="842"/>
      <c r="HE48" s="842"/>
      <c r="HF48" s="842"/>
      <c r="HG48" s="842"/>
      <c r="HH48" s="842"/>
      <c r="HI48" s="842"/>
      <c r="HJ48" s="842"/>
      <c r="HK48" s="842"/>
      <c r="HL48" s="842"/>
      <c r="HM48" s="842"/>
      <c r="HN48" s="842"/>
      <c r="HO48" s="842"/>
      <c r="HP48" s="842"/>
      <c r="HQ48" s="842"/>
      <c r="HR48" s="842"/>
      <c r="HS48" s="842"/>
      <c r="HT48" s="842"/>
      <c r="HU48" s="842"/>
      <c r="HV48" s="842"/>
      <c r="HW48" s="842"/>
      <c r="HX48" s="842"/>
      <c r="HY48" s="842"/>
      <c r="HZ48" s="842"/>
      <c r="IA48" s="842"/>
      <c r="IB48" s="842"/>
      <c r="IC48" s="842"/>
      <c r="ID48" s="842"/>
      <c r="IE48" s="842"/>
      <c r="IF48" s="842"/>
      <c r="IG48" s="842"/>
      <c r="IH48" s="842"/>
      <c r="II48" s="842"/>
      <c r="IJ48" s="842"/>
      <c r="IK48" s="842"/>
      <c r="IL48" s="842"/>
      <c r="IM48" s="842"/>
      <c r="IN48" s="842"/>
      <c r="IO48" s="842"/>
      <c r="IP48" s="842"/>
      <c r="IQ48" s="842"/>
      <c r="IR48" s="842"/>
      <c r="IS48" s="842"/>
      <c r="IT48" s="842"/>
      <c r="IU48" s="842"/>
      <c r="IV48" s="842"/>
    </row>
    <row r="49" spans="1:14" ht="25.5">
      <c r="A49" s="832" t="s">
        <v>1022</v>
      </c>
      <c r="B49" s="845" t="s">
        <v>1023</v>
      </c>
      <c r="C49" s="894" t="s">
        <v>1024</v>
      </c>
      <c r="D49" s="846">
        <v>8650</v>
      </c>
      <c r="E49" s="847">
        <v>1251</v>
      </c>
      <c r="F49" s="848">
        <f>D49*E49+3719500</f>
        <v>14540650</v>
      </c>
      <c r="G49" s="875"/>
      <c r="H49" s="876"/>
      <c r="I49" s="867"/>
      <c r="J49" s="871"/>
      <c r="K49" s="848"/>
      <c r="L49" s="850">
        <f>F49+K49</f>
        <v>14540650</v>
      </c>
      <c r="M49" s="851"/>
      <c r="N49" s="841">
        <f>SUM(L49)</f>
        <v>14540650</v>
      </c>
    </row>
    <row r="50" spans="1:256" ht="15.75" customHeight="1">
      <c r="A50" s="877" t="s">
        <v>969</v>
      </c>
      <c r="B50" s="878" t="s">
        <v>1025</v>
      </c>
      <c r="C50" s="895" t="s">
        <v>1026</v>
      </c>
      <c r="D50" s="852"/>
      <c r="E50" s="853"/>
      <c r="F50" s="836">
        <v>145000</v>
      </c>
      <c r="G50" s="854"/>
      <c r="H50" s="838"/>
      <c r="I50" s="855"/>
      <c r="J50" s="835"/>
      <c r="K50" s="836"/>
      <c r="L50" s="839">
        <f>F50+K50</f>
        <v>145000</v>
      </c>
      <c r="M50" s="840"/>
      <c r="N50" s="841">
        <v>145000</v>
      </c>
      <c r="O50" s="842"/>
      <c r="P50" s="842"/>
      <c r="Q50" s="842"/>
      <c r="R50" s="842"/>
      <c r="S50" s="842"/>
      <c r="T50" s="842"/>
      <c r="U50" s="842"/>
      <c r="V50" s="842"/>
      <c r="W50" s="842"/>
      <c r="X50" s="842"/>
      <c r="Y50" s="842"/>
      <c r="Z50" s="842"/>
      <c r="AA50" s="842"/>
      <c r="AB50" s="842"/>
      <c r="AC50" s="842"/>
      <c r="AD50" s="842"/>
      <c r="AE50" s="842"/>
      <c r="AF50" s="842"/>
      <c r="AG50" s="842"/>
      <c r="AH50" s="842"/>
      <c r="AI50" s="842"/>
      <c r="AJ50" s="842"/>
      <c r="AK50" s="842"/>
      <c r="AL50" s="842"/>
      <c r="AM50" s="842"/>
      <c r="AN50" s="842"/>
      <c r="AO50" s="842"/>
      <c r="AP50" s="842"/>
      <c r="AQ50" s="842"/>
      <c r="AR50" s="842"/>
      <c r="AS50" s="842"/>
      <c r="AT50" s="842"/>
      <c r="AU50" s="842"/>
      <c r="AV50" s="842"/>
      <c r="AW50" s="842"/>
      <c r="AX50" s="842"/>
      <c r="AY50" s="842"/>
      <c r="AZ50" s="842"/>
      <c r="BA50" s="842"/>
      <c r="BB50" s="842"/>
      <c r="BC50" s="842"/>
      <c r="BD50" s="842"/>
      <c r="BE50" s="842"/>
      <c r="BF50" s="842"/>
      <c r="BG50" s="842"/>
      <c r="BH50" s="842"/>
      <c r="BI50" s="842"/>
      <c r="BJ50" s="842"/>
      <c r="BK50" s="842"/>
      <c r="BL50" s="842"/>
      <c r="BM50" s="842"/>
      <c r="BN50" s="842"/>
      <c r="BO50" s="842"/>
      <c r="BP50" s="842"/>
      <c r="BQ50" s="842"/>
      <c r="BR50" s="842"/>
      <c r="BS50" s="842"/>
      <c r="BT50" s="842"/>
      <c r="BU50" s="842"/>
      <c r="BV50" s="842"/>
      <c r="BW50" s="842"/>
      <c r="BX50" s="842"/>
      <c r="BY50" s="842"/>
      <c r="BZ50" s="842"/>
      <c r="CA50" s="842"/>
      <c r="CB50" s="842"/>
      <c r="CC50" s="842"/>
      <c r="CD50" s="842"/>
      <c r="CE50" s="842"/>
      <c r="CF50" s="842"/>
      <c r="CG50" s="842"/>
      <c r="CH50" s="842"/>
      <c r="CI50" s="842"/>
      <c r="CJ50" s="842"/>
      <c r="CK50" s="842"/>
      <c r="CL50" s="842"/>
      <c r="CM50" s="842"/>
      <c r="CN50" s="842"/>
      <c r="CO50" s="842"/>
      <c r="CP50" s="842"/>
      <c r="CQ50" s="842"/>
      <c r="CR50" s="842"/>
      <c r="CS50" s="842"/>
      <c r="CT50" s="842"/>
      <c r="CU50" s="842"/>
      <c r="CV50" s="842"/>
      <c r="CW50" s="842"/>
      <c r="CX50" s="842"/>
      <c r="CY50" s="842"/>
      <c r="CZ50" s="842"/>
      <c r="DA50" s="842"/>
      <c r="DB50" s="842"/>
      <c r="DC50" s="842"/>
      <c r="DD50" s="842"/>
      <c r="DE50" s="842"/>
      <c r="DF50" s="842"/>
      <c r="DG50" s="842"/>
      <c r="DH50" s="842"/>
      <c r="DI50" s="842"/>
      <c r="DJ50" s="842"/>
      <c r="DK50" s="842"/>
      <c r="DL50" s="842"/>
      <c r="DM50" s="842"/>
      <c r="DN50" s="842"/>
      <c r="DO50" s="842"/>
      <c r="DP50" s="842"/>
      <c r="DQ50" s="842"/>
      <c r="DR50" s="842"/>
      <c r="DS50" s="842"/>
      <c r="DT50" s="842"/>
      <c r="DU50" s="842"/>
      <c r="DV50" s="842"/>
      <c r="DW50" s="842"/>
      <c r="DX50" s="842"/>
      <c r="DY50" s="842"/>
      <c r="DZ50" s="842"/>
      <c r="EA50" s="842"/>
      <c r="EB50" s="842"/>
      <c r="EC50" s="842"/>
      <c r="ED50" s="842"/>
      <c r="EE50" s="842"/>
      <c r="EF50" s="842"/>
      <c r="EG50" s="842"/>
      <c r="EH50" s="842"/>
      <c r="EI50" s="842"/>
      <c r="EJ50" s="842"/>
      <c r="EK50" s="842"/>
      <c r="EL50" s="842"/>
      <c r="EM50" s="842"/>
      <c r="EN50" s="842"/>
      <c r="EO50" s="842"/>
      <c r="EP50" s="842"/>
      <c r="EQ50" s="842"/>
      <c r="ER50" s="842"/>
      <c r="ES50" s="842"/>
      <c r="ET50" s="842"/>
      <c r="EU50" s="842"/>
      <c r="EV50" s="842"/>
      <c r="EW50" s="842"/>
      <c r="EX50" s="842"/>
      <c r="EY50" s="842"/>
      <c r="EZ50" s="842"/>
      <c r="FA50" s="842"/>
      <c r="FB50" s="842"/>
      <c r="FC50" s="842"/>
      <c r="FD50" s="842"/>
      <c r="FE50" s="842"/>
      <c r="FF50" s="842"/>
      <c r="FG50" s="842"/>
      <c r="FH50" s="842"/>
      <c r="FI50" s="842"/>
      <c r="FJ50" s="842"/>
      <c r="FK50" s="842"/>
      <c r="FL50" s="842"/>
      <c r="FM50" s="842"/>
      <c r="FN50" s="842"/>
      <c r="FO50" s="842"/>
      <c r="FP50" s="842"/>
      <c r="FQ50" s="842"/>
      <c r="FR50" s="842"/>
      <c r="FS50" s="842"/>
      <c r="FT50" s="842"/>
      <c r="FU50" s="842"/>
      <c r="FV50" s="842"/>
      <c r="FW50" s="842"/>
      <c r="FX50" s="842"/>
      <c r="FY50" s="842"/>
      <c r="FZ50" s="842"/>
      <c r="GA50" s="842"/>
      <c r="GB50" s="842"/>
      <c r="GC50" s="842"/>
      <c r="GD50" s="842"/>
      <c r="GE50" s="842"/>
      <c r="GF50" s="842"/>
      <c r="GG50" s="842"/>
      <c r="GH50" s="842"/>
      <c r="GI50" s="842"/>
      <c r="GJ50" s="842"/>
      <c r="GK50" s="842"/>
      <c r="GL50" s="842"/>
      <c r="GM50" s="842"/>
      <c r="GN50" s="842"/>
      <c r="GO50" s="842"/>
      <c r="GP50" s="842"/>
      <c r="GQ50" s="842"/>
      <c r="GR50" s="842"/>
      <c r="GS50" s="842"/>
      <c r="GT50" s="842"/>
      <c r="GU50" s="842"/>
      <c r="GV50" s="842"/>
      <c r="GW50" s="842"/>
      <c r="GX50" s="842"/>
      <c r="GY50" s="842"/>
      <c r="GZ50" s="842"/>
      <c r="HA50" s="842"/>
      <c r="HB50" s="842"/>
      <c r="HC50" s="842"/>
      <c r="HD50" s="842"/>
      <c r="HE50" s="842"/>
      <c r="HF50" s="842"/>
      <c r="HG50" s="842"/>
      <c r="HH50" s="842"/>
      <c r="HI50" s="842"/>
      <c r="HJ50" s="842"/>
      <c r="HK50" s="842"/>
      <c r="HL50" s="842"/>
      <c r="HM50" s="842"/>
      <c r="HN50" s="842"/>
      <c r="HO50" s="842"/>
      <c r="HP50" s="842"/>
      <c r="HQ50" s="842"/>
      <c r="HR50" s="842"/>
      <c r="HS50" s="842"/>
      <c r="HT50" s="842"/>
      <c r="HU50" s="842"/>
      <c r="HV50" s="842"/>
      <c r="HW50" s="842"/>
      <c r="HX50" s="842"/>
      <c r="HY50" s="842"/>
      <c r="HZ50" s="842"/>
      <c r="IA50" s="842"/>
      <c r="IB50" s="842"/>
      <c r="IC50" s="842"/>
      <c r="ID50" s="842"/>
      <c r="IE50" s="842"/>
      <c r="IF50" s="842"/>
      <c r="IG50" s="842"/>
      <c r="IH50" s="842"/>
      <c r="II50" s="842"/>
      <c r="IJ50" s="842"/>
      <c r="IK50" s="842"/>
      <c r="IL50" s="842"/>
      <c r="IM50" s="842"/>
      <c r="IN50" s="842"/>
      <c r="IO50" s="842"/>
      <c r="IP50" s="842"/>
      <c r="IQ50" s="842"/>
      <c r="IR50" s="842"/>
      <c r="IS50" s="842"/>
      <c r="IT50" s="842"/>
      <c r="IU50" s="842"/>
      <c r="IV50" s="842"/>
    </row>
    <row r="51" spans="1:256" ht="12.75">
      <c r="A51" s="832" t="s">
        <v>969</v>
      </c>
      <c r="B51" s="833" t="s">
        <v>1027</v>
      </c>
      <c r="C51" s="891" t="s">
        <v>1028</v>
      </c>
      <c r="D51" s="852"/>
      <c r="E51" s="853"/>
      <c r="F51" s="836">
        <f>848820-12943</f>
        <v>835877</v>
      </c>
      <c r="G51" s="854"/>
      <c r="H51" s="838"/>
      <c r="I51" s="855"/>
      <c r="J51" s="835"/>
      <c r="K51" s="836"/>
      <c r="L51" s="839">
        <f>F51+K51</f>
        <v>835877</v>
      </c>
      <c r="M51" s="840"/>
      <c r="N51" s="841">
        <f>SUM(L51)</f>
        <v>835877</v>
      </c>
      <c r="O51" s="842"/>
      <c r="P51" s="842"/>
      <c r="Q51" s="842"/>
      <c r="R51" s="842"/>
      <c r="S51" s="842"/>
      <c r="T51" s="842"/>
      <c r="U51" s="842"/>
      <c r="V51" s="842"/>
      <c r="W51" s="842"/>
      <c r="X51" s="842"/>
      <c r="Y51" s="842"/>
      <c r="Z51" s="842"/>
      <c r="AA51" s="842"/>
      <c r="AB51" s="842"/>
      <c r="AC51" s="842"/>
      <c r="AD51" s="842"/>
      <c r="AE51" s="842"/>
      <c r="AF51" s="842"/>
      <c r="AG51" s="842"/>
      <c r="AH51" s="842"/>
      <c r="AI51" s="842"/>
      <c r="AJ51" s="842"/>
      <c r="AK51" s="842"/>
      <c r="AL51" s="842"/>
      <c r="AM51" s="842"/>
      <c r="AN51" s="842"/>
      <c r="AO51" s="842"/>
      <c r="AP51" s="842"/>
      <c r="AQ51" s="842"/>
      <c r="AR51" s="842"/>
      <c r="AS51" s="842"/>
      <c r="AT51" s="842"/>
      <c r="AU51" s="842"/>
      <c r="AV51" s="842"/>
      <c r="AW51" s="842"/>
      <c r="AX51" s="842"/>
      <c r="AY51" s="842"/>
      <c r="AZ51" s="842"/>
      <c r="BA51" s="842"/>
      <c r="BB51" s="842"/>
      <c r="BC51" s="842"/>
      <c r="BD51" s="842"/>
      <c r="BE51" s="842"/>
      <c r="BF51" s="842"/>
      <c r="BG51" s="842"/>
      <c r="BH51" s="842"/>
      <c r="BI51" s="842"/>
      <c r="BJ51" s="842"/>
      <c r="BK51" s="842"/>
      <c r="BL51" s="842"/>
      <c r="BM51" s="842"/>
      <c r="BN51" s="842"/>
      <c r="BO51" s="842"/>
      <c r="BP51" s="842"/>
      <c r="BQ51" s="842"/>
      <c r="BR51" s="842"/>
      <c r="BS51" s="842"/>
      <c r="BT51" s="842"/>
      <c r="BU51" s="842"/>
      <c r="BV51" s="842"/>
      <c r="BW51" s="842"/>
      <c r="BX51" s="842"/>
      <c r="BY51" s="842"/>
      <c r="BZ51" s="842"/>
      <c r="CA51" s="842"/>
      <c r="CB51" s="842"/>
      <c r="CC51" s="842"/>
      <c r="CD51" s="842"/>
      <c r="CE51" s="842"/>
      <c r="CF51" s="842"/>
      <c r="CG51" s="842"/>
      <c r="CH51" s="842"/>
      <c r="CI51" s="842"/>
      <c r="CJ51" s="842"/>
      <c r="CK51" s="842"/>
      <c r="CL51" s="842"/>
      <c r="CM51" s="842"/>
      <c r="CN51" s="842"/>
      <c r="CO51" s="842"/>
      <c r="CP51" s="842"/>
      <c r="CQ51" s="842"/>
      <c r="CR51" s="842"/>
      <c r="CS51" s="842"/>
      <c r="CT51" s="842"/>
      <c r="CU51" s="842"/>
      <c r="CV51" s="842"/>
      <c r="CW51" s="842"/>
      <c r="CX51" s="842"/>
      <c r="CY51" s="842"/>
      <c r="CZ51" s="842"/>
      <c r="DA51" s="842"/>
      <c r="DB51" s="842"/>
      <c r="DC51" s="842"/>
      <c r="DD51" s="842"/>
      <c r="DE51" s="842"/>
      <c r="DF51" s="842"/>
      <c r="DG51" s="842"/>
      <c r="DH51" s="842"/>
      <c r="DI51" s="842"/>
      <c r="DJ51" s="842"/>
      <c r="DK51" s="842"/>
      <c r="DL51" s="842"/>
      <c r="DM51" s="842"/>
      <c r="DN51" s="842"/>
      <c r="DO51" s="842"/>
      <c r="DP51" s="842"/>
      <c r="DQ51" s="842"/>
      <c r="DR51" s="842"/>
      <c r="DS51" s="842"/>
      <c r="DT51" s="842"/>
      <c r="DU51" s="842"/>
      <c r="DV51" s="842"/>
      <c r="DW51" s="842"/>
      <c r="DX51" s="842"/>
      <c r="DY51" s="842"/>
      <c r="DZ51" s="842"/>
      <c r="EA51" s="842"/>
      <c r="EB51" s="842"/>
      <c r="EC51" s="842"/>
      <c r="ED51" s="842"/>
      <c r="EE51" s="842"/>
      <c r="EF51" s="842"/>
      <c r="EG51" s="842"/>
      <c r="EH51" s="842"/>
      <c r="EI51" s="842"/>
      <c r="EJ51" s="842"/>
      <c r="EK51" s="842"/>
      <c r="EL51" s="842"/>
      <c r="EM51" s="842"/>
      <c r="EN51" s="842"/>
      <c r="EO51" s="842"/>
      <c r="EP51" s="842"/>
      <c r="EQ51" s="842"/>
      <c r="ER51" s="842"/>
      <c r="ES51" s="842"/>
      <c r="ET51" s="842"/>
      <c r="EU51" s="842"/>
      <c r="EV51" s="842"/>
      <c r="EW51" s="842"/>
      <c r="EX51" s="842"/>
      <c r="EY51" s="842"/>
      <c r="EZ51" s="842"/>
      <c r="FA51" s="842"/>
      <c r="FB51" s="842"/>
      <c r="FC51" s="842"/>
      <c r="FD51" s="842"/>
      <c r="FE51" s="842"/>
      <c r="FF51" s="842"/>
      <c r="FG51" s="842"/>
      <c r="FH51" s="842"/>
      <c r="FI51" s="842"/>
      <c r="FJ51" s="842"/>
      <c r="FK51" s="842"/>
      <c r="FL51" s="842"/>
      <c r="FM51" s="842"/>
      <c r="FN51" s="842"/>
      <c r="FO51" s="842"/>
      <c r="FP51" s="842"/>
      <c r="FQ51" s="842"/>
      <c r="FR51" s="842"/>
      <c r="FS51" s="842"/>
      <c r="FT51" s="842"/>
      <c r="FU51" s="842"/>
      <c r="FV51" s="842"/>
      <c r="FW51" s="842"/>
      <c r="FX51" s="842"/>
      <c r="FY51" s="842"/>
      <c r="FZ51" s="842"/>
      <c r="GA51" s="842"/>
      <c r="GB51" s="842"/>
      <c r="GC51" s="842"/>
      <c r="GD51" s="842"/>
      <c r="GE51" s="842"/>
      <c r="GF51" s="842"/>
      <c r="GG51" s="842"/>
      <c r="GH51" s="842"/>
      <c r="GI51" s="842"/>
      <c r="GJ51" s="842"/>
      <c r="GK51" s="842"/>
      <c r="GL51" s="842"/>
      <c r="GM51" s="842"/>
      <c r="GN51" s="842"/>
      <c r="GO51" s="842"/>
      <c r="GP51" s="842"/>
      <c r="GQ51" s="842"/>
      <c r="GR51" s="842"/>
      <c r="GS51" s="842"/>
      <c r="GT51" s="842"/>
      <c r="GU51" s="842"/>
      <c r="GV51" s="842"/>
      <c r="GW51" s="842"/>
      <c r="GX51" s="842"/>
      <c r="GY51" s="842"/>
      <c r="GZ51" s="842"/>
      <c r="HA51" s="842"/>
      <c r="HB51" s="842"/>
      <c r="HC51" s="842"/>
      <c r="HD51" s="842"/>
      <c r="HE51" s="842"/>
      <c r="HF51" s="842"/>
      <c r="HG51" s="842"/>
      <c r="HH51" s="842"/>
      <c r="HI51" s="842"/>
      <c r="HJ51" s="842"/>
      <c r="HK51" s="842"/>
      <c r="HL51" s="842"/>
      <c r="HM51" s="842"/>
      <c r="HN51" s="842"/>
      <c r="HO51" s="842"/>
      <c r="HP51" s="842"/>
      <c r="HQ51" s="842"/>
      <c r="HR51" s="842"/>
      <c r="HS51" s="842"/>
      <c r="HT51" s="842"/>
      <c r="HU51" s="842"/>
      <c r="HV51" s="842"/>
      <c r="HW51" s="842"/>
      <c r="HX51" s="842"/>
      <c r="HY51" s="842"/>
      <c r="HZ51" s="842"/>
      <c r="IA51" s="842"/>
      <c r="IB51" s="842"/>
      <c r="IC51" s="842"/>
      <c r="ID51" s="842"/>
      <c r="IE51" s="842"/>
      <c r="IF51" s="842"/>
      <c r="IG51" s="842"/>
      <c r="IH51" s="842"/>
      <c r="II51" s="842"/>
      <c r="IJ51" s="842"/>
      <c r="IK51" s="842"/>
      <c r="IL51" s="842"/>
      <c r="IM51" s="842"/>
      <c r="IN51" s="842"/>
      <c r="IO51" s="842"/>
      <c r="IP51" s="842"/>
      <c r="IQ51" s="842"/>
      <c r="IR51" s="842"/>
      <c r="IS51" s="842"/>
      <c r="IT51" s="842"/>
      <c r="IU51" s="842"/>
      <c r="IV51" s="842"/>
    </row>
    <row r="52" spans="1:256" ht="12.75">
      <c r="A52" s="832" t="s">
        <v>1043</v>
      </c>
      <c r="B52" s="833" t="s">
        <v>1044</v>
      </c>
      <c r="C52" s="890" t="s">
        <v>1042</v>
      </c>
      <c r="D52" s="824"/>
      <c r="E52" s="825"/>
      <c r="F52" s="826">
        <f>SUM(F53)</f>
        <v>5000000</v>
      </c>
      <c r="G52" s="864"/>
      <c r="H52" s="827"/>
      <c r="I52" s="865"/>
      <c r="J52" s="825"/>
      <c r="K52" s="826"/>
      <c r="L52" s="828">
        <f>SUM(L53)</f>
        <v>5000000</v>
      </c>
      <c r="M52" s="840"/>
      <c r="N52" s="841"/>
      <c r="O52" s="842"/>
      <c r="P52" s="842"/>
      <c r="Q52" s="842"/>
      <c r="R52" s="842"/>
      <c r="S52" s="842"/>
      <c r="T52" s="842"/>
      <c r="U52" s="842"/>
      <c r="V52" s="842"/>
      <c r="W52" s="842"/>
      <c r="X52" s="842"/>
      <c r="Y52" s="842"/>
      <c r="Z52" s="842"/>
      <c r="AA52" s="842"/>
      <c r="AB52" s="842"/>
      <c r="AC52" s="842"/>
      <c r="AD52" s="842"/>
      <c r="AE52" s="842"/>
      <c r="AF52" s="842"/>
      <c r="AG52" s="842"/>
      <c r="AH52" s="842"/>
      <c r="AI52" s="842"/>
      <c r="AJ52" s="842"/>
      <c r="AK52" s="842"/>
      <c r="AL52" s="842"/>
      <c r="AM52" s="842"/>
      <c r="AN52" s="842"/>
      <c r="AO52" s="842"/>
      <c r="AP52" s="842"/>
      <c r="AQ52" s="842"/>
      <c r="AR52" s="842"/>
      <c r="AS52" s="842"/>
      <c r="AT52" s="842"/>
      <c r="AU52" s="842"/>
      <c r="AV52" s="842"/>
      <c r="AW52" s="842"/>
      <c r="AX52" s="842"/>
      <c r="AY52" s="842"/>
      <c r="AZ52" s="842"/>
      <c r="BA52" s="842"/>
      <c r="BB52" s="842"/>
      <c r="BC52" s="842"/>
      <c r="BD52" s="842"/>
      <c r="BE52" s="842"/>
      <c r="BF52" s="842"/>
      <c r="BG52" s="842"/>
      <c r="BH52" s="842"/>
      <c r="BI52" s="842"/>
      <c r="BJ52" s="842"/>
      <c r="BK52" s="842"/>
      <c r="BL52" s="842"/>
      <c r="BM52" s="842"/>
      <c r="BN52" s="842"/>
      <c r="BO52" s="842"/>
      <c r="BP52" s="842"/>
      <c r="BQ52" s="842"/>
      <c r="BR52" s="842"/>
      <c r="BS52" s="842"/>
      <c r="BT52" s="842"/>
      <c r="BU52" s="842"/>
      <c r="BV52" s="842"/>
      <c r="BW52" s="842"/>
      <c r="BX52" s="842"/>
      <c r="BY52" s="842"/>
      <c r="BZ52" s="842"/>
      <c r="CA52" s="842"/>
      <c r="CB52" s="842"/>
      <c r="CC52" s="842"/>
      <c r="CD52" s="842"/>
      <c r="CE52" s="842"/>
      <c r="CF52" s="842"/>
      <c r="CG52" s="842"/>
      <c r="CH52" s="842"/>
      <c r="CI52" s="842"/>
      <c r="CJ52" s="842"/>
      <c r="CK52" s="842"/>
      <c r="CL52" s="842"/>
      <c r="CM52" s="842"/>
      <c r="CN52" s="842"/>
      <c r="CO52" s="842"/>
      <c r="CP52" s="842"/>
      <c r="CQ52" s="842"/>
      <c r="CR52" s="842"/>
      <c r="CS52" s="842"/>
      <c r="CT52" s="842"/>
      <c r="CU52" s="842"/>
      <c r="CV52" s="842"/>
      <c r="CW52" s="842"/>
      <c r="CX52" s="842"/>
      <c r="CY52" s="842"/>
      <c r="CZ52" s="842"/>
      <c r="DA52" s="842"/>
      <c r="DB52" s="842"/>
      <c r="DC52" s="842"/>
      <c r="DD52" s="842"/>
      <c r="DE52" s="842"/>
      <c r="DF52" s="842"/>
      <c r="DG52" s="842"/>
      <c r="DH52" s="842"/>
      <c r="DI52" s="842"/>
      <c r="DJ52" s="842"/>
      <c r="DK52" s="842"/>
      <c r="DL52" s="842"/>
      <c r="DM52" s="842"/>
      <c r="DN52" s="842"/>
      <c r="DO52" s="842"/>
      <c r="DP52" s="842"/>
      <c r="DQ52" s="842"/>
      <c r="DR52" s="842"/>
      <c r="DS52" s="842"/>
      <c r="DT52" s="842"/>
      <c r="DU52" s="842"/>
      <c r="DV52" s="842"/>
      <c r="DW52" s="842"/>
      <c r="DX52" s="842"/>
      <c r="DY52" s="842"/>
      <c r="DZ52" s="842"/>
      <c r="EA52" s="842"/>
      <c r="EB52" s="842"/>
      <c r="EC52" s="842"/>
      <c r="ED52" s="842"/>
      <c r="EE52" s="842"/>
      <c r="EF52" s="842"/>
      <c r="EG52" s="842"/>
      <c r="EH52" s="842"/>
      <c r="EI52" s="842"/>
      <c r="EJ52" s="842"/>
      <c r="EK52" s="842"/>
      <c r="EL52" s="842"/>
      <c r="EM52" s="842"/>
      <c r="EN52" s="842"/>
      <c r="EO52" s="842"/>
      <c r="EP52" s="842"/>
      <c r="EQ52" s="842"/>
      <c r="ER52" s="842"/>
      <c r="ES52" s="842"/>
      <c r="ET52" s="842"/>
      <c r="EU52" s="842"/>
      <c r="EV52" s="842"/>
      <c r="EW52" s="842"/>
      <c r="EX52" s="842"/>
      <c r="EY52" s="842"/>
      <c r="EZ52" s="842"/>
      <c r="FA52" s="842"/>
      <c r="FB52" s="842"/>
      <c r="FC52" s="842"/>
      <c r="FD52" s="842"/>
      <c r="FE52" s="842"/>
      <c r="FF52" s="842"/>
      <c r="FG52" s="842"/>
      <c r="FH52" s="842"/>
      <c r="FI52" s="842"/>
      <c r="FJ52" s="842"/>
      <c r="FK52" s="842"/>
      <c r="FL52" s="842"/>
      <c r="FM52" s="842"/>
      <c r="FN52" s="842"/>
      <c r="FO52" s="842"/>
      <c r="FP52" s="842"/>
      <c r="FQ52" s="842"/>
      <c r="FR52" s="842"/>
      <c r="FS52" s="842"/>
      <c r="FT52" s="842"/>
      <c r="FU52" s="842"/>
      <c r="FV52" s="842"/>
      <c r="FW52" s="842"/>
      <c r="FX52" s="842"/>
      <c r="FY52" s="842"/>
      <c r="FZ52" s="842"/>
      <c r="GA52" s="842"/>
      <c r="GB52" s="842"/>
      <c r="GC52" s="842"/>
      <c r="GD52" s="842"/>
      <c r="GE52" s="842"/>
      <c r="GF52" s="842"/>
      <c r="GG52" s="842"/>
      <c r="GH52" s="842"/>
      <c r="GI52" s="842"/>
      <c r="GJ52" s="842"/>
      <c r="GK52" s="842"/>
      <c r="GL52" s="842"/>
      <c r="GM52" s="842"/>
      <c r="GN52" s="842"/>
      <c r="GO52" s="842"/>
      <c r="GP52" s="842"/>
      <c r="GQ52" s="842"/>
      <c r="GR52" s="842"/>
      <c r="GS52" s="842"/>
      <c r="GT52" s="842"/>
      <c r="GU52" s="842"/>
      <c r="GV52" s="842"/>
      <c r="GW52" s="842"/>
      <c r="GX52" s="842"/>
      <c r="GY52" s="842"/>
      <c r="GZ52" s="842"/>
      <c r="HA52" s="842"/>
      <c r="HB52" s="842"/>
      <c r="HC52" s="842"/>
      <c r="HD52" s="842"/>
      <c r="HE52" s="842"/>
      <c r="HF52" s="842"/>
      <c r="HG52" s="842"/>
      <c r="HH52" s="842"/>
      <c r="HI52" s="842"/>
      <c r="HJ52" s="842"/>
      <c r="HK52" s="842"/>
      <c r="HL52" s="842"/>
      <c r="HM52" s="842"/>
      <c r="HN52" s="842"/>
      <c r="HO52" s="842"/>
      <c r="HP52" s="842"/>
      <c r="HQ52" s="842"/>
      <c r="HR52" s="842"/>
      <c r="HS52" s="842"/>
      <c r="HT52" s="842"/>
      <c r="HU52" s="842"/>
      <c r="HV52" s="842"/>
      <c r="HW52" s="842"/>
      <c r="HX52" s="842"/>
      <c r="HY52" s="842"/>
      <c r="HZ52" s="842"/>
      <c r="IA52" s="842"/>
      <c r="IB52" s="842"/>
      <c r="IC52" s="842"/>
      <c r="ID52" s="842"/>
      <c r="IE52" s="842"/>
      <c r="IF52" s="842"/>
      <c r="IG52" s="842"/>
      <c r="IH52" s="842"/>
      <c r="II52" s="842"/>
      <c r="IJ52" s="842"/>
      <c r="IK52" s="842"/>
      <c r="IL52" s="842"/>
      <c r="IM52" s="842"/>
      <c r="IN52" s="842"/>
      <c r="IO52" s="842"/>
      <c r="IP52" s="842"/>
      <c r="IQ52" s="842"/>
      <c r="IR52" s="842"/>
      <c r="IS52" s="842"/>
      <c r="IT52" s="842"/>
      <c r="IU52" s="842"/>
      <c r="IV52" s="842"/>
    </row>
    <row r="53" spans="1:256" ht="12.75">
      <c r="A53" s="832"/>
      <c r="B53" s="833"/>
      <c r="C53" s="894" t="s">
        <v>1042</v>
      </c>
      <c r="D53" s="903"/>
      <c r="E53" s="904"/>
      <c r="F53" s="909">
        <v>5000000</v>
      </c>
      <c r="G53" s="906"/>
      <c r="H53" s="907"/>
      <c r="I53" s="908"/>
      <c r="J53" s="904"/>
      <c r="K53" s="905"/>
      <c r="L53" s="850">
        <f>F53+K53</f>
        <v>5000000</v>
      </c>
      <c r="M53" s="840"/>
      <c r="N53" s="841"/>
      <c r="O53" s="842"/>
      <c r="P53" s="842"/>
      <c r="Q53" s="842"/>
      <c r="R53" s="842"/>
      <c r="S53" s="842"/>
      <c r="T53" s="842"/>
      <c r="U53" s="842"/>
      <c r="V53" s="842"/>
      <c r="W53" s="842"/>
      <c r="X53" s="842"/>
      <c r="Y53" s="842"/>
      <c r="Z53" s="842"/>
      <c r="AA53" s="842"/>
      <c r="AB53" s="842"/>
      <c r="AC53" s="842"/>
      <c r="AD53" s="842"/>
      <c r="AE53" s="842"/>
      <c r="AF53" s="842"/>
      <c r="AG53" s="842"/>
      <c r="AH53" s="842"/>
      <c r="AI53" s="842"/>
      <c r="AJ53" s="842"/>
      <c r="AK53" s="842"/>
      <c r="AL53" s="842"/>
      <c r="AM53" s="842"/>
      <c r="AN53" s="842"/>
      <c r="AO53" s="842"/>
      <c r="AP53" s="842"/>
      <c r="AQ53" s="842"/>
      <c r="AR53" s="842"/>
      <c r="AS53" s="842"/>
      <c r="AT53" s="842"/>
      <c r="AU53" s="842"/>
      <c r="AV53" s="842"/>
      <c r="AW53" s="842"/>
      <c r="AX53" s="842"/>
      <c r="AY53" s="842"/>
      <c r="AZ53" s="842"/>
      <c r="BA53" s="842"/>
      <c r="BB53" s="842"/>
      <c r="BC53" s="842"/>
      <c r="BD53" s="842"/>
      <c r="BE53" s="842"/>
      <c r="BF53" s="842"/>
      <c r="BG53" s="842"/>
      <c r="BH53" s="842"/>
      <c r="BI53" s="842"/>
      <c r="BJ53" s="842"/>
      <c r="BK53" s="842"/>
      <c r="BL53" s="842"/>
      <c r="BM53" s="842"/>
      <c r="BN53" s="842"/>
      <c r="BO53" s="842"/>
      <c r="BP53" s="842"/>
      <c r="BQ53" s="842"/>
      <c r="BR53" s="842"/>
      <c r="BS53" s="842"/>
      <c r="BT53" s="842"/>
      <c r="BU53" s="842"/>
      <c r="BV53" s="842"/>
      <c r="BW53" s="842"/>
      <c r="BX53" s="842"/>
      <c r="BY53" s="842"/>
      <c r="BZ53" s="842"/>
      <c r="CA53" s="842"/>
      <c r="CB53" s="842"/>
      <c r="CC53" s="842"/>
      <c r="CD53" s="842"/>
      <c r="CE53" s="842"/>
      <c r="CF53" s="842"/>
      <c r="CG53" s="842"/>
      <c r="CH53" s="842"/>
      <c r="CI53" s="842"/>
      <c r="CJ53" s="842"/>
      <c r="CK53" s="842"/>
      <c r="CL53" s="842"/>
      <c r="CM53" s="842"/>
      <c r="CN53" s="842"/>
      <c r="CO53" s="842"/>
      <c r="CP53" s="842"/>
      <c r="CQ53" s="842"/>
      <c r="CR53" s="842"/>
      <c r="CS53" s="842"/>
      <c r="CT53" s="842"/>
      <c r="CU53" s="842"/>
      <c r="CV53" s="842"/>
      <c r="CW53" s="842"/>
      <c r="CX53" s="842"/>
      <c r="CY53" s="842"/>
      <c r="CZ53" s="842"/>
      <c r="DA53" s="842"/>
      <c r="DB53" s="842"/>
      <c r="DC53" s="842"/>
      <c r="DD53" s="842"/>
      <c r="DE53" s="842"/>
      <c r="DF53" s="842"/>
      <c r="DG53" s="842"/>
      <c r="DH53" s="842"/>
      <c r="DI53" s="842"/>
      <c r="DJ53" s="842"/>
      <c r="DK53" s="842"/>
      <c r="DL53" s="842"/>
      <c r="DM53" s="842"/>
      <c r="DN53" s="842"/>
      <c r="DO53" s="842"/>
      <c r="DP53" s="842"/>
      <c r="DQ53" s="842"/>
      <c r="DR53" s="842"/>
      <c r="DS53" s="842"/>
      <c r="DT53" s="842"/>
      <c r="DU53" s="842"/>
      <c r="DV53" s="842"/>
      <c r="DW53" s="842"/>
      <c r="DX53" s="842"/>
      <c r="DY53" s="842"/>
      <c r="DZ53" s="842"/>
      <c r="EA53" s="842"/>
      <c r="EB53" s="842"/>
      <c r="EC53" s="842"/>
      <c r="ED53" s="842"/>
      <c r="EE53" s="842"/>
      <c r="EF53" s="842"/>
      <c r="EG53" s="842"/>
      <c r="EH53" s="842"/>
      <c r="EI53" s="842"/>
      <c r="EJ53" s="842"/>
      <c r="EK53" s="842"/>
      <c r="EL53" s="842"/>
      <c r="EM53" s="842"/>
      <c r="EN53" s="842"/>
      <c r="EO53" s="842"/>
      <c r="EP53" s="842"/>
      <c r="EQ53" s="842"/>
      <c r="ER53" s="842"/>
      <c r="ES53" s="842"/>
      <c r="ET53" s="842"/>
      <c r="EU53" s="842"/>
      <c r="EV53" s="842"/>
      <c r="EW53" s="842"/>
      <c r="EX53" s="842"/>
      <c r="EY53" s="842"/>
      <c r="EZ53" s="842"/>
      <c r="FA53" s="842"/>
      <c r="FB53" s="842"/>
      <c r="FC53" s="842"/>
      <c r="FD53" s="842"/>
      <c r="FE53" s="842"/>
      <c r="FF53" s="842"/>
      <c r="FG53" s="842"/>
      <c r="FH53" s="842"/>
      <c r="FI53" s="842"/>
      <c r="FJ53" s="842"/>
      <c r="FK53" s="842"/>
      <c r="FL53" s="842"/>
      <c r="FM53" s="842"/>
      <c r="FN53" s="842"/>
      <c r="FO53" s="842"/>
      <c r="FP53" s="842"/>
      <c r="FQ53" s="842"/>
      <c r="FR53" s="842"/>
      <c r="FS53" s="842"/>
      <c r="FT53" s="842"/>
      <c r="FU53" s="842"/>
      <c r="FV53" s="842"/>
      <c r="FW53" s="842"/>
      <c r="FX53" s="842"/>
      <c r="FY53" s="842"/>
      <c r="FZ53" s="842"/>
      <c r="GA53" s="842"/>
      <c r="GB53" s="842"/>
      <c r="GC53" s="842"/>
      <c r="GD53" s="842"/>
      <c r="GE53" s="842"/>
      <c r="GF53" s="842"/>
      <c r="GG53" s="842"/>
      <c r="GH53" s="842"/>
      <c r="GI53" s="842"/>
      <c r="GJ53" s="842"/>
      <c r="GK53" s="842"/>
      <c r="GL53" s="842"/>
      <c r="GM53" s="842"/>
      <c r="GN53" s="842"/>
      <c r="GO53" s="842"/>
      <c r="GP53" s="842"/>
      <c r="GQ53" s="842"/>
      <c r="GR53" s="842"/>
      <c r="GS53" s="842"/>
      <c r="GT53" s="842"/>
      <c r="GU53" s="842"/>
      <c r="GV53" s="842"/>
      <c r="GW53" s="842"/>
      <c r="GX53" s="842"/>
      <c r="GY53" s="842"/>
      <c r="GZ53" s="842"/>
      <c r="HA53" s="842"/>
      <c r="HB53" s="842"/>
      <c r="HC53" s="842"/>
      <c r="HD53" s="842"/>
      <c r="HE53" s="842"/>
      <c r="HF53" s="842"/>
      <c r="HG53" s="842"/>
      <c r="HH53" s="842"/>
      <c r="HI53" s="842"/>
      <c r="HJ53" s="842"/>
      <c r="HK53" s="842"/>
      <c r="HL53" s="842"/>
      <c r="HM53" s="842"/>
      <c r="HN53" s="842"/>
      <c r="HO53" s="842"/>
      <c r="HP53" s="842"/>
      <c r="HQ53" s="842"/>
      <c r="HR53" s="842"/>
      <c r="HS53" s="842"/>
      <c r="HT53" s="842"/>
      <c r="HU53" s="842"/>
      <c r="HV53" s="842"/>
      <c r="HW53" s="842"/>
      <c r="HX53" s="842"/>
      <c r="HY53" s="842"/>
      <c r="HZ53" s="842"/>
      <c r="IA53" s="842"/>
      <c r="IB53" s="842"/>
      <c r="IC53" s="842"/>
      <c r="ID53" s="842"/>
      <c r="IE53" s="842"/>
      <c r="IF53" s="842"/>
      <c r="IG53" s="842"/>
      <c r="IH53" s="842"/>
      <c r="II53" s="842"/>
      <c r="IJ53" s="842"/>
      <c r="IK53" s="842"/>
      <c r="IL53" s="842"/>
      <c r="IM53" s="842"/>
      <c r="IN53" s="842"/>
      <c r="IO53" s="842"/>
      <c r="IP53" s="842"/>
      <c r="IQ53" s="842"/>
      <c r="IR53" s="842"/>
      <c r="IS53" s="842"/>
      <c r="IT53" s="842"/>
      <c r="IU53" s="842"/>
      <c r="IV53" s="842"/>
    </row>
    <row r="54" spans="1:256" ht="12.75">
      <c r="A54" s="832" t="s">
        <v>1029</v>
      </c>
      <c r="B54" s="863" t="s">
        <v>1030</v>
      </c>
      <c r="C54" s="890" t="s">
        <v>1031</v>
      </c>
      <c r="D54" s="824"/>
      <c r="E54" s="825"/>
      <c r="F54" s="826">
        <v>19846252</v>
      </c>
      <c r="G54" s="864"/>
      <c r="H54" s="827"/>
      <c r="I54" s="865"/>
      <c r="J54" s="825"/>
      <c r="K54" s="826"/>
      <c r="L54" s="828">
        <f>F54+K54</f>
        <v>19846252</v>
      </c>
      <c r="M54" s="840"/>
      <c r="N54" s="860">
        <f>SUM(L54)</f>
        <v>19846252</v>
      </c>
      <c r="O54" s="842"/>
      <c r="P54" s="842"/>
      <c r="Q54" s="842"/>
      <c r="R54" s="842"/>
      <c r="S54" s="842"/>
      <c r="T54" s="842"/>
      <c r="U54" s="842"/>
      <c r="V54" s="842"/>
      <c r="W54" s="842"/>
      <c r="X54" s="842"/>
      <c r="Y54" s="842"/>
      <c r="Z54" s="842"/>
      <c r="AA54" s="842"/>
      <c r="AB54" s="842"/>
      <c r="AC54" s="842"/>
      <c r="AD54" s="842"/>
      <c r="AE54" s="842"/>
      <c r="AF54" s="842"/>
      <c r="AG54" s="842"/>
      <c r="AH54" s="842"/>
      <c r="AI54" s="842"/>
      <c r="AJ54" s="842"/>
      <c r="AK54" s="842"/>
      <c r="AL54" s="842"/>
      <c r="AM54" s="842"/>
      <c r="AN54" s="842"/>
      <c r="AO54" s="842"/>
      <c r="AP54" s="842"/>
      <c r="AQ54" s="842"/>
      <c r="AR54" s="842"/>
      <c r="AS54" s="842"/>
      <c r="AT54" s="842"/>
      <c r="AU54" s="842"/>
      <c r="AV54" s="842"/>
      <c r="AW54" s="842"/>
      <c r="AX54" s="842"/>
      <c r="AY54" s="842"/>
      <c r="AZ54" s="842"/>
      <c r="BA54" s="842"/>
      <c r="BB54" s="842"/>
      <c r="BC54" s="842"/>
      <c r="BD54" s="842"/>
      <c r="BE54" s="842"/>
      <c r="BF54" s="842"/>
      <c r="BG54" s="842"/>
      <c r="BH54" s="842"/>
      <c r="BI54" s="842"/>
      <c r="BJ54" s="842"/>
      <c r="BK54" s="842"/>
      <c r="BL54" s="842"/>
      <c r="BM54" s="842"/>
      <c r="BN54" s="842"/>
      <c r="BO54" s="842"/>
      <c r="BP54" s="842"/>
      <c r="BQ54" s="842"/>
      <c r="BR54" s="842"/>
      <c r="BS54" s="842"/>
      <c r="BT54" s="842"/>
      <c r="BU54" s="842"/>
      <c r="BV54" s="842"/>
      <c r="BW54" s="842"/>
      <c r="BX54" s="842"/>
      <c r="BY54" s="842"/>
      <c r="BZ54" s="842"/>
      <c r="CA54" s="842"/>
      <c r="CB54" s="842"/>
      <c r="CC54" s="842"/>
      <c r="CD54" s="842"/>
      <c r="CE54" s="842"/>
      <c r="CF54" s="842"/>
      <c r="CG54" s="842"/>
      <c r="CH54" s="842"/>
      <c r="CI54" s="842"/>
      <c r="CJ54" s="842"/>
      <c r="CK54" s="842"/>
      <c r="CL54" s="842"/>
      <c r="CM54" s="842"/>
      <c r="CN54" s="842"/>
      <c r="CO54" s="842"/>
      <c r="CP54" s="842"/>
      <c r="CQ54" s="842"/>
      <c r="CR54" s="842"/>
      <c r="CS54" s="842"/>
      <c r="CT54" s="842"/>
      <c r="CU54" s="842"/>
      <c r="CV54" s="842"/>
      <c r="CW54" s="842"/>
      <c r="CX54" s="842"/>
      <c r="CY54" s="842"/>
      <c r="CZ54" s="842"/>
      <c r="DA54" s="842"/>
      <c r="DB54" s="842"/>
      <c r="DC54" s="842"/>
      <c r="DD54" s="842"/>
      <c r="DE54" s="842"/>
      <c r="DF54" s="842"/>
      <c r="DG54" s="842"/>
      <c r="DH54" s="842"/>
      <c r="DI54" s="842"/>
      <c r="DJ54" s="842"/>
      <c r="DK54" s="842"/>
      <c r="DL54" s="842"/>
      <c r="DM54" s="842"/>
      <c r="DN54" s="842"/>
      <c r="DO54" s="842"/>
      <c r="DP54" s="842"/>
      <c r="DQ54" s="842"/>
      <c r="DR54" s="842"/>
      <c r="DS54" s="842"/>
      <c r="DT54" s="842"/>
      <c r="DU54" s="842"/>
      <c r="DV54" s="842"/>
      <c r="DW54" s="842"/>
      <c r="DX54" s="842"/>
      <c r="DY54" s="842"/>
      <c r="DZ54" s="842"/>
      <c r="EA54" s="842"/>
      <c r="EB54" s="842"/>
      <c r="EC54" s="842"/>
      <c r="ED54" s="842"/>
      <c r="EE54" s="842"/>
      <c r="EF54" s="842"/>
      <c r="EG54" s="842"/>
      <c r="EH54" s="842"/>
      <c r="EI54" s="842"/>
      <c r="EJ54" s="842"/>
      <c r="EK54" s="842"/>
      <c r="EL54" s="842"/>
      <c r="EM54" s="842"/>
      <c r="EN54" s="842"/>
      <c r="EO54" s="842"/>
      <c r="EP54" s="842"/>
      <c r="EQ54" s="842"/>
      <c r="ER54" s="842"/>
      <c r="ES54" s="842"/>
      <c r="ET54" s="842"/>
      <c r="EU54" s="842"/>
      <c r="EV54" s="842"/>
      <c r="EW54" s="842"/>
      <c r="EX54" s="842"/>
      <c r="EY54" s="842"/>
      <c r="EZ54" s="842"/>
      <c r="FA54" s="842"/>
      <c r="FB54" s="842"/>
      <c r="FC54" s="842"/>
      <c r="FD54" s="842"/>
      <c r="FE54" s="842"/>
      <c r="FF54" s="842"/>
      <c r="FG54" s="842"/>
      <c r="FH54" s="842"/>
      <c r="FI54" s="842"/>
      <c r="FJ54" s="842"/>
      <c r="FK54" s="842"/>
      <c r="FL54" s="842"/>
      <c r="FM54" s="842"/>
      <c r="FN54" s="842"/>
      <c r="FO54" s="842"/>
      <c r="FP54" s="842"/>
      <c r="FQ54" s="842"/>
      <c r="FR54" s="842"/>
      <c r="FS54" s="842"/>
      <c r="FT54" s="842"/>
      <c r="FU54" s="842"/>
      <c r="FV54" s="842"/>
      <c r="FW54" s="842"/>
      <c r="FX54" s="842"/>
      <c r="FY54" s="842"/>
      <c r="FZ54" s="842"/>
      <c r="GA54" s="842"/>
      <c r="GB54" s="842"/>
      <c r="GC54" s="842"/>
      <c r="GD54" s="842"/>
      <c r="GE54" s="842"/>
      <c r="GF54" s="842"/>
      <c r="GG54" s="842"/>
      <c r="GH54" s="842"/>
      <c r="GI54" s="842"/>
      <c r="GJ54" s="842"/>
      <c r="GK54" s="842"/>
      <c r="GL54" s="842"/>
      <c r="GM54" s="842"/>
      <c r="GN54" s="842"/>
      <c r="GO54" s="842"/>
      <c r="GP54" s="842"/>
      <c r="GQ54" s="842"/>
      <c r="GR54" s="842"/>
      <c r="GS54" s="842"/>
      <c r="GT54" s="842"/>
      <c r="GU54" s="842"/>
      <c r="GV54" s="842"/>
      <c r="GW54" s="842"/>
      <c r="GX54" s="842"/>
      <c r="GY54" s="842"/>
      <c r="GZ54" s="842"/>
      <c r="HA54" s="842"/>
      <c r="HB54" s="842"/>
      <c r="HC54" s="842"/>
      <c r="HD54" s="842"/>
      <c r="HE54" s="842"/>
      <c r="HF54" s="842"/>
      <c r="HG54" s="842"/>
      <c r="HH54" s="842"/>
      <c r="HI54" s="842"/>
      <c r="HJ54" s="842"/>
      <c r="HK54" s="842"/>
      <c r="HL54" s="842"/>
      <c r="HM54" s="842"/>
      <c r="HN54" s="842"/>
      <c r="HO54" s="842"/>
      <c r="HP54" s="842"/>
      <c r="HQ54" s="842"/>
      <c r="HR54" s="842"/>
      <c r="HS54" s="842"/>
      <c r="HT54" s="842"/>
      <c r="HU54" s="842"/>
      <c r="HV54" s="842"/>
      <c r="HW54" s="842"/>
      <c r="HX54" s="842"/>
      <c r="HY54" s="842"/>
      <c r="HZ54" s="842"/>
      <c r="IA54" s="842"/>
      <c r="IB54" s="842"/>
      <c r="IC54" s="842"/>
      <c r="ID54" s="842"/>
      <c r="IE54" s="842"/>
      <c r="IF54" s="842"/>
      <c r="IG54" s="842"/>
      <c r="IH54" s="842"/>
      <c r="II54" s="842"/>
      <c r="IJ54" s="842"/>
      <c r="IK54" s="842"/>
      <c r="IL54" s="842"/>
      <c r="IM54" s="842"/>
      <c r="IN54" s="842"/>
      <c r="IO54" s="842"/>
      <c r="IP54" s="842"/>
      <c r="IQ54" s="842"/>
      <c r="IR54" s="842"/>
      <c r="IS54" s="842"/>
      <c r="IT54" s="842"/>
      <c r="IU54" s="842"/>
      <c r="IV54" s="842"/>
    </row>
    <row r="55" spans="1:256" ht="17.25" thickBot="1">
      <c r="A55" s="1221" t="s">
        <v>1032</v>
      </c>
      <c r="B55" s="1222"/>
      <c r="C55" s="1223"/>
      <c r="D55" s="879" t="s">
        <v>1033</v>
      </c>
      <c r="E55" s="880" t="s">
        <v>1033</v>
      </c>
      <c r="F55" s="881">
        <f>SUM(F48,F43,F54,F29,F19,F8,F52)</f>
        <v>377740280</v>
      </c>
      <c r="G55" s="879" t="s">
        <v>1033</v>
      </c>
      <c r="H55" s="882" t="s">
        <v>1033</v>
      </c>
      <c r="I55" s="882" t="s">
        <v>1033</v>
      </c>
      <c r="J55" s="880" t="s">
        <v>1033</v>
      </c>
      <c r="K55" s="881">
        <f>SUM(K48,K43,K54,K29,K19,K8)</f>
        <v>186936229</v>
      </c>
      <c r="L55" s="883">
        <f>SUM(K55+F55)</f>
        <v>564676509</v>
      </c>
      <c r="M55" s="884"/>
      <c r="N55" s="885">
        <f>SUM(N48,N29,N54,N43,N19,N8)</f>
        <v>559676509</v>
      </c>
      <c r="O55" s="886"/>
      <c r="P55" s="886"/>
      <c r="Q55" s="886"/>
      <c r="R55" s="886"/>
      <c r="S55" s="886"/>
      <c r="T55" s="886"/>
      <c r="U55" s="886"/>
      <c r="V55" s="886"/>
      <c r="W55" s="886"/>
      <c r="X55" s="886"/>
      <c r="Y55" s="886"/>
      <c r="Z55" s="886"/>
      <c r="AA55" s="886"/>
      <c r="AB55" s="886"/>
      <c r="AC55" s="886"/>
      <c r="AD55" s="886"/>
      <c r="AE55" s="886"/>
      <c r="AF55" s="886"/>
      <c r="AG55" s="886"/>
      <c r="AH55" s="886"/>
      <c r="AI55" s="886"/>
      <c r="AJ55" s="886"/>
      <c r="AK55" s="886"/>
      <c r="AL55" s="886"/>
      <c r="AM55" s="886"/>
      <c r="AN55" s="886"/>
      <c r="AO55" s="886"/>
      <c r="AP55" s="886"/>
      <c r="AQ55" s="886"/>
      <c r="AR55" s="886"/>
      <c r="AS55" s="886"/>
      <c r="AT55" s="886"/>
      <c r="AU55" s="886"/>
      <c r="AV55" s="886"/>
      <c r="AW55" s="886"/>
      <c r="AX55" s="886"/>
      <c r="AY55" s="886"/>
      <c r="AZ55" s="886"/>
      <c r="BA55" s="886"/>
      <c r="BB55" s="886"/>
      <c r="BC55" s="886"/>
      <c r="BD55" s="886"/>
      <c r="BE55" s="886"/>
      <c r="BF55" s="886"/>
      <c r="BG55" s="886"/>
      <c r="BH55" s="886"/>
      <c r="BI55" s="886"/>
      <c r="BJ55" s="886"/>
      <c r="BK55" s="886"/>
      <c r="BL55" s="886"/>
      <c r="BM55" s="886"/>
      <c r="BN55" s="886"/>
      <c r="BO55" s="886"/>
      <c r="BP55" s="886"/>
      <c r="BQ55" s="886"/>
      <c r="BR55" s="886"/>
      <c r="BS55" s="886"/>
      <c r="BT55" s="886"/>
      <c r="BU55" s="886"/>
      <c r="BV55" s="886"/>
      <c r="BW55" s="886"/>
      <c r="BX55" s="886"/>
      <c r="BY55" s="886"/>
      <c r="BZ55" s="886"/>
      <c r="CA55" s="886"/>
      <c r="CB55" s="886"/>
      <c r="CC55" s="886"/>
      <c r="CD55" s="886"/>
      <c r="CE55" s="886"/>
      <c r="CF55" s="886"/>
      <c r="CG55" s="886"/>
      <c r="CH55" s="886"/>
      <c r="CI55" s="886"/>
      <c r="CJ55" s="886"/>
      <c r="CK55" s="886"/>
      <c r="CL55" s="886"/>
      <c r="CM55" s="886"/>
      <c r="CN55" s="886"/>
      <c r="CO55" s="886"/>
      <c r="CP55" s="886"/>
      <c r="CQ55" s="886"/>
      <c r="CR55" s="886"/>
      <c r="CS55" s="886"/>
      <c r="CT55" s="886"/>
      <c r="CU55" s="886"/>
      <c r="CV55" s="886"/>
      <c r="CW55" s="886"/>
      <c r="CX55" s="886"/>
      <c r="CY55" s="886"/>
      <c r="CZ55" s="886"/>
      <c r="DA55" s="886"/>
      <c r="DB55" s="886"/>
      <c r="DC55" s="886"/>
      <c r="DD55" s="886"/>
      <c r="DE55" s="886"/>
      <c r="DF55" s="886"/>
      <c r="DG55" s="886"/>
      <c r="DH55" s="886"/>
      <c r="DI55" s="886"/>
      <c r="DJ55" s="886"/>
      <c r="DK55" s="886"/>
      <c r="DL55" s="886"/>
      <c r="DM55" s="886"/>
      <c r="DN55" s="886"/>
      <c r="DO55" s="886"/>
      <c r="DP55" s="886"/>
      <c r="DQ55" s="886"/>
      <c r="DR55" s="886"/>
      <c r="DS55" s="886"/>
      <c r="DT55" s="886"/>
      <c r="DU55" s="886"/>
      <c r="DV55" s="886"/>
      <c r="DW55" s="886"/>
      <c r="DX55" s="886"/>
      <c r="DY55" s="886"/>
      <c r="DZ55" s="886"/>
      <c r="EA55" s="886"/>
      <c r="EB55" s="886"/>
      <c r="EC55" s="886"/>
      <c r="ED55" s="886"/>
      <c r="EE55" s="886"/>
      <c r="EF55" s="886"/>
      <c r="EG55" s="886"/>
      <c r="EH55" s="886"/>
      <c r="EI55" s="886"/>
      <c r="EJ55" s="886"/>
      <c r="EK55" s="886"/>
      <c r="EL55" s="886"/>
      <c r="EM55" s="886"/>
      <c r="EN55" s="886"/>
      <c r="EO55" s="886"/>
      <c r="EP55" s="886"/>
      <c r="EQ55" s="886"/>
      <c r="ER55" s="886"/>
      <c r="ES55" s="886"/>
      <c r="ET55" s="886"/>
      <c r="EU55" s="886"/>
      <c r="EV55" s="886"/>
      <c r="EW55" s="886"/>
      <c r="EX55" s="886"/>
      <c r="EY55" s="886"/>
      <c r="EZ55" s="886"/>
      <c r="FA55" s="886"/>
      <c r="FB55" s="886"/>
      <c r="FC55" s="886"/>
      <c r="FD55" s="886"/>
      <c r="FE55" s="886"/>
      <c r="FF55" s="886"/>
      <c r="FG55" s="886"/>
      <c r="FH55" s="886"/>
      <c r="FI55" s="886"/>
      <c r="FJ55" s="886"/>
      <c r="FK55" s="886"/>
      <c r="FL55" s="886"/>
      <c r="FM55" s="886"/>
      <c r="FN55" s="886"/>
      <c r="FO55" s="886"/>
      <c r="FP55" s="886"/>
      <c r="FQ55" s="886"/>
      <c r="FR55" s="886"/>
      <c r="FS55" s="886"/>
      <c r="FT55" s="886"/>
      <c r="FU55" s="886"/>
      <c r="FV55" s="886"/>
      <c r="FW55" s="886"/>
      <c r="FX55" s="886"/>
      <c r="FY55" s="886"/>
      <c r="FZ55" s="886"/>
      <c r="GA55" s="886"/>
      <c r="GB55" s="886"/>
      <c r="GC55" s="886"/>
      <c r="GD55" s="886"/>
      <c r="GE55" s="886"/>
      <c r="GF55" s="886"/>
      <c r="GG55" s="886"/>
      <c r="GH55" s="886"/>
      <c r="GI55" s="886"/>
      <c r="GJ55" s="886"/>
      <c r="GK55" s="886"/>
      <c r="GL55" s="886"/>
      <c r="GM55" s="886"/>
      <c r="GN55" s="886"/>
      <c r="GO55" s="886"/>
      <c r="GP55" s="886"/>
      <c r="GQ55" s="886"/>
      <c r="GR55" s="886"/>
      <c r="GS55" s="886"/>
      <c r="GT55" s="886"/>
      <c r="GU55" s="886"/>
      <c r="GV55" s="886"/>
      <c r="GW55" s="886"/>
      <c r="GX55" s="886"/>
      <c r="GY55" s="886"/>
      <c r="GZ55" s="886"/>
      <c r="HA55" s="886"/>
      <c r="HB55" s="886"/>
      <c r="HC55" s="886"/>
      <c r="HD55" s="886"/>
      <c r="HE55" s="886"/>
      <c r="HF55" s="886"/>
      <c r="HG55" s="886"/>
      <c r="HH55" s="886"/>
      <c r="HI55" s="886"/>
      <c r="HJ55" s="886"/>
      <c r="HK55" s="886"/>
      <c r="HL55" s="886"/>
      <c r="HM55" s="886"/>
      <c r="HN55" s="886"/>
      <c r="HO55" s="886"/>
      <c r="HP55" s="886"/>
      <c r="HQ55" s="886"/>
      <c r="HR55" s="886"/>
      <c r="HS55" s="886"/>
      <c r="HT55" s="886"/>
      <c r="HU55" s="886"/>
      <c r="HV55" s="886"/>
      <c r="HW55" s="886"/>
      <c r="HX55" s="886"/>
      <c r="HY55" s="886"/>
      <c r="HZ55" s="886"/>
      <c r="IA55" s="886"/>
      <c r="IB55" s="886"/>
      <c r="IC55" s="886"/>
      <c r="ID55" s="886"/>
      <c r="IE55" s="886"/>
      <c r="IF55" s="886"/>
      <c r="IG55" s="886"/>
      <c r="IH55" s="886"/>
      <c r="II55" s="886"/>
      <c r="IJ55" s="886"/>
      <c r="IK55" s="886"/>
      <c r="IL55" s="886"/>
      <c r="IM55" s="886"/>
      <c r="IN55" s="886"/>
      <c r="IO55" s="886"/>
      <c r="IP55" s="886"/>
      <c r="IQ55" s="886"/>
      <c r="IR55" s="886"/>
      <c r="IS55" s="886"/>
      <c r="IT55" s="886"/>
      <c r="IU55" s="886"/>
      <c r="IV55" s="886"/>
    </row>
  </sheetData>
  <sheetProtection/>
  <mergeCells count="9">
    <mergeCell ref="L5:L6"/>
    <mergeCell ref="A6:B6"/>
    <mergeCell ref="A7:B7"/>
    <mergeCell ref="A55:C55"/>
    <mergeCell ref="A2:K2"/>
    <mergeCell ref="A3:K3"/>
    <mergeCell ref="A5:C5"/>
    <mergeCell ref="D5:F5"/>
    <mergeCell ref="G5:K5"/>
  </mergeCells>
  <printOptions horizontalCentered="1"/>
  <pageMargins left="0" right="0" top="0.7480314960629921" bottom="0.7480314960629921" header="0.31496062992125984" footer="0.31496062992125984"/>
  <pageSetup fitToWidth="0" fitToHeight="1" horizontalDpi="600" verticalDpi="600" orientation="landscape" paperSize="9" scale="53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68"/>
  <sheetViews>
    <sheetView tabSelected="1" zoomScalePageLayoutView="0" workbookViewId="0" topLeftCell="A1">
      <selection activeCell="B1" sqref="B1:L1"/>
    </sheetView>
  </sheetViews>
  <sheetFormatPr defaultColWidth="9.00390625" defaultRowHeight="12.75"/>
  <cols>
    <col min="1" max="1" width="4.625" style="515" customWidth="1"/>
    <col min="2" max="2" width="40.25390625" style="92" bestFit="1" customWidth="1"/>
    <col min="3" max="3" width="15.00390625" style="92" customWidth="1"/>
    <col min="4" max="4" width="11.125" style="92" bestFit="1" customWidth="1"/>
    <col min="5" max="5" width="11.875" style="92" customWidth="1"/>
    <col min="6" max="6" width="11.75390625" style="92" customWidth="1"/>
    <col min="7" max="8" width="11.25390625" style="92" customWidth="1"/>
    <col min="9" max="9" width="11.75390625" style="92" customWidth="1"/>
    <col min="10" max="11" width="15.375" style="92" customWidth="1"/>
    <col min="12" max="12" width="16.625" style="92" customWidth="1"/>
  </cols>
  <sheetData>
    <row r="1" spans="2:12" ht="15">
      <c r="B1" s="1275" t="s">
        <v>1061</v>
      </c>
      <c r="C1" s="1275"/>
      <c r="D1" s="1275"/>
      <c r="E1" s="1275"/>
      <c r="F1" s="1275"/>
      <c r="G1" s="1275"/>
      <c r="H1" s="1275"/>
      <c r="I1" s="1275"/>
      <c r="J1" s="1275"/>
      <c r="K1" s="1275"/>
      <c r="L1" s="1275"/>
    </row>
    <row r="3" spans="2:12" ht="41.25" customHeight="1">
      <c r="B3" s="1276" t="s">
        <v>811</v>
      </c>
      <c r="C3" s="1276"/>
      <c r="D3" s="1276"/>
      <c r="E3" s="1276"/>
      <c r="F3" s="1276"/>
      <c r="G3" s="1276"/>
      <c r="H3" s="1276"/>
      <c r="I3" s="1276"/>
      <c r="J3" s="1276"/>
      <c r="K3" s="1276"/>
      <c r="L3" s="1276"/>
    </row>
    <row r="5" ht="13.5" thickBot="1"/>
    <row r="6" spans="1:12" ht="12.75" customHeight="1">
      <c r="A6" s="1277" t="s">
        <v>405</v>
      </c>
      <c r="B6" s="1280" t="s">
        <v>337</v>
      </c>
      <c r="C6" s="1283" t="s">
        <v>812</v>
      </c>
      <c r="D6" s="1284"/>
      <c r="E6" s="1284"/>
      <c r="F6" s="1284"/>
      <c r="G6" s="1284"/>
      <c r="H6" s="1285"/>
      <c r="I6" s="1285"/>
      <c r="J6" s="1286" t="s">
        <v>813</v>
      </c>
      <c r="K6" s="1286" t="s">
        <v>814</v>
      </c>
      <c r="L6" s="1286" t="s">
        <v>815</v>
      </c>
    </row>
    <row r="7" spans="1:12" ht="12.75">
      <c r="A7" s="1278"/>
      <c r="B7" s="1281"/>
      <c r="C7" s="1289" t="s">
        <v>394</v>
      </c>
      <c r="D7" s="1272" t="s">
        <v>816</v>
      </c>
      <c r="E7" s="1273"/>
      <c r="F7" s="1273"/>
      <c r="G7" s="1273"/>
      <c r="H7" s="1274"/>
      <c r="I7" s="1274"/>
      <c r="J7" s="1287"/>
      <c r="K7" s="1287"/>
      <c r="L7" s="1287"/>
    </row>
    <row r="8" spans="1:12" ht="42" customHeight="1">
      <c r="A8" s="1279"/>
      <c r="B8" s="1282"/>
      <c r="C8" s="1289"/>
      <c r="D8" s="631" t="s">
        <v>817</v>
      </c>
      <c r="E8" s="631" t="s">
        <v>818</v>
      </c>
      <c r="F8" s="631" t="s">
        <v>819</v>
      </c>
      <c r="G8" s="631" t="s">
        <v>415</v>
      </c>
      <c r="H8" s="632" t="s">
        <v>820</v>
      </c>
      <c r="I8" s="632" t="s">
        <v>821</v>
      </c>
      <c r="J8" s="1288"/>
      <c r="K8" s="1288"/>
      <c r="L8" s="1288"/>
    </row>
    <row r="9" spans="1:12" ht="13.5" thickBot="1">
      <c r="A9" s="630" t="s">
        <v>399</v>
      </c>
      <c r="B9" s="633" t="s">
        <v>400</v>
      </c>
      <c r="C9" s="634" t="s">
        <v>401</v>
      </c>
      <c r="D9" s="635" t="s">
        <v>402</v>
      </c>
      <c r="E9" s="636" t="s">
        <v>403</v>
      </c>
      <c r="F9" s="636" t="s">
        <v>404</v>
      </c>
      <c r="G9" s="636" t="s">
        <v>406</v>
      </c>
      <c r="H9" s="636" t="s">
        <v>407</v>
      </c>
      <c r="I9" s="636" t="s">
        <v>360</v>
      </c>
      <c r="J9" s="637" t="s">
        <v>361</v>
      </c>
      <c r="K9" s="637" t="s">
        <v>361</v>
      </c>
      <c r="L9" s="638" t="s">
        <v>362</v>
      </c>
    </row>
    <row r="10" spans="1:12" ht="19.5" thickBot="1" thickTop="1">
      <c r="A10" s="639">
        <v>1</v>
      </c>
      <c r="B10" s="1248" t="s">
        <v>85</v>
      </c>
      <c r="C10" s="1249"/>
      <c r="D10" s="1249"/>
      <c r="E10" s="1249"/>
      <c r="F10" s="1249"/>
      <c r="G10" s="1249"/>
      <c r="H10" s="1249"/>
      <c r="I10" s="1249"/>
      <c r="J10" s="1249"/>
      <c r="K10" s="1249"/>
      <c r="L10" s="1250"/>
    </row>
    <row r="11" spans="1:12" ht="14.25" thickBot="1" thickTop="1">
      <c r="A11" s="640"/>
      <c r="B11" s="1254"/>
      <c r="C11" s="1255"/>
      <c r="D11" s="1255"/>
      <c r="E11" s="1255"/>
      <c r="F11" s="1255"/>
      <c r="G11" s="1255"/>
      <c r="H11" s="1255"/>
      <c r="I11" s="1255"/>
      <c r="J11" s="1255"/>
      <c r="K11" s="1255"/>
      <c r="L11" s="1256"/>
    </row>
    <row r="12" spans="1:12" ht="30" customHeight="1" thickBot="1" thickTop="1">
      <c r="A12" s="641">
        <v>2</v>
      </c>
      <c r="B12" s="1267" t="s">
        <v>822</v>
      </c>
      <c r="C12" s="1268"/>
      <c r="D12" s="1268"/>
      <c r="E12" s="1268"/>
      <c r="F12" s="1268"/>
      <c r="G12" s="1268"/>
      <c r="H12" s="1268"/>
      <c r="I12" s="1268"/>
      <c r="J12" s="1269"/>
      <c r="K12" s="1269"/>
      <c r="L12" s="642"/>
    </row>
    <row r="13" spans="1:12" ht="12.75">
      <c r="A13" s="643">
        <v>3</v>
      </c>
      <c r="B13" s="644" t="s">
        <v>823</v>
      </c>
      <c r="C13" s="645">
        <v>0</v>
      </c>
      <c r="D13" s="646">
        <v>0</v>
      </c>
      <c r="E13" s="646">
        <v>0</v>
      </c>
      <c r="F13" s="646">
        <v>0</v>
      </c>
      <c r="G13" s="646">
        <v>0</v>
      </c>
      <c r="H13" s="646">
        <v>0</v>
      </c>
      <c r="I13" s="646">
        <v>0</v>
      </c>
      <c r="J13" s="647">
        <v>0</v>
      </c>
      <c r="K13" s="647">
        <v>0</v>
      </c>
      <c r="L13" s="1240"/>
    </row>
    <row r="14" spans="1:12" ht="13.5" thickBot="1">
      <c r="A14" s="648">
        <v>4</v>
      </c>
      <c r="B14" s="649" t="s">
        <v>824</v>
      </c>
      <c r="C14" s="650">
        <f>SUM(D14:I14)</f>
        <v>250634800</v>
      </c>
      <c r="D14" s="651">
        <v>0</v>
      </c>
      <c r="E14" s="652">
        <v>59135000</v>
      </c>
      <c r="F14" s="652">
        <v>52411853</v>
      </c>
      <c r="G14" s="652">
        <v>46362649</v>
      </c>
      <c r="H14" s="652">
        <v>46362649</v>
      </c>
      <c r="I14" s="652">
        <v>46362649</v>
      </c>
      <c r="J14" s="653">
        <f>6685989-519024</f>
        <v>6166965</v>
      </c>
      <c r="K14" s="653">
        <f>40118910+13881090+6000000</f>
        <v>60000000</v>
      </c>
      <c r="L14" s="1241"/>
    </row>
    <row r="15" spans="1:12" ht="13.5" thickBot="1">
      <c r="A15" s="654">
        <v>5</v>
      </c>
      <c r="B15" s="655" t="s">
        <v>825</v>
      </c>
      <c r="C15" s="656">
        <f aca="true" t="shared" si="0" ref="C15:K15">SUM(C13:C14)</f>
        <v>250634800</v>
      </c>
      <c r="D15" s="657">
        <f t="shared" si="0"/>
        <v>0</v>
      </c>
      <c r="E15" s="657">
        <f t="shared" si="0"/>
        <v>59135000</v>
      </c>
      <c r="F15" s="657">
        <f t="shared" si="0"/>
        <v>52411853</v>
      </c>
      <c r="G15" s="657">
        <f t="shared" si="0"/>
        <v>46362649</v>
      </c>
      <c r="H15" s="657">
        <f t="shared" si="0"/>
        <v>46362649</v>
      </c>
      <c r="I15" s="657">
        <f t="shared" si="0"/>
        <v>46362649</v>
      </c>
      <c r="J15" s="658">
        <f>SUM(J13:J14)</f>
        <v>6166965</v>
      </c>
      <c r="K15" s="658">
        <f t="shared" si="0"/>
        <v>60000000</v>
      </c>
      <c r="L15" s="1242"/>
    </row>
    <row r="16" spans="1:12" ht="13.5" thickBot="1">
      <c r="A16" s="654"/>
      <c r="B16" s="1243"/>
      <c r="C16" s="1233"/>
      <c r="D16" s="1233"/>
      <c r="E16" s="1233"/>
      <c r="F16" s="1233"/>
      <c r="G16" s="1233"/>
      <c r="H16" s="1233"/>
      <c r="I16" s="1233"/>
      <c r="J16" s="1233"/>
      <c r="K16" s="1244"/>
      <c r="L16" s="659"/>
    </row>
    <row r="17" spans="1:12" ht="12.75">
      <c r="A17" s="660">
        <v>6</v>
      </c>
      <c r="B17" s="661" t="s">
        <v>826</v>
      </c>
      <c r="C17" s="662">
        <f>SUM(D17:I17)</f>
        <v>146735476</v>
      </c>
      <c r="D17" s="663">
        <v>2681560</v>
      </c>
      <c r="E17" s="663">
        <v>20997974</v>
      </c>
      <c r="F17" s="663">
        <v>41039699</v>
      </c>
      <c r="G17" s="663">
        <v>27338748</v>
      </c>
      <c r="H17" s="663">
        <v>27338748</v>
      </c>
      <c r="I17" s="663">
        <v>27338747</v>
      </c>
      <c r="J17" s="1240"/>
      <c r="K17" s="1240"/>
      <c r="L17" s="647">
        <v>29550455</v>
      </c>
    </row>
    <row r="18" spans="1:12" ht="12.75">
      <c r="A18" s="664">
        <v>7</v>
      </c>
      <c r="B18" s="665" t="s">
        <v>827</v>
      </c>
      <c r="C18" s="666">
        <f>SUM(D18:I18)</f>
        <v>88344324</v>
      </c>
      <c r="D18" s="663">
        <v>0</v>
      </c>
      <c r="E18" s="663">
        <v>14084323</v>
      </c>
      <c r="F18" s="663">
        <v>17188297</v>
      </c>
      <c r="G18" s="663">
        <v>19023901</v>
      </c>
      <c r="H18" s="663">
        <v>19023901</v>
      </c>
      <c r="I18" s="663">
        <v>19023902</v>
      </c>
      <c r="J18" s="1241"/>
      <c r="K18" s="1241"/>
      <c r="L18" s="653">
        <f>17254444+13881090-519024</f>
        <v>30616510</v>
      </c>
    </row>
    <row r="19" spans="1:12" ht="13.5" thickBot="1">
      <c r="A19" s="664">
        <v>8</v>
      </c>
      <c r="B19" s="667" t="s">
        <v>828</v>
      </c>
      <c r="C19" s="668">
        <f>SUM(D19:I19)</f>
        <v>15555000</v>
      </c>
      <c r="D19" s="669">
        <v>0</v>
      </c>
      <c r="E19" s="669">
        <f>2893619+1250000</f>
        <v>4143619</v>
      </c>
      <c r="F19" s="669">
        <v>11411381</v>
      </c>
      <c r="G19" s="669">
        <v>0</v>
      </c>
      <c r="H19" s="669">
        <v>0</v>
      </c>
      <c r="I19" s="669">
        <v>0</v>
      </c>
      <c r="J19" s="1241"/>
      <c r="K19" s="1241"/>
      <c r="L19" s="670">
        <f>6000000</f>
        <v>6000000</v>
      </c>
    </row>
    <row r="20" spans="1:12" ht="13.5" thickBot="1">
      <c r="A20" s="671">
        <v>9</v>
      </c>
      <c r="B20" s="672" t="s">
        <v>345</v>
      </c>
      <c r="C20" s="673">
        <f aca="true" t="shared" si="1" ref="C20:I20">SUM(C17:C19)</f>
        <v>250634800</v>
      </c>
      <c r="D20" s="674">
        <f t="shared" si="1"/>
        <v>2681560</v>
      </c>
      <c r="E20" s="674">
        <f t="shared" si="1"/>
        <v>39225916</v>
      </c>
      <c r="F20" s="674">
        <f t="shared" si="1"/>
        <v>69639377</v>
      </c>
      <c r="G20" s="674">
        <f t="shared" si="1"/>
        <v>46362649</v>
      </c>
      <c r="H20" s="674">
        <f t="shared" si="1"/>
        <v>46362649</v>
      </c>
      <c r="I20" s="674">
        <f t="shared" si="1"/>
        <v>46362649</v>
      </c>
      <c r="J20" s="1245"/>
      <c r="K20" s="1245"/>
      <c r="L20" s="675">
        <f>SUM(L17:L19)</f>
        <v>66166965</v>
      </c>
    </row>
    <row r="21" spans="1:12" ht="14.25" thickBot="1" thickTop="1">
      <c r="A21" s="676"/>
      <c r="B21" s="1254"/>
      <c r="C21" s="1255"/>
      <c r="D21" s="1255"/>
      <c r="E21" s="1255"/>
      <c r="F21" s="1255"/>
      <c r="G21" s="1255"/>
      <c r="H21" s="1255"/>
      <c r="I21" s="1255"/>
      <c r="J21" s="1255"/>
      <c r="K21" s="1255"/>
      <c r="L21" s="1256"/>
    </row>
    <row r="22" spans="1:12" ht="16.5" thickBot="1" thickTop="1">
      <c r="A22" s="641">
        <v>10</v>
      </c>
      <c r="B22" s="1251" t="s">
        <v>829</v>
      </c>
      <c r="C22" s="1252"/>
      <c r="D22" s="1252"/>
      <c r="E22" s="1252"/>
      <c r="F22" s="1252"/>
      <c r="G22" s="1252"/>
      <c r="H22" s="1252"/>
      <c r="I22" s="1252"/>
      <c r="J22" s="1253"/>
      <c r="K22" s="1253"/>
      <c r="L22" s="642"/>
    </row>
    <row r="23" spans="1:12" ht="12.75">
      <c r="A23" s="643">
        <v>11</v>
      </c>
      <c r="B23" s="677" t="s">
        <v>823</v>
      </c>
      <c r="C23" s="666">
        <f>SUM(D23:F23)</f>
        <v>22542700</v>
      </c>
      <c r="D23" s="678">
        <v>0</v>
      </c>
      <c r="E23" s="678">
        <v>151044</v>
      </c>
      <c r="F23" s="678">
        <v>22391656</v>
      </c>
      <c r="G23" s="679"/>
      <c r="H23" s="679"/>
      <c r="I23" s="679"/>
      <c r="J23" s="647"/>
      <c r="K23" s="647">
        <v>0</v>
      </c>
      <c r="L23" s="1240"/>
    </row>
    <row r="24" spans="1:12" ht="13.5" thickBot="1">
      <c r="A24" s="654">
        <v>12</v>
      </c>
      <c r="B24" s="649" t="s">
        <v>824</v>
      </c>
      <c r="C24" s="666">
        <f>SUM(D24:F24)</f>
        <v>242560000</v>
      </c>
      <c r="D24" s="651">
        <v>242560000</v>
      </c>
      <c r="E24" s="652">
        <v>0</v>
      </c>
      <c r="F24" s="652">
        <v>0</v>
      </c>
      <c r="G24" s="680"/>
      <c r="H24" s="680"/>
      <c r="I24" s="681"/>
      <c r="J24" s="653">
        <f>45188110+22387266</f>
        <v>67575376</v>
      </c>
      <c r="K24" s="653"/>
      <c r="L24" s="1241"/>
    </row>
    <row r="25" spans="1:12" ht="13.5" thickBot="1">
      <c r="A25" s="654">
        <v>13</v>
      </c>
      <c r="B25" s="655" t="s">
        <v>825</v>
      </c>
      <c r="C25" s="656">
        <f aca="true" t="shared" si="2" ref="C25:K25">SUM(C23:C24)</f>
        <v>265102700</v>
      </c>
      <c r="D25" s="657">
        <f t="shared" si="2"/>
        <v>242560000</v>
      </c>
      <c r="E25" s="657">
        <f t="shared" si="2"/>
        <v>151044</v>
      </c>
      <c r="F25" s="657">
        <f t="shared" si="2"/>
        <v>22391656</v>
      </c>
      <c r="G25" s="682"/>
      <c r="H25" s="682"/>
      <c r="I25" s="682"/>
      <c r="J25" s="658">
        <f>SUM(J23:J24)</f>
        <v>67575376</v>
      </c>
      <c r="K25" s="658">
        <f t="shared" si="2"/>
        <v>0</v>
      </c>
      <c r="L25" s="1242"/>
    </row>
    <row r="26" spans="1:12" ht="13.5" thickBot="1">
      <c r="A26" s="654"/>
      <c r="B26" s="1243"/>
      <c r="C26" s="1233"/>
      <c r="D26" s="1233"/>
      <c r="E26" s="1233"/>
      <c r="F26" s="1233"/>
      <c r="G26" s="1233"/>
      <c r="H26" s="1233"/>
      <c r="I26" s="1233"/>
      <c r="J26" s="1233"/>
      <c r="K26" s="1244"/>
      <c r="L26" s="659"/>
    </row>
    <row r="27" spans="1:12" ht="12.75">
      <c r="A27" s="664">
        <v>14</v>
      </c>
      <c r="B27" s="777" t="s">
        <v>827</v>
      </c>
      <c r="C27" s="683">
        <f>SUM(D27:F27)</f>
        <v>242560000</v>
      </c>
      <c r="D27" s="684">
        <v>392025</v>
      </c>
      <c r="E27" s="684">
        <v>12124400</v>
      </c>
      <c r="F27" s="684">
        <v>230043575</v>
      </c>
      <c r="G27" s="679"/>
      <c r="H27" s="679"/>
      <c r="I27" s="679"/>
      <c r="J27" s="1240"/>
      <c r="K27" s="1240"/>
      <c r="L27" s="647">
        <v>2533963</v>
      </c>
    </row>
    <row r="28" spans="1:12" ht="12.75">
      <c r="A28" s="664">
        <v>15</v>
      </c>
      <c r="B28" s="704" t="s">
        <v>828</v>
      </c>
      <c r="C28" s="666">
        <f>SUM(D28:F28)</f>
        <v>22542700</v>
      </c>
      <c r="D28" s="685">
        <v>0</v>
      </c>
      <c r="E28" s="685">
        <v>151044</v>
      </c>
      <c r="F28" s="685">
        <v>22391656</v>
      </c>
      <c r="G28" s="715"/>
      <c r="H28" s="715"/>
      <c r="I28" s="716"/>
      <c r="J28" s="1241"/>
      <c r="K28" s="1241"/>
      <c r="L28" s="653">
        <f>42654147-13005804+22387266</f>
        <v>52035609</v>
      </c>
    </row>
    <row r="29" spans="1:12" ht="13.5" thickBot="1">
      <c r="A29" s="664">
        <v>16</v>
      </c>
      <c r="B29" s="689" t="s">
        <v>861</v>
      </c>
      <c r="C29" s="712"/>
      <c r="D29" s="778"/>
      <c r="E29" s="698"/>
      <c r="F29" s="698"/>
      <c r="G29" s="765"/>
      <c r="H29" s="765"/>
      <c r="I29" s="766"/>
      <c r="J29" s="1241"/>
      <c r="K29" s="1241"/>
      <c r="L29" s="700">
        <v>13005804</v>
      </c>
    </row>
    <row r="30" spans="1:12" ht="13.5" thickBot="1">
      <c r="A30" s="671">
        <v>17</v>
      </c>
      <c r="B30" s="672" t="s">
        <v>345</v>
      </c>
      <c r="C30" s="673">
        <f>SUM(C27:C29)</f>
        <v>265102700</v>
      </c>
      <c r="D30" s="674">
        <f>SUM(D27:D29)</f>
        <v>392025</v>
      </c>
      <c r="E30" s="674">
        <f>SUM(E27:E29)</f>
        <v>12275444</v>
      </c>
      <c r="F30" s="674">
        <f>SUM(F27:F29)</f>
        <v>252435231</v>
      </c>
      <c r="G30" s="682"/>
      <c r="H30" s="682"/>
      <c r="I30" s="682"/>
      <c r="J30" s="1245"/>
      <c r="K30" s="1245"/>
      <c r="L30" s="675">
        <f>SUM(L27:L29)</f>
        <v>67575376</v>
      </c>
    </row>
    <row r="31" spans="1:12" ht="14.25" thickBot="1" thickTop="1">
      <c r="A31" s="676"/>
      <c r="B31" s="1254"/>
      <c r="C31" s="1255"/>
      <c r="D31" s="1255"/>
      <c r="E31" s="1255"/>
      <c r="F31" s="1255"/>
      <c r="G31" s="1255"/>
      <c r="H31" s="1255"/>
      <c r="I31" s="1255"/>
      <c r="J31" s="1255"/>
      <c r="K31" s="1255"/>
      <c r="L31" s="1256"/>
    </row>
    <row r="32" spans="1:12" ht="16.5" thickBot="1" thickTop="1">
      <c r="A32" s="641">
        <v>18</v>
      </c>
      <c r="B32" s="1267" t="s">
        <v>844</v>
      </c>
      <c r="C32" s="1268"/>
      <c r="D32" s="1268"/>
      <c r="E32" s="1268"/>
      <c r="F32" s="1268"/>
      <c r="G32" s="1268"/>
      <c r="H32" s="1268"/>
      <c r="I32" s="1268"/>
      <c r="J32" s="1269"/>
      <c r="K32" s="1269"/>
      <c r="L32" s="642"/>
    </row>
    <row r="33" spans="1:12" ht="12.75">
      <c r="A33" s="643">
        <v>19</v>
      </c>
      <c r="B33" s="644" t="s">
        <v>823</v>
      </c>
      <c r="C33" s="645">
        <v>0</v>
      </c>
      <c r="D33" s="691"/>
      <c r="E33" s="646">
        <v>0</v>
      </c>
      <c r="F33" s="646">
        <v>0</v>
      </c>
      <c r="G33" s="646">
        <v>0</v>
      </c>
      <c r="H33" s="691"/>
      <c r="I33" s="691"/>
      <c r="J33" s="647">
        <v>0</v>
      </c>
      <c r="K33" s="647">
        <v>0</v>
      </c>
      <c r="L33" s="1240"/>
    </row>
    <row r="34" spans="1:12" ht="12.75">
      <c r="A34" s="643">
        <v>20</v>
      </c>
      <c r="B34" s="686" t="s">
        <v>860</v>
      </c>
      <c r="C34" s="763"/>
      <c r="D34" s="764"/>
      <c r="E34" s="744"/>
      <c r="F34" s="744"/>
      <c r="G34" s="744"/>
      <c r="H34" s="764"/>
      <c r="I34" s="764"/>
      <c r="J34" s="700"/>
      <c r="K34" s="700">
        <v>2688779</v>
      </c>
      <c r="L34" s="1241"/>
    </row>
    <row r="35" spans="1:12" ht="13.5" thickBot="1">
      <c r="A35" s="648">
        <v>21</v>
      </c>
      <c r="B35" s="649" t="s">
        <v>824</v>
      </c>
      <c r="C35" s="650">
        <v>202321812</v>
      </c>
      <c r="D35" s="692"/>
      <c r="E35" s="652">
        <f>104483115+10976885</f>
        <v>115460000</v>
      </c>
      <c r="F35" s="652">
        <v>75330433</v>
      </c>
      <c r="G35" s="652">
        <v>11531379</v>
      </c>
      <c r="H35" s="692"/>
      <c r="I35" s="692"/>
      <c r="J35" s="653">
        <f>54734977-13077629</f>
        <v>41657348</v>
      </c>
      <c r="K35" s="653">
        <f>57968707+5109584</f>
        <v>63078291</v>
      </c>
      <c r="L35" s="1241"/>
    </row>
    <row r="36" spans="1:12" ht="13.5" thickBot="1">
      <c r="A36" s="654">
        <v>22</v>
      </c>
      <c r="B36" s="655" t="s">
        <v>825</v>
      </c>
      <c r="C36" s="656">
        <f aca="true" t="shared" si="3" ref="C36:K36">SUM(C33:C35)</f>
        <v>202321812</v>
      </c>
      <c r="D36" s="693"/>
      <c r="E36" s="657">
        <f t="shared" si="3"/>
        <v>115460000</v>
      </c>
      <c r="F36" s="657">
        <f t="shared" si="3"/>
        <v>75330433</v>
      </c>
      <c r="G36" s="657">
        <f t="shared" si="3"/>
        <v>11531379</v>
      </c>
      <c r="H36" s="693"/>
      <c r="I36" s="693"/>
      <c r="J36" s="658">
        <f>SUM(J33:J35)</f>
        <v>41657348</v>
      </c>
      <c r="K36" s="658">
        <f t="shared" si="3"/>
        <v>65767070</v>
      </c>
      <c r="L36" s="1242"/>
    </row>
    <row r="37" spans="1:12" ht="13.5" thickBot="1">
      <c r="A37" s="654"/>
      <c r="B37" s="1243"/>
      <c r="C37" s="1233"/>
      <c r="D37" s="1233"/>
      <c r="E37" s="1233"/>
      <c r="F37" s="1233"/>
      <c r="G37" s="1233"/>
      <c r="H37" s="1233"/>
      <c r="I37" s="1233"/>
      <c r="J37" s="1233"/>
      <c r="K37" s="1244"/>
      <c r="L37" s="659"/>
    </row>
    <row r="38" spans="1:12" ht="13.5" thickBot="1">
      <c r="A38" s="660">
        <v>23</v>
      </c>
      <c r="B38" s="661" t="s">
        <v>826</v>
      </c>
      <c r="C38" s="1270">
        <v>89908666</v>
      </c>
      <c r="D38" s="694"/>
      <c r="E38" s="684">
        <f>8545743+1</f>
        <v>8545744</v>
      </c>
      <c r="F38" s="678">
        <v>63219192</v>
      </c>
      <c r="G38" s="678">
        <v>9109530</v>
      </c>
      <c r="H38" s="694"/>
      <c r="I38" s="694"/>
      <c r="J38" s="1240"/>
      <c r="K38" s="1240"/>
      <c r="L38" s="647">
        <f>22115840+16410600+2543643-416917-64622-2160000-334800+459366+76788+251428+43772</f>
        <v>38925098</v>
      </c>
    </row>
    <row r="39" spans="1:12" ht="26.25" thickBot="1">
      <c r="A39" s="695">
        <v>24</v>
      </c>
      <c r="B39" s="696" t="s">
        <v>831</v>
      </c>
      <c r="C39" s="1271"/>
      <c r="D39" s="697"/>
      <c r="E39" s="698">
        <v>860400</v>
      </c>
      <c r="F39" s="699">
        <v>6883200</v>
      </c>
      <c r="G39" s="699">
        <v>1290600</v>
      </c>
      <c r="H39" s="697"/>
      <c r="I39" s="697"/>
      <c r="J39" s="1241"/>
      <c r="K39" s="1241"/>
      <c r="L39" s="700">
        <f>4230000+2160000+334800-251428-43772</f>
        <v>6429600</v>
      </c>
    </row>
    <row r="40" spans="1:12" ht="25.5">
      <c r="A40" s="695">
        <v>25</v>
      </c>
      <c r="B40" s="696" t="s">
        <v>832</v>
      </c>
      <c r="C40" s="701"/>
      <c r="D40" s="697"/>
      <c r="E40" s="698"/>
      <c r="F40" s="699"/>
      <c r="G40" s="699"/>
      <c r="H40" s="697"/>
      <c r="I40" s="697"/>
      <c r="J40" s="1241"/>
      <c r="K40" s="1241"/>
      <c r="L40" s="700">
        <f>2881247+416917+64622-459366-76788</f>
        <v>2826632</v>
      </c>
    </row>
    <row r="41" spans="1:12" ht="12.75">
      <c r="A41" s="664">
        <v>26</v>
      </c>
      <c r="B41" s="665" t="s">
        <v>827</v>
      </c>
      <c r="C41" s="702">
        <v>88083888</v>
      </c>
      <c r="D41" s="703"/>
      <c r="E41" s="652">
        <v>4803780</v>
      </c>
      <c r="F41" s="651">
        <v>82148859</v>
      </c>
      <c r="G41" s="651">
        <v>1131249</v>
      </c>
      <c r="H41" s="703"/>
      <c r="I41" s="703"/>
      <c r="J41" s="1241"/>
      <c r="K41" s="1241"/>
      <c r="L41" s="653">
        <f>22523810+60657486-13077629-18954243-7292340+5109584</f>
        <v>48966668</v>
      </c>
    </row>
    <row r="42" spans="1:12" ht="12.75">
      <c r="A42" s="664">
        <v>27</v>
      </c>
      <c r="B42" s="704" t="s">
        <v>828</v>
      </c>
      <c r="C42" s="705">
        <v>17800696</v>
      </c>
      <c r="D42" s="706"/>
      <c r="E42" s="652">
        <v>13003105</v>
      </c>
      <c r="F42" s="651">
        <v>4797591</v>
      </c>
      <c r="G42" s="651">
        <v>0</v>
      </c>
      <c r="H42" s="706"/>
      <c r="I42" s="706"/>
      <c r="J42" s="1241"/>
      <c r="K42" s="1241"/>
      <c r="L42" s="653">
        <v>2460790</v>
      </c>
    </row>
    <row r="43" spans="1:12" ht="13.5" thickBot="1">
      <c r="A43" s="664">
        <v>28</v>
      </c>
      <c r="B43" s="707" t="s">
        <v>833</v>
      </c>
      <c r="C43" s="702">
        <v>6528562</v>
      </c>
      <c r="D43" s="708"/>
      <c r="E43" s="709"/>
      <c r="F43" s="710">
        <v>6528562</v>
      </c>
      <c r="G43" s="710">
        <v>0</v>
      </c>
      <c r="H43" s="708"/>
      <c r="I43" s="708"/>
      <c r="J43" s="1241"/>
      <c r="K43" s="1241"/>
      <c r="L43" s="711">
        <f>523290+7292340</f>
        <v>7815630</v>
      </c>
    </row>
    <row r="44" spans="1:12" ht="13.5" thickBot="1">
      <c r="A44" s="671">
        <v>29</v>
      </c>
      <c r="B44" s="672" t="s">
        <v>345</v>
      </c>
      <c r="C44" s="673">
        <f>SUM(C38:C43)</f>
        <v>202321812</v>
      </c>
      <c r="D44" s="690"/>
      <c r="E44" s="674">
        <f>SUM(E38:E43)</f>
        <v>27213029</v>
      </c>
      <c r="F44" s="674">
        <f>SUM(F38:F43)</f>
        <v>163577404</v>
      </c>
      <c r="G44" s="674">
        <f>SUM(G38:G43)</f>
        <v>11531379</v>
      </c>
      <c r="H44" s="690"/>
      <c r="I44" s="690"/>
      <c r="J44" s="1245"/>
      <c r="K44" s="1245"/>
      <c r="L44" s="675">
        <f>SUM(L38:L43)</f>
        <v>107424418</v>
      </c>
    </row>
    <row r="45" spans="1:12" ht="14.25" thickBot="1" thickTop="1">
      <c r="A45" s="640"/>
      <c r="B45" s="1254"/>
      <c r="C45" s="1255"/>
      <c r="D45" s="1255"/>
      <c r="E45" s="1255"/>
      <c r="F45" s="1255"/>
      <c r="G45" s="1255"/>
      <c r="H45" s="1255"/>
      <c r="I45" s="1255"/>
      <c r="J45" s="1255"/>
      <c r="K45" s="1255"/>
      <c r="L45" s="1256"/>
    </row>
    <row r="46" spans="1:12" ht="16.5" thickBot="1" thickTop="1">
      <c r="A46" s="641">
        <v>30</v>
      </c>
      <c r="B46" s="1267" t="s">
        <v>845</v>
      </c>
      <c r="C46" s="1268"/>
      <c r="D46" s="1268"/>
      <c r="E46" s="1268"/>
      <c r="F46" s="1268"/>
      <c r="G46" s="1268"/>
      <c r="H46" s="1268"/>
      <c r="I46" s="1268"/>
      <c r="J46" s="1269"/>
      <c r="K46" s="1269"/>
      <c r="L46" s="642"/>
    </row>
    <row r="47" spans="1:12" ht="12.75">
      <c r="A47" s="643">
        <v>31</v>
      </c>
      <c r="B47" s="644" t="s">
        <v>823</v>
      </c>
      <c r="C47" s="645">
        <v>0</v>
      </c>
      <c r="D47" s="691"/>
      <c r="E47" s="646">
        <v>0</v>
      </c>
      <c r="F47" s="646">
        <v>0</v>
      </c>
      <c r="G47" s="646">
        <v>0</v>
      </c>
      <c r="H47" s="646"/>
      <c r="I47" s="691"/>
      <c r="J47" s="647">
        <v>0</v>
      </c>
      <c r="K47" s="647">
        <v>0</v>
      </c>
      <c r="L47" s="1240"/>
    </row>
    <row r="48" spans="1:12" ht="13.5" thickBot="1">
      <c r="A48" s="648">
        <v>32</v>
      </c>
      <c r="B48" s="649" t="s">
        <v>824</v>
      </c>
      <c r="C48" s="650">
        <v>62107135</v>
      </c>
      <c r="D48" s="692"/>
      <c r="E48" s="652">
        <v>32379432</v>
      </c>
      <c r="F48" s="652">
        <v>8244379</v>
      </c>
      <c r="G48" s="652">
        <v>20495112</v>
      </c>
      <c r="H48" s="652">
        <v>988212</v>
      </c>
      <c r="I48" s="692"/>
      <c r="J48" s="653">
        <f>12082950-10911298</f>
        <v>1171652</v>
      </c>
      <c r="K48" s="653">
        <f>5788759+23938936</f>
        <v>29727695</v>
      </c>
      <c r="L48" s="1241"/>
    </row>
    <row r="49" spans="1:12" ht="13.5" thickBot="1">
      <c r="A49" s="654">
        <v>33</v>
      </c>
      <c r="B49" s="655" t="s">
        <v>825</v>
      </c>
      <c r="C49" s="656">
        <f>SUM(C47:C48)</f>
        <v>62107135</v>
      </c>
      <c r="D49" s="693"/>
      <c r="E49" s="657">
        <f>SUM(E47:E48)</f>
        <v>32379432</v>
      </c>
      <c r="F49" s="657">
        <f>SUM(F47:F48)</f>
        <v>8244379</v>
      </c>
      <c r="G49" s="657">
        <f>SUM(G47:G48)</f>
        <v>20495112</v>
      </c>
      <c r="H49" s="657">
        <f>SUM(H47:H48)</f>
        <v>988212</v>
      </c>
      <c r="I49" s="693"/>
      <c r="J49" s="658">
        <f>SUM(J47:J48)</f>
        <v>1171652</v>
      </c>
      <c r="K49" s="658">
        <f>SUM(K47:K48)</f>
        <v>29727695</v>
      </c>
      <c r="L49" s="1242"/>
    </row>
    <row r="50" spans="1:12" ht="13.5" thickBot="1">
      <c r="A50" s="654"/>
      <c r="B50" s="1243"/>
      <c r="C50" s="1233"/>
      <c r="D50" s="1233"/>
      <c r="E50" s="1233"/>
      <c r="F50" s="1233"/>
      <c r="G50" s="1233"/>
      <c r="H50" s="1233"/>
      <c r="I50" s="1233"/>
      <c r="J50" s="1233"/>
      <c r="K50" s="1244"/>
      <c r="L50" s="659"/>
    </row>
    <row r="51" spans="1:12" ht="13.5" thickBot="1">
      <c r="A51" s="660">
        <v>34</v>
      </c>
      <c r="B51" s="661" t="s">
        <v>826</v>
      </c>
      <c r="C51" s="1270">
        <v>30232800</v>
      </c>
      <c r="D51" s="694"/>
      <c r="E51" s="684">
        <v>1493750</v>
      </c>
      <c r="F51" s="678">
        <v>10460450</v>
      </c>
      <c r="G51" s="678">
        <v>6062400</v>
      </c>
      <c r="H51" s="678">
        <v>505200</v>
      </c>
      <c r="I51" s="694"/>
      <c r="J51" s="1240"/>
      <c r="K51" s="1240"/>
      <c r="L51" s="647">
        <f>10059909+5000000+875000+575000+128625</f>
        <v>16638534</v>
      </c>
    </row>
    <row r="52" spans="1:12" ht="25.5">
      <c r="A52" s="695">
        <v>35</v>
      </c>
      <c r="B52" s="696" t="s">
        <v>832</v>
      </c>
      <c r="C52" s="1271"/>
      <c r="D52" s="697"/>
      <c r="E52" s="698">
        <v>3346000</v>
      </c>
      <c r="F52" s="699">
        <v>4015200</v>
      </c>
      <c r="G52" s="699">
        <v>4015200</v>
      </c>
      <c r="H52" s="699">
        <v>334600</v>
      </c>
      <c r="I52" s="697"/>
      <c r="J52" s="1241"/>
      <c r="K52" s="1241"/>
      <c r="L52" s="700">
        <f>5569500-575000-128625</f>
        <v>4865875</v>
      </c>
    </row>
    <row r="53" spans="1:12" ht="12.75">
      <c r="A53" s="664">
        <v>36</v>
      </c>
      <c r="B53" s="665" t="s">
        <v>827</v>
      </c>
      <c r="C53" s="666">
        <v>28874335</v>
      </c>
      <c r="D53" s="703"/>
      <c r="E53" s="652">
        <v>10552557</v>
      </c>
      <c r="F53" s="651">
        <v>8855854</v>
      </c>
      <c r="G53" s="651">
        <v>9417512</v>
      </c>
      <c r="H53" s="651">
        <v>48412</v>
      </c>
      <c r="I53" s="703"/>
      <c r="J53" s="1241"/>
      <c r="K53" s="1241"/>
      <c r="L53" s="653">
        <f>2242300+18063936-10911298</f>
        <v>9394938</v>
      </c>
    </row>
    <row r="54" spans="1:12" ht="13.5" thickBot="1">
      <c r="A54" s="664">
        <v>37</v>
      </c>
      <c r="B54" s="704" t="s">
        <v>834</v>
      </c>
      <c r="C54" s="712">
        <v>3000000</v>
      </c>
      <c r="D54" s="706"/>
      <c r="E54" s="652">
        <v>0</v>
      </c>
      <c r="F54" s="651">
        <v>1900000</v>
      </c>
      <c r="G54" s="651">
        <v>1000000</v>
      </c>
      <c r="H54" s="651">
        <v>100000</v>
      </c>
      <c r="I54" s="706"/>
      <c r="J54" s="1241"/>
      <c r="K54" s="1241"/>
      <c r="L54" s="653"/>
    </row>
    <row r="55" spans="1:12" ht="13.5" thickBot="1">
      <c r="A55" s="671">
        <v>38</v>
      </c>
      <c r="B55" s="672" t="s">
        <v>345</v>
      </c>
      <c r="C55" s="673">
        <f>SUM(C51:C54)</f>
        <v>62107135</v>
      </c>
      <c r="D55" s="690"/>
      <c r="E55" s="674">
        <f>SUM(E51:E54)</f>
        <v>15392307</v>
      </c>
      <c r="F55" s="674">
        <f>SUM(F51:F54)</f>
        <v>25231504</v>
      </c>
      <c r="G55" s="674">
        <f>SUM(G51:G54)</f>
        <v>20495112</v>
      </c>
      <c r="H55" s="674">
        <f>SUM(H51:H54)</f>
        <v>988212</v>
      </c>
      <c r="I55" s="690"/>
      <c r="J55" s="1245"/>
      <c r="K55" s="1245"/>
      <c r="L55" s="675">
        <f>SUM(L51:L54)</f>
        <v>30899347</v>
      </c>
    </row>
    <row r="56" spans="1:12" ht="14.25" thickBot="1" thickTop="1">
      <c r="A56" s="654"/>
      <c r="B56" s="1243"/>
      <c r="C56" s="1233"/>
      <c r="D56" s="1233"/>
      <c r="E56" s="1233"/>
      <c r="F56" s="1233"/>
      <c r="G56" s="1233"/>
      <c r="H56" s="1233"/>
      <c r="I56" s="1233"/>
      <c r="J56" s="1233"/>
      <c r="K56" s="1244"/>
      <c r="L56" s="659"/>
    </row>
    <row r="57" spans="1:12" ht="16.5" thickBot="1" thickTop="1">
      <c r="A57" s="641">
        <v>39</v>
      </c>
      <c r="B57" s="1251" t="s">
        <v>835</v>
      </c>
      <c r="C57" s="1252"/>
      <c r="D57" s="1252"/>
      <c r="E57" s="1252"/>
      <c r="F57" s="1252"/>
      <c r="G57" s="1252"/>
      <c r="H57" s="1252"/>
      <c r="I57" s="1252"/>
      <c r="J57" s="1253"/>
      <c r="K57" s="1253"/>
      <c r="L57" s="642"/>
    </row>
    <row r="58" spans="1:12" ht="12.75">
      <c r="A58" s="643">
        <v>40</v>
      </c>
      <c r="B58" s="677" t="s">
        <v>823</v>
      </c>
      <c r="C58" s="662">
        <v>0</v>
      </c>
      <c r="D58" s="706"/>
      <c r="E58" s="684">
        <v>0</v>
      </c>
      <c r="F58" s="678">
        <v>0</v>
      </c>
      <c r="G58" s="678">
        <v>0</v>
      </c>
      <c r="H58" s="679"/>
      <c r="I58" s="679"/>
      <c r="J58" s="647">
        <v>0</v>
      </c>
      <c r="K58" s="647">
        <f>254000+40000</f>
        <v>294000</v>
      </c>
      <c r="L58" s="1240"/>
    </row>
    <row r="59" spans="1:12" ht="13.5" thickBot="1">
      <c r="A59" s="654">
        <v>41</v>
      </c>
      <c r="B59" s="649" t="s">
        <v>824</v>
      </c>
      <c r="C59" s="666">
        <v>196302400</v>
      </c>
      <c r="D59" s="706"/>
      <c r="E59" s="652">
        <v>196302400</v>
      </c>
      <c r="F59" s="652">
        <v>0</v>
      </c>
      <c r="G59" s="652">
        <v>0</v>
      </c>
      <c r="H59" s="680"/>
      <c r="I59" s="681"/>
      <c r="J59" s="653">
        <f>192295450-911000</f>
        <v>191384450</v>
      </c>
      <c r="K59" s="653"/>
      <c r="L59" s="1241"/>
    </row>
    <row r="60" spans="1:12" ht="13.5" thickBot="1">
      <c r="A60" s="654">
        <v>42</v>
      </c>
      <c r="B60" s="655" t="s">
        <v>825</v>
      </c>
      <c r="C60" s="656">
        <f>SUM(C58:C59)</f>
        <v>196302400</v>
      </c>
      <c r="D60" s="687"/>
      <c r="E60" s="657">
        <f>SUM(E58:E59)</f>
        <v>196302400</v>
      </c>
      <c r="F60" s="657">
        <f>SUM(F58:F59)</f>
        <v>0</v>
      </c>
      <c r="G60" s="657">
        <f>SUM(G58:G59)</f>
        <v>0</v>
      </c>
      <c r="H60" s="687"/>
      <c r="I60" s="688"/>
      <c r="J60" s="658">
        <f>SUM(J58:J59)</f>
        <v>191384450</v>
      </c>
      <c r="K60" s="658">
        <f>SUM(K58:K59)</f>
        <v>294000</v>
      </c>
      <c r="L60" s="1242"/>
    </row>
    <row r="61" spans="1:12" ht="13.5" thickBot="1">
      <c r="A61" s="654"/>
      <c r="B61" s="1243"/>
      <c r="C61" s="1233"/>
      <c r="D61" s="1233"/>
      <c r="E61" s="1233"/>
      <c r="F61" s="1233"/>
      <c r="G61" s="1233"/>
      <c r="H61" s="1233"/>
      <c r="I61" s="1233"/>
      <c r="J61" s="1233"/>
      <c r="K61" s="1244"/>
      <c r="L61" s="659"/>
    </row>
    <row r="62" spans="1:12" ht="12.75">
      <c r="A62" s="664">
        <v>43</v>
      </c>
      <c r="B62" s="661" t="s">
        <v>828</v>
      </c>
      <c r="C62" s="662">
        <f>SUM(E62:G62)</f>
        <v>196302400</v>
      </c>
      <c r="D62" s="682"/>
      <c r="E62" s="684">
        <v>0</v>
      </c>
      <c r="F62" s="684">
        <v>96822314</v>
      </c>
      <c r="G62" s="684">
        <v>99480086</v>
      </c>
      <c r="H62" s="682"/>
      <c r="I62" s="713"/>
      <c r="J62" s="1240"/>
      <c r="K62" s="1240"/>
      <c r="L62" s="647">
        <f>187978206-911000-7744917</f>
        <v>179322289</v>
      </c>
    </row>
    <row r="63" spans="1:12" ht="12.75">
      <c r="A63" s="664">
        <v>44</v>
      </c>
      <c r="B63" s="689" t="s">
        <v>830</v>
      </c>
      <c r="C63" s="666">
        <v>0</v>
      </c>
      <c r="D63" s="714"/>
      <c r="E63" s="685">
        <v>0</v>
      </c>
      <c r="F63" s="685">
        <v>0</v>
      </c>
      <c r="G63" s="685">
        <v>0</v>
      </c>
      <c r="H63" s="715"/>
      <c r="I63" s="716"/>
      <c r="J63" s="1241"/>
      <c r="K63" s="1241"/>
      <c r="L63" s="653">
        <v>0</v>
      </c>
    </row>
    <row r="64" spans="1:12" ht="12.75">
      <c r="A64" s="664">
        <v>45</v>
      </c>
      <c r="B64" s="665" t="s">
        <v>827</v>
      </c>
      <c r="C64" s="666"/>
      <c r="D64" s="714"/>
      <c r="E64" s="685"/>
      <c r="F64" s="685"/>
      <c r="G64" s="685"/>
      <c r="H64" s="715"/>
      <c r="I64" s="716"/>
      <c r="J64" s="1241"/>
      <c r="K64" s="1241"/>
      <c r="L64" s="653">
        <v>4317244</v>
      </c>
    </row>
    <row r="65" spans="1:12" ht="12.75">
      <c r="A65" s="664">
        <v>46</v>
      </c>
      <c r="B65" s="797" t="s">
        <v>836</v>
      </c>
      <c r="C65" s="666"/>
      <c r="D65" s="714"/>
      <c r="E65" s="685"/>
      <c r="F65" s="685"/>
      <c r="G65" s="685"/>
      <c r="H65" s="715"/>
      <c r="I65" s="716"/>
      <c r="J65" s="1241"/>
      <c r="K65" s="1241"/>
      <c r="L65" s="653">
        <f>254000+40000</f>
        <v>294000</v>
      </c>
    </row>
    <row r="66" spans="1:12" ht="13.5" thickBot="1">
      <c r="A66" s="664">
        <v>47</v>
      </c>
      <c r="B66" s="689" t="s">
        <v>861</v>
      </c>
      <c r="C66" s="712"/>
      <c r="D66" s="778"/>
      <c r="E66" s="698"/>
      <c r="F66" s="698"/>
      <c r="G66" s="765"/>
      <c r="H66" s="765"/>
      <c r="I66" s="766"/>
      <c r="J66" s="1241"/>
      <c r="K66" s="1241"/>
      <c r="L66" s="700">
        <v>7744917</v>
      </c>
    </row>
    <row r="67" spans="1:12" ht="13.5" thickBot="1">
      <c r="A67" s="671">
        <v>48</v>
      </c>
      <c r="B67" s="672" t="s">
        <v>345</v>
      </c>
      <c r="C67" s="673">
        <f>SUM(C62:C63)</f>
        <v>196302400</v>
      </c>
      <c r="D67" s="690"/>
      <c r="E67" s="674">
        <f>SUM(E62:E63)</f>
        <v>0</v>
      </c>
      <c r="F67" s="674">
        <f>SUM(F62:F63)</f>
        <v>96822314</v>
      </c>
      <c r="G67" s="674">
        <f>SUM(G62:G63)</f>
        <v>99480086</v>
      </c>
      <c r="H67" s="690"/>
      <c r="I67" s="690"/>
      <c r="J67" s="1245"/>
      <c r="K67" s="1245"/>
      <c r="L67" s="675">
        <f>SUM(L62:L66)</f>
        <v>191678450</v>
      </c>
    </row>
    <row r="68" spans="1:12" ht="14.25" thickBot="1" thickTop="1">
      <c r="A68" s="654"/>
      <c r="B68" s="1243"/>
      <c r="C68" s="1233"/>
      <c r="D68" s="1233"/>
      <c r="E68" s="1233"/>
      <c r="F68" s="1233"/>
      <c r="G68" s="1233"/>
      <c r="H68" s="1233"/>
      <c r="I68" s="1233"/>
      <c r="J68" s="1233"/>
      <c r="K68" s="1244"/>
      <c r="L68" s="659"/>
    </row>
    <row r="69" spans="1:12" ht="16.5" thickBot="1" thickTop="1">
      <c r="A69" s="641">
        <v>49</v>
      </c>
      <c r="B69" s="1251" t="s">
        <v>837</v>
      </c>
      <c r="C69" s="1252"/>
      <c r="D69" s="1252"/>
      <c r="E69" s="1252"/>
      <c r="F69" s="1252"/>
      <c r="G69" s="1252"/>
      <c r="H69" s="1252"/>
      <c r="I69" s="1252"/>
      <c r="J69" s="1253"/>
      <c r="K69" s="1253"/>
      <c r="L69" s="642"/>
    </row>
    <row r="70" spans="1:12" ht="12.75">
      <c r="A70" s="643">
        <v>50</v>
      </c>
      <c r="B70" s="677" t="s">
        <v>823</v>
      </c>
      <c r="C70" s="662">
        <v>0</v>
      </c>
      <c r="D70" s="706"/>
      <c r="E70" s="684">
        <v>0</v>
      </c>
      <c r="F70" s="678">
        <v>0</v>
      </c>
      <c r="G70" s="679"/>
      <c r="H70" s="679"/>
      <c r="I70" s="679"/>
      <c r="J70" s="647">
        <v>0</v>
      </c>
      <c r="K70" s="647">
        <f>254000+500000+123000</f>
        <v>877000</v>
      </c>
      <c r="L70" s="1240"/>
    </row>
    <row r="71" spans="1:12" ht="13.5" thickBot="1">
      <c r="A71" s="654">
        <v>51</v>
      </c>
      <c r="B71" s="649" t="s">
        <v>824</v>
      </c>
      <c r="C71" s="666">
        <v>437625000</v>
      </c>
      <c r="D71" s="706"/>
      <c r="E71" s="652">
        <v>437625000</v>
      </c>
      <c r="F71" s="652">
        <v>0</v>
      </c>
      <c r="G71" s="680"/>
      <c r="H71" s="680"/>
      <c r="I71" s="681"/>
      <c r="J71" s="653">
        <f>414490929+2197500</f>
        <v>416688429</v>
      </c>
      <c r="K71" s="653">
        <v>0</v>
      </c>
      <c r="L71" s="1241"/>
    </row>
    <row r="72" spans="1:12" ht="13.5" thickBot="1">
      <c r="A72" s="654">
        <v>52</v>
      </c>
      <c r="B72" s="655" t="s">
        <v>825</v>
      </c>
      <c r="C72" s="656">
        <f>SUM(C70:C71)</f>
        <v>437625000</v>
      </c>
      <c r="D72" s="687"/>
      <c r="E72" s="657">
        <f>SUM(E70:E71)</f>
        <v>437625000</v>
      </c>
      <c r="F72" s="657">
        <f>SUM(F70:F71)</f>
        <v>0</v>
      </c>
      <c r="G72" s="687"/>
      <c r="H72" s="687"/>
      <c r="I72" s="688"/>
      <c r="J72" s="658">
        <f>SUM(J70:J71)</f>
        <v>416688429</v>
      </c>
      <c r="K72" s="658">
        <f>SUM(K70:K71)</f>
        <v>877000</v>
      </c>
      <c r="L72" s="1242"/>
    </row>
    <row r="73" spans="1:12" ht="13.5" thickBot="1">
      <c r="A73" s="654"/>
      <c r="B73" s="1243"/>
      <c r="C73" s="1233"/>
      <c r="D73" s="1233"/>
      <c r="E73" s="1233"/>
      <c r="F73" s="1233"/>
      <c r="G73" s="1233"/>
      <c r="H73" s="1233"/>
      <c r="I73" s="1233"/>
      <c r="J73" s="1233"/>
      <c r="K73" s="1244"/>
      <c r="L73" s="659"/>
    </row>
    <row r="74" spans="1:12" ht="12.75">
      <c r="A74" s="664">
        <v>53</v>
      </c>
      <c r="B74" s="661" t="s">
        <v>828</v>
      </c>
      <c r="C74" s="662">
        <v>429750000</v>
      </c>
      <c r="D74" s="682"/>
      <c r="E74" s="684">
        <v>0</v>
      </c>
      <c r="F74" s="684">
        <v>429750000</v>
      </c>
      <c r="G74" s="679"/>
      <c r="H74" s="679"/>
      <c r="I74" s="679"/>
      <c r="J74" s="1240"/>
      <c r="K74" s="1240"/>
      <c r="L74" s="647">
        <f>404687022+2197500-5000000</f>
        <v>401884522</v>
      </c>
    </row>
    <row r="75" spans="1:12" ht="12.75">
      <c r="A75" s="664">
        <v>54</v>
      </c>
      <c r="B75" s="665" t="s">
        <v>827</v>
      </c>
      <c r="C75" s="666">
        <v>7875000</v>
      </c>
      <c r="D75" s="714"/>
      <c r="E75" s="685"/>
      <c r="F75" s="685">
        <v>7875000</v>
      </c>
      <c r="G75" s="685"/>
      <c r="H75" s="715"/>
      <c r="I75" s="716"/>
      <c r="J75" s="1241"/>
      <c r="K75" s="1241"/>
      <c r="L75" s="653">
        <v>9803907</v>
      </c>
    </row>
    <row r="76" spans="1:12" ht="12.75">
      <c r="A76" s="664">
        <v>55</v>
      </c>
      <c r="B76" s="665" t="s">
        <v>836</v>
      </c>
      <c r="C76" s="913"/>
      <c r="D76" s="914"/>
      <c r="E76" s="915"/>
      <c r="F76" s="915"/>
      <c r="G76" s="915"/>
      <c r="H76" s="719"/>
      <c r="I76" s="720"/>
      <c r="J76" s="1241"/>
      <c r="K76" s="1241"/>
      <c r="L76" s="916">
        <f>254000+500000+123000</f>
        <v>877000</v>
      </c>
    </row>
    <row r="77" spans="1:12" ht="13.5" thickBot="1">
      <c r="A77" s="664">
        <v>56</v>
      </c>
      <c r="B77" s="665" t="s">
        <v>1050</v>
      </c>
      <c r="C77" s="668"/>
      <c r="D77" s="717"/>
      <c r="E77" s="718"/>
      <c r="F77" s="718"/>
      <c r="G77" s="718"/>
      <c r="H77" s="680"/>
      <c r="I77" s="681"/>
      <c r="J77" s="1241"/>
      <c r="K77" s="1241"/>
      <c r="L77" s="711">
        <v>5000000</v>
      </c>
    </row>
    <row r="78" spans="1:12" ht="13.5" thickBot="1">
      <c r="A78" s="671">
        <v>57</v>
      </c>
      <c r="B78" s="672" t="s">
        <v>345</v>
      </c>
      <c r="C78" s="673">
        <f>SUM(C74:C76)</f>
        <v>437625000</v>
      </c>
      <c r="D78" s="690"/>
      <c r="E78" s="674">
        <f>SUM(E74:E76)</f>
        <v>0</v>
      </c>
      <c r="F78" s="674">
        <f>SUM(F74:F76)</f>
        <v>437625000</v>
      </c>
      <c r="G78" s="690"/>
      <c r="H78" s="690"/>
      <c r="I78" s="690"/>
      <c r="J78" s="1245"/>
      <c r="K78" s="1245"/>
      <c r="L78" s="675">
        <f>SUM(L74:L77)</f>
        <v>417565429</v>
      </c>
    </row>
    <row r="79" spans="1:12" ht="14.25" thickBot="1" thickTop="1">
      <c r="A79" s="654"/>
      <c r="B79" s="1243"/>
      <c r="C79" s="1233"/>
      <c r="D79" s="1233"/>
      <c r="E79" s="1233"/>
      <c r="F79" s="1233"/>
      <c r="G79" s="1233"/>
      <c r="H79" s="1233"/>
      <c r="I79" s="1233"/>
      <c r="J79" s="1233"/>
      <c r="K79" s="1244"/>
      <c r="L79" s="659"/>
    </row>
    <row r="80" spans="1:12" ht="16.5" thickBot="1" thickTop="1">
      <c r="A80" s="641">
        <v>58</v>
      </c>
      <c r="B80" s="1251" t="s">
        <v>838</v>
      </c>
      <c r="C80" s="1252"/>
      <c r="D80" s="1252"/>
      <c r="E80" s="1252"/>
      <c r="F80" s="1252"/>
      <c r="G80" s="1252"/>
      <c r="H80" s="1252"/>
      <c r="I80" s="1252"/>
      <c r="J80" s="1253"/>
      <c r="K80" s="1253"/>
      <c r="L80" s="642"/>
    </row>
    <row r="81" spans="1:12" ht="12.75">
      <c r="A81" s="643">
        <v>59</v>
      </c>
      <c r="B81" s="677" t="s">
        <v>823</v>
      </c>
      <c r="C81" s="662">
        <v>0</v>
      </c>
      <c r="D81" s="706"/>
      <c r="E81" s="684">
        <v>0</v>
      </c>
      <c r="F81" s="678">
        <v>0</v>
      </c>
      <c r="G81" s="678">
        <v>0</v>
      </c>
      <c r="H81" s="679"/>
      <c r="I81" s="679"/>
      <c r="J81" s="647">
        <v>0</v>
      </c>
      <c r="K81" s="647">
        <f>254000+863600+28000</f>
        <v>1145600</v>
      </c>
      <c r="L81" s="1240"/>
    </row>
    <row r="82" spans="1:12" ht="13.5" thickBot="1">
      <c r="A82" s="654">
        <v>60</v>
      </c>
      <c r="B82" s="649" t="s">
        <v>824</v>
      </c>
      <c r="C82" s="666">
        <v>100000000</v>
      </c>
      <c r="D82" s="706"/>
      <c r="E82" s="652">
        <v>100000000</v>
      </c>
      <c r="F82" s="652">
        <v>0</v>
      </c>
      <c r="G82" s="652">
        <v>0</v>
      </c>
      <c r="H82" s="680"/>
      <c r="I82" s="681"/>
      <c r="J82" s="653">
        <v>96609100</v>
      </c>
      <c r="K82" s="653"/>
      <c r="L82" s="1241"/>
    </row>
    <row r="83" spans="1:12" ht="13.5" thickBot="1">
      <c r="A83" s="654">
        <v>61</v>
      </c>
      <c r="B83" s="655" t="s">
        <v>825</v>
      </c>
      <c r="C83" s="656">
        <f>SUM(C81:C82)</f>
        <v>100000000</v>
      </c>
      <c r="D83" s="687"/>
      <c r="E83" s="657">
        <f>SUM(E81:E82)</f>
        <v>100000000</v>
      </c>
      <c r="F83" s="657">
        <f>SUM(F81:F82)</f>
        <v>0</v>
      </c>
      <c r="G83" s="657">
        <f>SUM(G81:G82)</f>
        <v>0</v>
      </c>
      <c r="H83" s="687"/>
      <c r="I83" s="688"/>
      <c r="J83" s="658">
        <f>SUM(J81:J82)</f>
        <v>96609100</v>
      </c>
      <c r="K83" s="658">
        <f>SUM(K81:K82)</f>
        <v>1145600</v>
      </c>
      <c r="L83" s="1242"/>
    </row>
    <row r="84" spans="1:12" ht="13.5" thickBot="1">
      <c r="A84" s="654"/>
      <c r="B84" s="1243"/>
      <c r="C84" s="1233"/>
      <c r="D84" s="1233"/>
      <c r="E84" s="1233"/>
      <c r="F84" s="1233"/>
      <c r="G84" s="1233"/>
      <c r="H84" s="1233"/>
      <c r="I84" s="1233"/>
      <c r="J84" s="1233"/>
      <c r="K84" s="1244"/>
      <c r="L84" s="659"/>
    </row>
    <row r="85" spans="1:12" ht="12.75">
      <c r="A85" s="664">
        <v>62</v>
      </c>
      <c r="B85" s="777" t="s">
        <v>833</v>
      </c>
      <c r="C85" s="662">
        <f>SUM(E85:G85)</f>
        <v>100000000</v>
      </c>
      <c r="D85" s="703"/>
      <c r="E85" s="684">
        <v>2393950</v>
      </c>
      <c r="F85" s="684">
        <v>85795050</v>
      </c>
      <c r="G85" s="684">
        <v>11811000</v>
      </c>
      <c r="H85" s="679"/>
      <c r="I85" s="679"/>
      <c r="J85" s="1240"/>
      <c r="K85" s="1240"/>
      <c r="L85" s="647">
        <v>91442680</v>
      </c>
    </row>
    <row r="86" spans="1:12" ht="12.75">
      <c r="A86" s="664">
        <v>63</v>
      </c>
      <c r="B86" s="704" t="s">
        <v>839</v>
      </c>
      <c r="C86" s="666">
        <v>0</v>
      </c>
      <c r="D86" s="706"/>
      <c r="E86" s="685">
        <v>0</v>
      </c>
      <c r="F86" s="685">
        <v>0</v>
      </c>
      <c r="G86" s="685">
        <v>0</v>
      </c>
      <c r="H86" s="719"/>
      <c r="I86" s="720"/>
      <c r="J86" s="1241"/>
      <c r="K86" s="1241"/>
      <c r="L86" s="653">
        <f>863600+28000</f>
        <v>891600</v>
      </c>
    </row>
    <row r="87" spans="1:12" ht="12.75">
      <c r="A87" s="664">
        <v>64</v>
      </c>
      <c r="B87" s="704" t="s">
        <v>826</v>
      </c>
      <c r="C87" s="666"/>
      <c r="D87" s="706"/>
      <c r="E87" s="685"/>
      <c r="F87" s="685"/>
      <c r="G87" s="685"/>
      <c r="H87" s="715"/>
      <c r="I87" s="716"/>
      <c r="J87" s="1241"/>
      <c r="K87" s="1241"/>
      <c r="L87" s="653">
        <v>752612</v>
      </c>
    </row>
    <row r="88" spans="1:12" ht="12.75">
      <c r="A88" s="664">
        <v>65</v>
      </c>
      <c r="B88" s="704" t="s">
        <v>827</v>
      </c>
      <c r="C88" s="666">
        <v>0</v>
      </c>
      <c r="D88" s="714"/>
      <c r="E88" s="685"/>
      <c r="F88" s="685">
        <v>0</v>
      </c>
      <c r="G88" s="685"/>
      <c r="H88" s="715"/>
      <c r="I88" s="716"/>
      <c r="J88" s="1241"/>
      <c r="K88" s="1241"/>
      <c r="L88" s="653">
        <v>4413808</v>
      </c>
    </row>
    <row r="89" spans="1:12" ht="13.5" thickBot="1">
      <c r="A89" s="664">
        <v>66</v>
      </c>
      <c r="B89" s="707" t="s">
        <v>836</v>
      </c>
      <c r="C89" s="666">
        <v>0</v>
      </c>
      <c r="D89" s="706"/>
      <c r="E89" s="685">
        <v>0</v>
      </c>
      <c r="F89" s="685">
        <v>0</v>
      </c>
      <c r="G89" s="685">
        <v>0</v>
      </c>
      <c r="H89" s="680"/>
      <c r="I89" s="681"/>
      <c r="J89" s="1241"/>
      <c r="K89" s="1241"/>
      <c r="L89" s="653">
        <v>254000</v>
      </c>
    </row>
    <row r="90" spans="1:12" ht="13.5" thickBot="1">
      <c r="A90" s="671">
        <v>67</v>
      </c>
      <c r="B90" s="672" t="s">
        <v>345</v>
      </c>
      <c r="C90" s="673">
        <f>SUM(C85:C89)</f>
        <v>100000000</v>
      </c>
      <c r="D90" s="690"/>
      <c r="E90" s="674">
        <f>SUM(E85:E89)</f>
        <v>2393950</v>
      </c>
      <c r="F90" s="674">
        <f>SUM(F85:F89)</f>
        <v>85795050</v>
      </c>
      <c r="G90" s="674">
        <f>SUM(G85:G89)</f>
        <v>11811000</v>
      </c>
      <c r="H90" s="690"/>
      <c r="I90" s="690"/>
      <c r="J90" s="1245"/>
      <c r="K90" s="1245"/>
      <c r="L90" s="675">
        <f>SUM(L85:L89)</f>
        <v>97754700</v>
      </c>
    </row>
    <row r="91" spans="1:12" ht="14.25" thickBot="1" thickTop="1">
      <c r="A91" s="654"/>
      <c r="B91" s="1243"/>
      <c r="C91" s="1233"/>
      <c r="D91" s="1233"/>
      <c r="E91" s="1233"/>
      <c r="F91" s="1233"/>
      <c r="G91" s="1233"/>
      <c r="H91" s="1233"/>
      <c r="I91" s="1233"/>
      <c r="J91" s="1233"/>
      <c r="K91" s="1244"/>
      <c r="L91" s="659"/>
    </row>
    <row r="92" spans="1:12" ht="16.5" thickBot="1" thickTop="1">
      <c r="A92" s="641">
        <v>68</v>
      </c>
      <c r="B92" s="1251" t="s">
        <v>840</v>
      </c>
      <c r="C92" s="1252"/>
      <c r="D92" s="1252"/>
      <c r="E92" s="1252"/>
      <c r="F92" s="1252"/>
      <c r="G92" s="1252"/>
      <c r="H92" s="1252"/>
      <c r="I92" s="1252"/>
      <c r="J92" s="1253"/>
      <c r="K92" s="1253"/>
      <c r="L92" s="642"/>
    </row>
    <row r="93" spans="1:12" ht="12.75">
      <c r="A93" s="643">
        <v>69</v>
      </c>
      <c r="B93" s="677" t="s">
        <v>823</v>
      </c>
      <c r="C93" s="662">
        <v>0</v>
      </c>
      <c r="D93" s="706"/>
      <c r="E93" s="684">
        <v>0</v>
      </c>
      <c r="F93" s="678">
        <v>0</v>
      </c>
      <c r="G93" s="678">
        <v>0</v>
      </c>
      <c r="H93" s="679"/>
      <c r="I93" s="679"/>
      <c r="J93" s="647">
        <v>1411031</v>
      </c>
      <c r="K93" s="647"/>
      <c r="L93" s="1240"/>
    </row>
    <row r="94" spans="1:12" ht="13.5" thickBot="1">
      <c r="A94" s="654">
        <v>70</v>
      </c>
      <c r="B94" s="649" t="s">
        <v>824</v>
      </c>
      <c r="C94" s="666">
        <v>119014254</v>
      </c>
      <c r="D94" s="706"/>
      <c r="E94" s="652">
        <v>112219000</v>
      </c>
      <c r="F94" s="652">
        <v>0</v>
      </c>
      <c r="G94" s="652">
        <v>6795254</v>
      </c>
      <c r="H94" s="680"/>
      <c r="I94" s="681"/>
      <c r="J94" s="653">
        <v>98397121</v>
      </c>
      <c r="K94" s="653">
        <v>6795254</v>
      </c>
      <c r="L94" s="1241"/>
    </row>
    <row r="95" spans="1:12" ht="13.5" thickBot="1">
      <c r="A95" s="654">
        <v>71</v>
      </c>
      <c r="B95" s="655" t="s">
        <v>825</v>
      </c>
      <c r="C95" s="656">
        <f>SUM(C93:C94)</f>
        <v>119014254</v>
      </c>
      <c r="D95" s="687"/>
      <c r="E95" s="657">
        <f>SUM(E93:E94)</f>
        <v>112219000</v>
      </c>
      <c r="F95" s="657">
        <f>SUM(F93:F94)</f>
        <v>0</v>
      </c>
      <c r="G95" s="657">
        <f>SUM(G93:G94)</f>
        <v>6795254</v>
      </c>
      <c r="H95" s="687"/>
      <c r="I95" s="688"/>
      <c r="J95" s="658">
        <f>SUM(J93:J94)</f>
        <v>99808152</v>
      </c>
      <c r="K95" s="658">
        <f>SUM(K93:K94)</f>
        <v>6795254</v>
      </c>
      <c r="L95" s="1242"/>
    </row>
    <row r="96" spans="1:12" ht="13.5" thickBot="1">
      <c r="A96" s="654"/>
      <c r="B96" s="1243"/>
      <c r="C96" s="1233"/>
      <c r="D96" s="1233"/>
      <c r="E96" s="1233"/>
      <c r="F96" s="1233"/>
      <c r="G96" s="1233"/>
      <c r="H96" s="1233"/>
      <c r="I96" s="1233"/>
      <c r="J96" s="1233"/>
      <c r="K96" s="1244"/>
      <c r="L96" s="659"/>
    </row>
    <row r="97" spans="1:12" ht="12.75">
      <c r="A97" s="664">
        <v>72</v>
      </c>
      <c r="B97" s="777" t="s">
        <v>828</v>
      </c>
      <c r="C97" s="662">
        <f>SUM(D97:G97)</f>
        <v>90941879</v>
      </c>
      <c r="D97" s="796">
        <v>600000</v>
      </c>
      <c r="E97" s="684">
        <v>5257200</v>
      </c>
      <c r="F97" s="684">
        <v>0</v>
      </c>
      <c r="G97" s="684">
        <f>83904684+1179995</f>
        <v>85084679</v>
      </c>
      <c r="H97" s="682"/>
      <c r="I97" s="713"/>
      <c r="J97" s="1240"/>
      <c r="K97" s="1240"/>
      <c r="L97" s="647">
        <v>85084679</v>
      </c>
    </row>
    <row r="98" spans="1:12" ht="12.75">
      <c r="A98" s="664">
        <v>73</v>
      </c>
      <c r="B98" s="704" t="s">
        <v>830</v>
      </c>
      <c r="C98" s="666">
        <f>SUM(D98:G98)</f>
        <v>0</v>
      </c>
      <c r="D98" s="778"/>
      <c r="E98" s="698">
        <v>0</v>
      </c>
      <c r="F98" s="698">
        <v>0</v>
      </c>
      <c r="G98" s="698">
        <v>0</v>
      </c>
      <c r="H98" s="765"/>
      <c r="I98" s="765"/>
      <c r="J98" s="1241"/>
      <c r="K98" s="1241"/>
      <c r="L98" s="700">
        <v>1045032</v>
      </c>
    </row>
    <row r="99" spans="1:12" ht="12.75">
      <c r="A99" s="664">
        <v>74</v>
      </c>
      <c r="B99" s="704" t="s">
        <v>861</v>
      </c>
      <c r="C99" s="666">
        <f>SUM(D99:G99)</f>
        <v>22654265</v>
      </c>
      <c r="D99" s="706"/>
      <c r="E99" s="698">
        <v>0</v>
      </c>
      <c r="F99" s="698">
        <v>0</v>
      </c>
      <c r="G99" s="698">
        <v>22654265</v>
      </c>
      <c r="H99" s="765"/>
      <c r="I99" s="766"/>
      <c r="J99" s="1241"/>
      <c r="K99" s="1241"/>
      <c r="L99" s="700">
        <f>3817843+12040142</f>
        <v>15857985</v>
      </c>
    </row>
    <row r="100" spans="1:12" ht="12.75">
      <c r="A100" s="664">
        <v>75</v>
      </c>
      <c r="B100" s="704" t="s">
        <v>827</v>
      </c>
      <c r="C100" s="666">
        <f>SUM(D100:G100)</f>
        <v>5418110</v>
      </c>
      <c r="D100" s="706"/>
      <c r="E100" s="685">
        <v>0</v>
      </c>
      <c r="F100" s="721">
        <v>1168400</v>
      </c>
      <c r="G100" s="721">
        <v>4249710</v>
      </c>
      <c r="H100" s="719"/>
      <c r="I100" s="720"/>
      <c r="J100" s="1241"/>
      <c r="K100" s="1241"/>
      <c r="L100" s="653">
        <v>4249710</v>
      </c>
    </row>
    <row r="101" spans="1:12" ht="13.5" thickBot="1">
      <c r="A101" s="664">
        <v>76</v>
      </c>
      <c r="B101" s="707" t="s">
        <v>836</v>
      </c>
      <c r="C101" s="666">
        <f>SUM(D101:G101)</f>
        <v>0</v>
      </c>
      <c r="D101" s="706"/>
      <c r="E101" s="685">
        <v>0</v>
      </c>
      <c r="F101" s="721">
        <v>0</v>
      </c>
      <c r="G101" s="721">
        <v>0</v>
      </c>
      <c r="H101" s="680"/>
      <c r="I101" s="681"/>
      <c r="J101" s="1241"/>
      <c r="K101" s="1241"/>
      <c r="L101" s="653">
        <f>254000+112000</f>
        <v>366000</v>
      </c>
    </row>
    <row r="102" spans="1:12" ht="13.5" thickBot="1">
      <c r="A102" s="671">
        <v>77</v>
      </c>
      <c r="B102" s="672" t="s">
        <v>345</v>
      </c>
      <c r="C102" s="673">
        <f>SUM(C97:C101)</f>
        <v>119014254</v>
      </c>
      <c r="D102" s="674">
        <v>600000</v>
      </c>
      <c r="E102" s="674">
        <f>SUM(E97:E101)</f>
        <v>5257200</v>
      </c>
      <c r="F102" s="674">
        <f>SUM(F97:F101)</f>
        <v>1168400</v>
      </c>
      <c r="G102" s="674">
        <f>SUM(G97:G101)</f>
        <v>111988654</v>
      </c>
      <c r="H102" s="690"/>
      <c r="I102" s="690"/>
      <c r="J102" s="1245"/>
      <c r="K102" s="1245"/>
      <c r="L102" s="675">
        <f>SUM(L97:L101)</f>
        <v>106603406</v>
      </c>
    </row>
    <row r="103" spans="1:12" ht="14.25" thickBot="1" thickTop="1">
      <c r="A103" s="664"/>
      <c r="B103" s="723"/>
      <c r="C103" s="724"/>
      <c r="D103" s="725"/>
      <c r="E103" s="724"/>
      <c r="F103" s="724"/>
      <c r="G103" s="725"/>
      <c r="H103" s="725"/>
      <c r="I103" s="725"/>
      <c r="J103" s="726"/>
      <c r="K103" s="726"/>
      <c r="L103" s="727"/>
    </row>
    <row r="104" spans="1:12" ht="16.5" thickBot="1" thickTop="1">
      <c r="A104" s="641">
        <v>78</v>
      </c>
      <c r="B104" s="1251" t="s">
        <v>841</v>
      </c>
      <c r="C104" s="1252"/>
      <c r="D104" s="1252"/>
      <c r="E104" s="1252"/>
      <c r="F104" s="1252"/>
      <c r="G104" s="1252"/>
      <c r="H104" s="1252"/>
      <c r="I104" s="1252"/>
      <c r="J104" s="1253"/>
      <c r="K104" s="1253"/>
      <c r="L104" s="642"/>
    </row>
    <row r="105" spans="1:12" ht="12.75">
      <c r="A105" s="643">
        <v>79</v>
      </c>
      <c r="B105" s="677" t="s">
        <v>823</v>
      </c>
      <c r="C105" s="662">
        <v>0</v>
      </c>
      <c r="D105" s="706"/>
      <c r="E105" s="684">
        <v>0</v>
      </c>
      <c r="F105" s="678">
        <v>0</v>
      </c>
      <c r="G105" s="679"/>
      <c r="H105" s="679"/>
      <c r="I105" s="679"/>
      <c r="J105" s="647">
        <v>0</v>
      </c>
      <c r="K105" s="647">
        <v>102620</v>
      </c>
      <c r="L105" s="1240"/>
    </row>
    <row r="106" spans="1:12" ht="13.5" thickBot="1">
      <c r="A106" s="654">
        <v>80</v>
      </c>
      <c r="B106" s="649" t="s">
        <v>824</v>
      </c>
      <c r="C106" s="666">
        <v>50000000</v>
      </c>
      <c r="D106" s="706"/>
      <c r="E106" s="652">
        <v>50000000</v>
      </c>
      <c r="F106" s="652">
        <v>0</v>
      </c>
      <c r="G106" s="680"/>
      <c r="H106" s="680"/>
      <c r="I106" s="681"/>
      <c r="J106" s="653">
        <f>23207061+726390</f>
        <v>23933451</v>
      </c>
      <c r="K106" s="653"/>
      <c r="L106" s="1241"/>
    </row>
    <row r="107" spans="1:12" ht="13.5" thickBot="1">
      <c r="A107" s="654">
        <v>81</v>
      </c>
      <c r="B107" s="655" t="s">
        <v>825</v>
      </c>
      <c r="C107" s="656">
        <f>SUM(C105:C106)</f>
        <v>50000000</v>
      </c>
      <c r="D107" s="687"/>
      <c r="E107" s="657">
        <f>SUM(E105:E106)</f>
        <v>50000000</v>
      </c>
      <c r="F107" s="657">
        <f>SUM(F105:F106)</f>
        <v>0</v>
      </c>
      <c r="G107" s="687"/>
      <c r="H107" s="687"/>
      <c r="I107" s="688"/>
      <c r="J107" s="658">
        <f>SUM(J105:J106)</f>
        <v>23933451</v>
      </c>
      <c r="K107" s="658">
        <f>SUM(K105:K106)</f>
        <v>102620</v>
      </c>
      <c r="L107" s="1242"/>
    </row>
    <row r="108" spans="1:12" ht="13.5" thickBot="1">
      <c r="A108" s="654"/>
      <c r="B108" s="1243"/>
      <c r="C108" s="1233"/>
      <c r="D108" s="1233"/>
      <c r="E108" s="1233"/>
      <c r="F108" s="1233"/>
      <c r="G108" s="1233"/>
      <c r="H108" s="1233"/>
      <c r="I108" s="1233"/>
      <c r="J108" s="1233"/>
      <c r="K108" s="1244"/>
      <c r="L108" s="659"/>
    </row>
    <row r="109" spans="1:12" ht="13.5" thickBot="1">
      <c r="A109" s="664">
        <v>82</v>
      </c>
      <c r="B109" s="661" t="s">
        <v>833</v>
      </c>
      <c r="C109" s="662">
        <v>50000000</v>
      </c>
      <c r="D109" s="703"/>
      <c r="E109" s="722">
        <v>2450000</v>
      </c>
      <c r="F109" s="722">
        <v>47550000</v>
      </c>
      <c r="G109" s="679"/>
      <c r="H109" s="679"/>
      <c r="I109" s="679"/>
      <c r="J109" s="1240"/>
      <c r="K109" s="1240"/>
      <c r="L109" s="647">
        <f>21830061+726390</f>
        <v>22556451</v>
      </c>
    </row>
    <row r="110" spans="1:12" ht="12.75">
      <c r="A110" s="664">
        <v>83</v>
      </c>
      <c r="B110" s="661" t="s">
        <v>839</v>
      </c>
      <c r="C110" s="662">
        <v>0</v>
      </c>
      <c r="D110" s="703"/>
      <c r="E110" s="722">
        <v>0</v>
      </c>
      <c r="F110" s="722">
        <v>0</v>
      </c>
      <c r="G110" s="679"/>
      <c r="H110" s="679"/>
      <c r="I110" s="679"/>
      <c r="J110" s="1241"/>
      <c r="K110" s="1241"/>
      <c r="L110" s="647">
        <v>102620</v>
      </c>
    </row>
    <row r="111" spans="1:12" ht="13.5" thickBot="1">
      <c r="A111" s="664">
        <v>84</v>
      </c>
      <c r="B111" s="665" t="s">
        <v>827</v>
      </c>
      <c r="C111" s="666">
        <v>0</v>
      </c>
      <c r="D111" s="706"/>
      <c r="E111" s="685">
        <v>0</v>
      </c>
      <c r="F111" s="685">
        <v>0</v>
      </c>
      <c r="G111" s="680"/>
      <c r="H111" s="680"/>
      <c r="I111" s="681"/>
      <c r="J111" s="1241"/>
      <c r="K111" s="1241"/>
      <c r="L111" s="653">
        <f>1377000+726390-726390</f>
        <v>1377000</v>
      </c>
    </row>
    <row r="112" spans="1:12" ht="13.5" thickBot="1">
      <c r="A112" s="671">
        <v>85</v>
      </c>
      <c r="B112" s="672" t="s">
        <v>345</v>
      </c>
      <c r="C112" s="673">
        <f>SUM(C109:C111)</f>
        <v>50000000</v>
      </c>
      <c r="D112" s="690"/>
      <c r="E112" s="674">
        <f>SUM(E109:E111)</f>
        <v>2450000</v>
      </c>
      <c r="F112" s="674">
        <f>SUM(F109:F111)</f>
        <v>47550000</v>
      </c>
      <c r="G112" s="690"/>
      <c r="H112" s="690"/>
      <c r="I112" s="690"/>
      <c r="J112" s="1245"/>
      <c r="K112" s="1245"/>
      <c r="L112" s="675">
        <f>SUM(L109:L111)</f>
        <v>24036071</v>
      </c>
    </row>
    <row r="113" spans="1:12" ht="14.25" thickBot="1" thickTop="1">
      <c r="A113" s="664"/>
      <c r="B113" s="723"/>
      <c r="C113" s="724"/>
      <c r="D113" s="725"/>
      <c r="E113" s="724"/>
      <c r="F113" s="724"/>
      <c r="G113" s="725"/>
      <c r="H113" s="725"/>
      <c r="I113" s="725"/>
      <c r="J113" s="726"/>
      <c r="K113" s="726"/>
      <c r="L113" s="727"/>
    </row>
    <row r="114" spans="1:12" ht="16.5" thickBot="1" thickTop="1">
      <c r="A114" s="641">
        <v>86</v>
      </c>
      <c r="B114" s="1251" t="s">
        <v>842</v>
      </c>
      <c r="C114" s="1252"/>
      <c r="D114" s="1252"/>
      <c r="E114" s="1252"/>
      <c r="F114" s="1252"/>
      <c r="G114" s="1252"/>
      <c r="H114" s="1252"/>
      <c r="I114" s="1252"/>
      <c r="J114" s="1253"/>
      <c r="K114" s="1253"/>
      <c r="L114" s="642"/>
    </row>
    <row r="115" spans="1:12" ht="12.75">
      <c r="A115" s="643">
        <v>87</v>
      </c>
      <c r="B115" s="677" t="s">
        <v>823</v>
      </c>
      <c r="C115" s="662">
        <v>0</v>
      </c>
      <c r="D115" s="706"/>
      <c r="E115" s="684">
        <v>0</v>
      </c>
      <c r="F115" s="678">
        <v>0</v>
      </c>
      <c r="G115" s="728">
        <v>0</v>
      </c>
      <c r="H115" s="728">
        <v>0</v>
      </c>
      <c r="I115" s="728">
        <v>0</v>
      </c>
      <c r="J115" s="647">
        <v>0</v>
      </c>
      <c r="K115" s="647">
        <v>0</v>
      </c>
      <c r="L115" s="1240"/>
    </row>
    <row r="116" spans="1:12" ht="13.5" thickBot="1">
      <c r="A116" s="654">
        <v>88</v>
      </c>
      <c r="B116" s="649" t="s">
        <v>824</v>
      </c>
      <c r="C116" s="666">
        <v>21635062</v>
      </c>
      <c r="D116" s="706"/>
      <c r="E116" s="652">
        <v>21635062</v>
      </c>
      <c r="F116" s="652">
        <v>0</v>
      </c>
      <c r="G116" s="729">
        <v>0</v>
      </c>
      <c r="H116" s="729">
        <v>0</v>
      </c>
      <c r="I116" s="730">
        <v>0</v>
      </c>
      <c r="J116" s="653">
        <f>12229669+55552</f>
        <v>12285221</v>
      </c>
      <c r="K116" s="653"/>
      <c r="L116" s="1241"/>
    </row>
    <row r="117" spans="1:12" ht="13.5" thickBot="1">
      <c r="A117" s="654">
        <v>89</v>
      </c>
      <c r="B117" s="655" t="s">
        <v>825</v>
      </c>
      <c r="C117" s="656">
        <f>SUM(C115:C116)</f>
        <v>21635062</v>
      </c>
      <c r="D117" s="687"/>
      <c r="E117" s="657">
        <f aca="true" t="shared" si="4" ref="E117:K117">SUM(E115:E116)</f>
        <v>21635062</v>
      </c>
      <c r="F117" s="657">
        <f t="shared" si="4"/>
        <v>0</v>
      </c>
      <c r="G117" s="657">
        <f t="shared" si="4"/>
        <v>0</v>
      </c>
      <c r="H117" s="657">
        <f t="shared" si="4"/>
        <v>0</v>
      </c>
      <c r="I117" s="657">
        <f t="shared" si="4"/>
        <v>0</v>
      </c>
      <c r="J117" s="658">
        <f t="shared" si="4"/>
        <v>12285221</v>
      </c>
      <c r="K117" s="658">
        <f t="shared" si="4"/>
        <v>0</v>
      </c>
      <c r="L117" s="1242"/>
    </row>
    <row r="118" spans="1:12" ht="13.5" thickBot="1">
      <c r="A118" s="654"/>
      <c r="B118" s="1243"/>
      <c r="C118" s="1233"/>
      <c r="D118" s="1233"/>
      <c r="E118" s="1233"/>
      <c r="F118" s="1233"/>
      <c r="G118" s="1233"/>
      <c r="H118" s="1233"/>
      <c r="I118" s="1233"/>
      <c r="J118" s="1233"/>
      <c r="K118" s="1244"/>
      <c r="L118" s="659"/>
    </row>
    <row r="119" spans="1:12" ht="12.75">
      <c r="A119" s="664">
        <v>90</v>
      </c>
      <c r="B119" s="661" t="s">
        <v>826</v>
      </c>
      <c r="C119" s="662">
        <v>10295000</v>
      </c>
      <c r="D119" s="703"/>
      <c r="E119" s="722">
        <v>717000</v>
      </c>
      <c r="F119" s="722">
        <v>3123000</v>
      </c>
      <c r="G119" s="722">
        <v>2880000</v>
      </c>
      <c r="H119" s="722">
        <v>2880000</v>
      </c>
      <c r="I119" s="722">
        <v>695000</v>
      </c>
      <c r="J119" s="1265"/>
      <c r="K119" s="1265"/>
      <c r="L119" s="647">
        <v>6327500</v>
      </c>
    </row>
    <row r="120" spans="1:12" ht="12.75">
      <c r="A120" s="664">
        <v>91</v>
      </c>
      <c r="B120" s="665" t="s">
        <v>827</v>
      </c>
      <c r="C120" s="712">
        <v>10510062</v>
      </c>
      <c r="D120" s="703"/>
      <c r="E120" s="731">
        <v>315347</v>
      </c>
      <c r="F120" s="731">
        <f>3984278+55</f>
        <v>3984333</v>
      </c>
      <c r="G120" s="732">
        <v>2149813</v>
      </c>
      <c r="H120" s="732">
        <v>2149812</v>
      </c>
      <c r="I120" s="732">
        <v>1910757</v>
      </c>
      <c r="J120" s="1266"/>
      <c r="K120" s="1266"/>
      <c r="L120" s="700">
        <f>5902169+55552</f>
        <v>5957721</v>
      </c>
    </row>
    <row r="121" spans="1:12" ht="13.5" thickBot="1">
      <c r="A121" s="664">
        <v>92</v>
      </c>
      <c r="B121" s="704" t="s">
        <v>828</v>
      </c>
      <c r="C121" s="666">
        <v>830000</v>
      </c>
      <c r="D121" s="706"/>
      <c r="E121" s="721">
        <v>829945</v>
      </c>
      <c r="F121" s="685">
        <f>55-55</f>
        <v>0</v>
      </c>
      <c r="G121" s="729">
        <v>0</v>
      </c>
      <c r="H121" s="729">
        <v>0</v>
      </c>
      <c r="I121" s="730">
        <v>0</v>
      </c>
      <c r="J121" s="1241"/>
      <c r="K121" s="1241"/>
      <c r="L121" s="700">
        <f>55-55</f>
        <v>0</v>
      </c>
    </row>
    <row r="122" spans="1:12" ht="13.5" thickBot="1">
      <c r="A122" s="671">
        <v>93</v>
      </c>
      <c r="B122" s="672" t="s">
        <v>345</v>
      </c>
      <c r="C122" s="673">
        <f>SUM(C119:C121)</f>
        <v>21635062</v>
      </c>
      <c r="D122" s="690"/>
      <c r="E122" s="674">
        <f>SUM(E119:E121)</f>
        <v>1862292</v>
      </c>
      <c r="F122" s="674">
        <f>SUM(F119:F121)</f>
        <v>7107333</v>
      </c>
      <c r="G122" s="674">
        <f>SUM(G119:G121)</f>
        <v>5029813</v>
      </c>
      <c r="H122" s="674">
        <f>SUM(H119:H121)</f>
        <v>5029812</v>
      </c>
      <c r="I122" s="674">
        <f>SUM(I119:I121)</f>
        <v>2605757</v>
      </c>
      <c r="J122" s="1245"/>
      <c r="K122" s="1245"/>
      <c r="L122" s="675">
        <f>SUM(L119:L121)</f>
        <v>12285221</v>
      </c>
    </row>
    <row r="123" spans="1:12" ht="14.25" thickBot="1" thickTop="1">
      <c r="A123" s="770"/>
      <c r="B123" s="739"/>
      <c r="C123" s="724"/>
      <c r="D123" s="725"/>
      <c r="E123" s="724"/>
      <c r="F123" s="724"/>
      <c r="G123" s="725"/>
      <c r="H123" s="725"/>
      <c r="I123" s="725"/>
      <c r="J123" s="726"/>
      <c r="K123" s="726"/>
      <c r="L123" s="727"/>
    </row>
    <row r="124" spans="1:12" ht="16.5" thickBot="1" thickTop="1">
      <c r="A124" s="641">
        <v>94</v>
      </c>
      <c r="B124" s="1251" t="s">
        <v>846</v>
      </c>
      <c r="C124" s="1252"/>
      <c r="D124" s="1252"/>
      <c r="E124" s="1252"/>
      <c r="F124" s="1252"/>
      <c r="G124" s="1252"/>
      <c r="H124" s="1252"/>
      <c r="I124" s="1252"/>
      <c r="J124" s="1253"/>
      <c r="K124" s="1253"/>
      <c r="L124" s="733"/>
    </row>
    <row r="125" spans="1:12" ht="12.75">
      <c r="A125" s="643">
        <v>95</v>
      </c>
      <c r="B125" s="644" t="s">
        <v>843</v>
      </c>
      <c r="C125" s="734">
        <f>SUM(I125+G125+F125+E125+D125)</f>
        <v>0</v>
      </c>
      <c r="D125" s="682"/>
      <c r="E125" s="682"/>
      <c r="F125" s="684">
        <v>0</v>
      </c>
      <c r="G125" s="684">
        <v>0</v>
      </c>
      <c r="H125" s="684">
        <v>0</v>
      </c>
      <c r="I125" s="682"/>
      <c r="J125" s="647">
        <v>0</v>
      </c>
      <c r="K125" s="647">
        <v>0</v>
      </c>
      <c r="L125" s="1240"/>
    </row>
    <row r="126" spans="1:12" ht="13.5" thickBot="1">
      <c r="A126" s="654">
        <v>96</v>
      </c>
      <c r="B126" s="649" t="s">
        <v>824</v>
      </c>
      <c r="C126" s="799">
        <v>6119772</v>
      </c>
      <c r="D126" s="715"/>
      <c r="E126" s="715"/>
      <c r="F126" s="652">
        <v>1647423</v>
      </c>
      <c r="G126" s="652">
        <v>2435901</v>
      </c>
      <c r="H126" s="652">
        <v>2036448</v>
      </c>
      <c r="I126" s="715"/>
      <c r="J126" s="653">
        <f>1475404-755546</f>
        <v>719858</v>
      </c>
      <c r="K126" s="653">
        <v>1092680</v>
      </c>
      <c r="L126" s="1241"/>
    </row>
    <row r="127" spans="1:12" ht="13.5" thickBot="1">
      <c r="A127" s="654">
        <v>97</v>
      </c>
      <c r="B127" s="655" t="s">
        <v>825</v>
      </c>
      <c r="C127" s="656">
        <f>SUM(G127+F127+H127)</f>
        <v>6119772</v>
      </c>
      <c r="D127" s="693"/>
      <c r="E127" s="693"/>
      <c r="F127" s="657">
        <f>SUM(F125+F126)</f>
        <v>1647423</v>
      </c>
      <c r="G127" s="657">
        <f>SUM(G125+G126)</f>
        <v>2435901</v>
      </c>
      <c r="H127" s="657">
        <f>SUM(H125+H126)</f>
        <v>2036448</v>
      </c>
      <c r="I127" s="735"/>
      <c r="J127" s="658">
        <f>SUM(J125+J126)</f>
        <v>719858</v>
      </c>
      <c r="K127" s="658">
        <f>SUM(K125+K126)</f>
        <v>1092680</v>
      </c>
      <c r="L127" s="1242"/>
    </row>
    <row r="128" spans="1:12" ht="13.5" thickBot="1">
      <c r="A128" s="654"/>
      <c r="B128" s="1257"/>
      <c r="C128" s="1258"/>
      <c r="D128" s="1259"/>
      <c r="E128" s="1259"/>
      <c r="F128" s="1259"/>
      <c r="G128" s="1259"/>
      <c r="H128" s="1259"/>
      <c r="I128" s="1259"/>
      <c r="J128" s="1260"/>
      <c r="K128" s="1261"/>
      <c r="L128" s="659"/>
    </row>
    <row r="129" spans="1:12" ht="12.75">
      <c r="A129" s="664">
        <v>98</v>
      </c>
      <c r="B129" s="661" t="s">
        <v>826</v>
      </c>
      <c r="C129" s="662">
        <v>2588370</v>
      </c>
      <c r="D129" s="682"/>
      <c r="E129" s="682"/>
      <c r="F129" s="652">
        <v>816596</v>
      </c>
      <c r="G129" s="652">
        <v>1208430</v>
      </c>
      <c r="H129" s="652">
        <v>563344</v>
      </c>
      <c r="I129" s="713"/>
      <c r="J129" s="1265"/>
      <c r="K129" s="1265"/>
      <c r="L129" s="647">
        <f>1208430+9570</f>
        <v>1218000</v>
      </c>
    </row>
    <row r="130" spans="1:12" ht="12.75">
      <c r="A130" s="664">
        <v>99</v>
      </c>
      <c r="B130" s="704" t="s">
        <v>827</v>
      </c>
      <c r="C130" s="666">
        <v>521854</v>
      </c>
      <c r="D130" s="767"/>
      <c r="E130" s="767"/>
      <c r="F130" s="652">
        <v>110969</v>
      </c>
      <c r="G130" s="652">
        <v>386554</v>
      </c>
      <c r="H130" s="652">
        <v>24331</v>
      </c>
      <c r="I130" s="769"/>
      <c r="J130" s="1266"/>
      <c r="K130" s="1266"/>
      <c r="L130" s="653">
        <f>386554-9570</f>
        <v>376984</v>
      </c>
    </row>
    <row r="131" spans="1:12" ht="12.75">
      <c r="A131" s="664">
        <v>100</v>
      </c>
      <c r="B131" s="704" t="s">
        <v>828</v>
      </c>
      <c r="C131" s="712">
        <v>973100</v>
      </c>
      <c r="D131" s="715"/>
      <c r="E131" s="715"/>
      <c r="F131" s="768">
        <v>0</v>
      </c>
      <c r="G131" s="652">
        <v>973100</v>
      </c>
      <c r="H131" s="768">
        <v>0</v>
      </c>
      <c r="I131" s="716"/>
      <c r="J131" s="1241"/>
      <c r="K131" s="1241"/>
      <c r="L131" s="700">
        <f>973100-755546</f>
        <v>217554</v>
      </c>
    </row>
    <row r="132" spans="1:12" ht="13.5" thickBot="1">
      <c r="A132" s="664">
        <v>101</v>
      </c>
      <c r="B132" s="667" t="s">
        <v>862</v>
      </c>
      <c r="C132" s="712">
        <v>2036448</v>
      </c>
      <c r="D132" s="767"/>
      <c r="E132" s="767"/>
      <c r="F132" s="768">
        <v>0</v>
      </c>
      <c r="G132" s="652">
        <v>2036448</v>
      </c>
      <c r="H132" s="768">
        <v>0</v>
      </c>
      <c r="I132" s="767"/>
      <c r="J132" s="1245"/>
      <c r="K132" s="1245"/>
      <c r="L132" s="700">
        <v>0</v>
      </c>
    </row>
    <row r="133" spans="1:12" ht="14.25" thickBot="1" thickTop="1">
      <c r="A133" s="736">
        <v>102</v>
      </c>
      <c r="B133" s="737" t="s">
        <v>345</v>
      </c>
      <c r="C133" s="673">
        <f>SUM(C129:C132)</f>
        <v>6119772</v>
      </c>
      <c r="D133" s="690"/>
      <c r="E133" s="690"/>
      <c r="F133" s="738">
        <f>SUM(F129:F132)</f>
        <v>927565</v>
      </c>
      <c r="G133" s="738">
        <f>SUM(G129:G132)</f>
        <v>4604532</v>
      </c>
      <c r="H133" s="738">
        <f>SUM(H129:H132)</f>
        <v>587675</v>
      </c>
      <c r="I133" s="690"/>
      <c r="J133" s="690"/>
      <c r="K133" s="690"/>
      <c r="L133" s="675">
        <f>SUM(L129:L132)</f>
        <v>1812538</v>
      </c>
    </row>
    <row r="134" spans="1:12" ht="14.25" thickBot="1" thickTop="1">
      <c r="A134" s="770"/>
      <c r="B134" s="739"/>
      <c r="C134" s="724"/>
      <c r="D134" s="725"/>
      <c r="E134" s="724"/>
      <c r="F134" s="724"/>
      <c r="G134" s="725"/>
      <c r="H134" s="725"/>
      <c r="I134" s="725"/>
      <c r="J134" s="726"/>
      <c r="K134" s="726"/>
      <c r="L134" s="727"/>
    </row>
    <row r="135" spans="1:12" ht="16.5" thickBot="1" thickTop="1">
      <c r="A135" s="641">
        <v>103</v>
      </c>
      <c r="B135" s="1251" t="s">
        <v>932</v>
      </c>
      <c r="C135" s="1252"/>
      <c r="D135" s="1252"/>
      <c r="E135" s="1252"/>
      <c r="F135" s="1252"/>
      <c r="G135" s="1252"/>
      <c r="H135" s="1252"/>
      <c r="I135" s="1252"/>
      <c r="J135" s="1253"/>
      <c r="K135" s="1253"/>
      <c r="L135" s="733"/>
    </row>
    <row r="136" spans="1:12" ht="12.75">
      <c r="A136" s="643">
        <v>104</v>
      </c>
      <c r="B136" s="644" t="s">
        <v>843</v>
      </c>
      <c r="C136" s="800">
        <f>SUM(I136+G136+F136+E136+D136)</f>
        <v>0</v>
      </c>
      <c r="D136" s="682"/>
      <c r="E136" s="682"/>
      <c r="F136" s="682"/>
      <c r="G136" s="684">
        <v>0</v>
      </c>
      <c r="H136" s="684">
        <v>0</v>
      </c>
      <c r="I136" s="682"/>
      <c r="J136" s="647">
        <v>0</v>
      </c>
      <c r="K136" s="647">
        <v>0</v>
      </c>
      <c r="L136" s="1240"/>
    </row>
    <row r="137" spans="1:12" ht="13.5" thickBot="1">
      <c r="A137" s="654">
        <v>105</v>
      </c>
      <c r="B137" s="649" t="s">
        <v>824</v>
      </c>
      <c r="C137" s="801">
        <f>SUM(I137+G137+F137+E137+D137)</f>
        <v>138240000</v>
      </c>
      <c r="D137" s="715"/>
      <c r="E137" s="715"/>
      <c r="F137" s="715"/>
      <c r="G137" s="652">
        <v>138240000</v>
      </c>
      <c r="H137" s="652">
        <v>0</v>
      </c>
      <c r="I137" s="715"/>
      <c r="J137" s="653">
        <v>0</v>
      </c>
      <c r="K137" s="653">
        <v>138240000</v>
      </c>
      <c r="L137" s="1241"/>
    </row>
    <row r="138" spans="1:12" ht="13.5" thickBot="1">
      <c r="A138" s="654">
        <v>106</v>
      </c>
      <c r="B138" s="655" t="s">
        <v>825</v>
      </c>
      <c r="C138" s="656">
        <f>SUM(G138+F138+H138)</f>
        <v>138240000</v>
      </c>
      <c r="D138" s="693"/>
      <c r="E138" s="693"/>
      <c r="F138" s="693"/>
      <c r="G138" s="657">
        <f>SUM(G136+G137)</f>
        <v>138240000</v>
      </c>
      <c r="H138" s="657">
        <f>SUM(H136+H137)</f>
        <v>0</v>
      </c>
      <c r="I138" s="735"/>
      <c r="J138" s="658">
        <f>SUM(J136+J137)</f>
        <v>0</v>
      </c>
      <c r="K138" s="658">
        <f>SUM(K136+K137)</f>
        <v>138240000</v>
      </c>
      <c r="L138" s="1242"/>
    </row>
    <row r="139" spans="1:12" ht="13.5" thickBot="1">
      <c r="A139" s="654"/>
      <c r="B139" s="1257"/>
      <c r="C139" s="1258"/>
      <c r="D139" s="1259"/>
      <c r="E139" s="1259"/>
      <c r="F139" s="1259"/>
      <c r="G139" s="1259"/>
      <c r="H139" s="1259"/>
      <c r="I139" s="1259"/>
      <c r="J139" s="1260"/>
      <c r="K139" s="1261"/>
      <c r="L139" s="659"/>
    </row>
    <row r="140" spans="1:12" ht="12.75">
      <c r="A140" s="664">
        <v>107</v>
      </c>
      <c r="B140" s="704" t="s">
        <v>827</v>
      </c>
      <c r="C140" s="802">
        <f>SUM(I140+G140+F140+E140+H140)</f>
        <v>2563710</v>
      </c>
      <c r="D140" s="767"/>
      <c r="E140" s="767"/>
      <c r="F140" s="767"/>
      <c r="G140" s="652">
        <v>0</v>
      </c>
      <c r="H140" s="652">
        <v>2563710</v>
      </c>
      <c r="I140" s="769"/>
      <c r="J140" s="1240"/>
      <c r="K140" s="1265"/>
      <c r="L140" s="653">
        <v>2563710</v>
      </c>
    </row>
    <row r="141" spans="1:12" ht="13.5" thickBot="1">
      <c r="A141" s="664">
        <v>108</v>
      </c>
      <c r="B141" s="704" t="s">
        <v>828</v>
      </c>
      <c r="C141" s="801">
        <f>SUM(I141+G141+F141+E141+H141)</f>
        <v>135676290</v>
      </c>
      <c r="D141" s="715"/>
      <c r="E141" s="715"/>
      <c r="F141" s="715"/>
      <c r="G141" s="652">
        <v>6908000</v>
      </c>
      <c r="H141" s="768">
        <v>128768290</v>
      </c>
      <c r="I141" s="716"/>
      <c r="J141" s="1242"/>
      <c r="K141" s="1242"/>
      <c r="L141" s="700">
        <v>135676290</v>
      </c>
    </row>
    <row r="142" spans="1:12" ht="13.5" thickBot="1">
      <c r="A142" s="736">
        <v>109</v>
      </c>
      <c r="B142" s="737" t="s">
        <v>345</v>
      </c>
      <c r="C142" s="673">
        <f>SUM(C140:C141)</f>
        <v>138240000</v>
      </c>
      <c r="D142" s="690"/>
      <c r="E142" s="690"/>
      <c r="F142" s="690"/>
      <c r="G142" s="738">
        <f>SUM(G140:G141)</f>
        <v>6908000</v>
      </c>
      <c r="H142" s="738">
        <f>SUM(H140:H141)</f>
        <v>131332000</v>
      </c>
      <c r="I142" s="690"/>
      <c r="J142" s="690"/>
      <c r="K142" s="690"/>
      <c r="L142" s="675">
        <f>SUM(L140:L141)</f>
        <v>138240000</v>
      </c>
    </row>
    <row r="143" spans="1:12" ht="14.25" thickBot="1" thickTop="1">
      <c r="A143" s="770"/>
      <c r="B143" s="739"/>
      <c r="C143" s="724"/>
      <c r="D143" s="725"/>
      <c r="E143" s="724"/>
      <c r="F143" s="724"/>
      <c r="G143" s="725"/>
      <c r="H143" s="725"/>
      <c r="I143" s="725"/>
      <c r="J143" s="726"/>
      <c r="K143" s="726"/>
      <c r="L143" s="727"/>
    </row>
    <row r="144" spans="1:12" ht="14.25" thickBot="1" thickTop="1">
      <c r="A144" s="643"/>
      <c r="B144" s="1262"/>
      <c r="C144" s="1263"/>
      <c r="D144" s="1263"/>
      <c r="E144" s="1263"/>
      <c r="F144" s="1263"/>
      <c r="G144" s="1263"/>
      <c r="H144" s="1263"/>
      <c r="I144" s="1263"/>
      <c r="J144" s="1263"/>
      <c r="K144" s="1263"/>
      <c r="L144" s="1264"/>
    </row>
    <row r="145" spans="1:12" ht="19.5" thickBot="1" thickTop="1">
      <c r="A145" s="740"/>
      <c r="B145" s="1248" t="s">
        <v>647</v>
      </c>
      <c r="C145" s="1249"/>
      <c r="D145" s="1249"/>
      <c r="E145" s="1249"/>
      <c r="F145" s="1249"/>
      <c r="G145" s="1249"/>
      <c r="H145" s="1249"/>
      <c r="I145" s="1249"/>
      <c r="J145" s="1249"/>
      <c r="K145" s="1249"/>
      <c r="L145" s="1250"/>
    </row>
    <row r="146" spans="1:12" ht="14.25" thickBot="1" thickTop="1">
      <c r="A146" s="640"/>
      <c r="B146" s="1254"/>
      <c r="C146" s="1255"/>
      <c r="D146" s="1255"/>
      <c r="E146" s="1255"/>
      <c r="F146" s="1255"/>
      <c r="G146" s="1255"/>
      <c r="H146" s="1255"/>
      <c r="I146" s="1255"/>
      <c r="J146" s="1255"/>
      <c r="K146" s="1255"/>
      <c r="L146" s="1256"/>
    </row>
    <row r="147" spans="1:12" ht="16.5" thickBot="1" thickTop="1">
      <c r="A147" s="641">
        <v>110</v>
      </c>
      <c r="B147" s="1246" t="s">
        <v>845</v>
      </c>
      <c r="C147" s="1247"/>
      <c r="D147" s="1247"/>
      <c r="E147" s="1247"/>
      <c r="F147" s="1247"/>
      <c r="G147" s="1247"/>
      <c r="H147" s="1247"/>
      <c r="I147" s="1247"/>
      <c r="J147" s="1247"/>
      <c r="K147" s="1247"/>
      <c r="L147" s="741"/>
    </row>
    <row r="148" spans="1:12" ht="12.75">
      <c r="A148" s="643">
        <v>111</v>
      </c>
      <c r="B148" s="686" t="s">
        <v>823</v>
      </c>
      <c r="C148" s="742">
        <v>0</v>
      </c>
      <c r="D148" s="743"/>
      <c r="E148" s="744">
        <v>0</v>
      </c>
      <c r="F148" s="744">
        <v>0</v>
      </c>
      <c r="G148" s="744">
        <v>0</v>
      </c>
      <c r="H148" s="744"/>
      <c r="I148" s="743"/>
      <c r="J148" s="700">
        <v>0</v>
      </c>
      <c r="K148" s="700">
        <v>0</v>
      </c>
      <c r="L148" s="1241"/>
    </row>
    <row r="149" spans="1:12" ht="13.5" thickBot="1">
      <c r="A149" s="648">
        <v>112</v>
      </c>
      <c r="B149" s="649" t="s">
        <v>824</v>
      </c>
      <c r="C149" s="650">
        <v>88217316</v>
      </c>
      <c r="D149" s="692"/>
      <c r="E149" s="652">
        <v>45094449</v>
      </c>
      <c r="F149" s="652">
        <v>0</v>
      </c>
      <c r="G149" s="652">
        <v>0</v>
      </c>
      <c r="H149" s="652">
        <v>43122867</v>
      </c>
      <c r="I149" s="692"/>
      <c r="J149" s="653">
        <f>7760424+10500000</f>
        <v>18260424</v>
      </c>
      <c r="K149" s="653">
        <f>5354163+7000000</f>
        <v>12354163</v>
      </c>
      <c r="L149" s="1241"/>
    </row>
    <row r="150" spans="1:12" ht="13.5" thickBot="1">
      <c r="A150" s="654">
        <v>113</v>
      </c>
      <c r="B150" s="655" t="s">
        <v>825</v>
      </c>
      <c r="C150" s="656">
        <f>SUM(C148:C149)</f>
        <v>88217316</v>
      </c>
      <c r="D150" s="693"/>
      <c r="E150" s="657">
        <f>SUM(E148:E149)</f>
        <v>45094449</v>
      </c>
      <c r="F150" s="657">
        <f>SUM(F148:F149)</f>
        <v>0</v>
      </c>
      <c r="G150" s="657">
        <f>SUM(G148:G149)</f>
        <v>0</v>
      </c>
      <c r="H150" s="657">
        <f>SUM(H148:H149)</f>
        <v>43122867</v>
      </c>
      <c r="I150" s="693"/>
      <c r="J150" s="658">
        <f>SUM(J148:J149)</f>
        <v>18260424</v>
      </c>
      <c r="K150" s="658">
        <f>SUM(K148:K149)</f>
        <v>12354163</v>
      </c>
      <c r="L150" s="1242"/>
    </row>
    <row r="151" spans="1:12" ht="13.5" thickBot="1">
      <c r="A151" s="654"/>
      <c r="B151" s="1243"/>
      <c r="C151" s="1233"/>
      <c r="D151" s="1233"/>
      <c r="E151" s="1233"/>
      <c r="F151" s="1233"/>
      <c r="G151" s="1233"/>
      <c r="H151" s="1233"/>
      <c r="I151" s="1233"/>
      <c r="J151" s="1233"/>
      <c r="K151" s="1244"/>
      <c r="L151" s="659"/>
    </row>
    <row r="152" spans="1:12" ht="12.75">
      <c r="A152" s="660">
        <v>114</v>
      </c>
      <c r="B152" s="661" t="s">
        <v>826</v>
      </c>
      <c r="C152" s="683">
        <f>SUM(E152:H152)</f>
        <v>53041950</v>
      </c>
      <c r="D152" s="694"/>
      <c r="E152" s="684">
        <v>4082460</v>
      </c>
      <c r="F152" s="678">
        <v>23773325</v>
      </c>
      <c r="G152" s="678">
        <v>23773325</v>
      </c>
      <c r="H152" s="678">
        <v>1412840</v>
      </c>
      <c r="I152" s="694"/>
      <c r="J152" s="1240"/>
      <c r="K152" s="1240"/>
      <c r="L152" s="647">
        <f>7710424+2756937+482464+6060606+939394</f>
        <v>17949825</v>
      </c>
    </row>
    <row r="153" spans="1:12" ht="12.75">
      <c r="A153" s="664">
        <v>115</v>
      </c>
      <c r="B153" s="665" t="s">
        <v>827</v>
      </c>
      <c r="C153" s="666">
        <f>SUM(E153:H153)</f>
        <v>33488176</v>
      </c>
      <c r="D153" s="703"/>
      <c r="E153" s="652">
        <v>12718558</v>
      </c>
      <c r="F153" s="651">
        <v>10002127</v>
      </c>
      <c r="G153" s="651">
        <v>10002126</v>
      </c>
      <c r="H153" s="651">
        <v>765365</v>
      </c>
      <c r="I153" s="703"/>
      <c r="J153" s="1241"/>
      <c r="K153" s="1241"/>
      <c r="L153" s="653">
        <f>50000+2114762+10500000</f>
        <v>12664762</v>
      </c>
    </row>
    <row r="154" spans="1:12" ht="13.5" thickBot="1">
      <c r="A154" s="664">
        <v>116</v>
      </c>
      <c r="B154" s="704" t="s">
        <v>828</v>
      </c>
      <c r="C154" s="712">
        <f>SUM(E154:H154)</f>
        <v>1687190</v>
      </c>
      <c r="D154" s="706"/>
      <c r="E154" s="652">
        <v>862449</v>
      </c>
      <c r="F154" s="651">
        <v>412371</v>
      </c>
      <c r="G154" s="651">
        <v>412370</v>
      </c>
      <c r="H154" s="651">
        <v>0</v>
      </c>
      <c r="I154" s="706"/>
      <c r="J154" s="1241"/>
      <c r="K154" s="1241"/>
      <c r="L154" s="653">
        <v>0</v>
      </c>
    </row>
    <row r="155" spans="1:12" ht="13.5" thickBot="1">
      <c r="A155" s="671">
        <v>117</v>
      </c>
      <c r="B155" s="672" t="s">
        <v>345</v>
      </c>
      <c r="C155" s="673">
        <f>SUM(C152:C154)</f>
        <v>88217316</v>
      </c>
      <c r="D155" s="690"/>
      <c r="E155" s="674">
        <f>SUM(E152:E154)</f>
        <v>17663467</v>
      </c>
      <c r="F155" s="674">
        <f>SUM(F152:F154)</f>
        <v>34187823</v>
      </c>
      <c r="G155" s="674">
        <f>SUM(G152:G154)</f>
        <v>34187821</v>
      </c>
      <c r="H155" s="674">
        <f>SUM(H152:H154)</f>
        <v>2178205</v>
      </c>
      <c r="I155" s="690"/>
      <c r="J155" s="1245"/>
      <c r="K155" s="1245"/>
      <c r="L155" s="675">
        <f>SUM(L152:L154)</f>
        <v>30614587</v>
      </c>
    </row>
    <row r="156" ht="14.25" thickBot="1" thickTop="1"/>
    <row r="157" spans="1:12" ht="19.5" thickBot="1" thickTop="1">
      <c r="A157" s="740"/>
      <c r="B157" s="1248" t="s">
        <v>670</v>
      </c>
      <c r="C157" s="1249"/>
      <c r="D157" s="1249"/>
      <c r="E157" s="1249"/>
      <c r="F157" s="1249"/>
      <c r="G157" s="1249"/>
      <c r="H157" s="1249"/>
      <c r="I157" s="1249"/>
      <c r="J157" s="1249"/>
      <c r="K157" s="1249"/>
      <c r="L157" s="1250"/>
    </row>
    <row r="158" spans="1:12" ht="14.25" thickBot="1" thickTop="1">
      <c r="A158" s="1234"/>
      <c r="B158" s="1235"/>
      <c r="C158" s="1235"/>
      <c r="D158" s="1235"/>
      <c r="E158" s="1235"/>
      <c r="F158" s="1235"/>
      <c r="G158" s="1235"/>
      <c r="H158" s="1235"/>
      <c r="I158" s="1235"/>
      <c r="J158" s="1235"/>
      <c r="K158" s="1235"/>
      <c r="L158" s="1236"/>
    </row>
    <row r="159" spans="1:12" ht="16.5" thickBot="1" thickTop="1">
      <c r="A159" s="641">
        <v>118</v>
      </c>
      <c r="B159" s="1237" t="s">
        <v>847</v>
      </c>
      <c r="C159" s="1238"/>
      <c r="D159" s="1238"/>
      <c r="E159" s="1238"/>
      <c r="F159" s="1238"/>
      <c r="G159" s="1238"/>
      <c r="H159" s="1238"/>
      <c r="I159" s="1238"/>
      <c r="J159" s="1238"/>
      <c r="K159" s="1238"/>
      <c r="L159" s="1239"/>
    </row>
    <row r="160" spans="1:12" ht="12.75">
      <c r="A160" s="643">
        <v>119</v>
      </c>
      <c r="B160" s="644" t="s">
        <v>823</v>
      </c>
      <c r="C160" s="645">
        <v>0</v>
      </c>
      <c r="D160" s="691"/>
      <c r="E160" s="691"/>
      <c r="F160" s="646">
        <v>0</v>
      </c>
      <c r="G160" s="691"/>
      <c r="H160" s="691"/>
      <c r="I160" s="691"/>
      <c r="J160" s="647">
        <v>0</v>
      </c>
      <c r="K160" s="647">
        <v>0</v>
      </c>
      <c r="L160" s="1240"/>
    </row>
    <row r="161" spans="1:12" ht="13.5" thickBot="1">
      <c r="A161" s="648">
        <v>120</v>
      </c>
      <c r="B161" s="649" t="s">
        <v>824</v>
      </c>
      <c r="C161" s="650">
        <v>25000000</v>
      </c>
      <c r="D161" s="692"/>
      <c r="E161" s="692"/>
      <c r="F161" s="652">
        <v>25000000</v>
      </c>
      <c r="G161" s="692"/>
      <c r="H161" s="692"/>
      <c r="I161" s="692"/>
      <c r="J161" s="653">
        <v>5642681</v>
      </c>
      <c r="K161" s="653">
        <v>0</v>
      </c>
      <c r="L161" s="1241"/>
    </row>
    <row r="162" spans="1:12" ht="13.5" thickBot="1">
      <c r="A162" s="654">
        <v>121</v>
      </c>
      <c r="B162" s="655" t="s">
        <v>825</v>
      </c>
      <c r="C162" s="656">
        <f>SUM(C160:C161)</f>
        <v>25000000</v>
      </c>
      <c r="D162" s="693"/>
      <c r="E162" s="693"/>
      <c r="F162" s="657">
        <f>SUM(F160:F161)</f>
        <v>25000000</v>
      </c>
      <c r="G162" s="693"/>
      <c r="H162" s="693"/>
      <c r="I162" s="693"/>
      <c r="J162" s="658">
        <f>SUM(J160:J161)</f>
        <v>5642681</v>
      </c>
      <c r="K162" s="658">
        <f>SUM(K160:K161)</f>
        <v>0</v>
      </c>
      <c r="L162" s="1242"/>
    </row>
    <row r="163" spans="1:12" ht="13.5" thickBot="1">
      <c r="A163" s="654"/>
      <c r="B163" s="1243"/>
      <c r="C163" s="1233"/>
      <c r="D163" s="1233"/>
      <c r="E163" s="1233"/>
      <c r="F163" s="1233"/>
      <c r="G163" s="1233"/>
      <c r="H163" s="1233"/>
      <c r="I163" s="1233"/>
      <c r="J163" s="1233"/>
      <c r="K163" s="1244"/>
      <c r="L163" s="659"/>
    </row>
    <row r="164" spans="1:12" ht="12.75">
      <c r="A164" s="660">
        <v>122</v>
      </c>
      <c r="B164" s="661" t="s">
        <v>826</v>
      </c>
      <c r="C164" s="683">
        <f>SUM(E164:H164)</f>
        <v>8407749</v>
      </c>
      <c r="D164" s="694"/>
      <c r="E164" s="694"/>
      <c r="F164" s="684">
        <v>8407749</v>
      </c>
      <c r="G164" s="694"/>
      <c r="H164" s="694"/>
      <c r="I164" s="694"/>
      <c r="J164" s="1240"/>
      <c r="K164" s="1240"/>
      <c r="L164" s="647">
        <f>2115000+13166+1000000+175000</f>
        <v>3303166</v>
      </c>
    </row>
    <row r="165" spans="1:12" ht="12.75">
      <c r="A165" s="664">
        <v>123</v>
      </c>
      <c r="B165" s="665" t="s">
        <v>827</v>
      </c>
      <c r="C165" s="666">
        <f>SUM(E165:H165)</f>
        <v>14095151</v>
      </c>
      <c r="D165" s="703"/>
      <c r="E165" s="703"/>
      <c r="F165" s="652">
        <v>14095151</v>
      </c>
      <c r="G165" s="703"/>
      <c r="H165" s="703"/>
      <c r="I165" s="703"/>
      <c r="J165" s="1241"/>
      <c r="K165" s="1241"/>
      <c r="L165" s="653">
        <f>3527681-13166-1175000</f>
        <v>2339515</v>
      </c>
    </row>
    <row r="166" spans="1:12" ht="13.5" thickBot="1">
      <c r="A166" s="664">
        <v>124</v>
      </c>
      <c r="B166" s="704" t="s">
        <v>828</v>
      </c>
      <c r="C166" s="712">
        <f>SUM(E166:H166)</f>
        <v>2497100</v>
      </c>
      <c r="D166" s="706"/>
      <c r="E166" s="706"/>
      <c r="F166" s="709">
        <v>2497100</v>
      </c>
      <c r="G166" s="706"/>
      <c r="H166" s="706"/>
      <c r="I166" s="706"/>
      <c r="J166" s="1241"/>
      <c r="K166" s="1241"/>
      <c r="L166" s="653">
        <v>0</v>
      </c>
    </row>
    <row r="167" spans="1:12" ht="13.5" thickBot="1">
      <c r="A167" s="671">
        <v>125</v>
      </c>
      <c r="B167" s="672" t="s">
        <v>345</v>
      </c>
      <c r="C167" s="673">
        <f>SUM(C164:C166)</f>
        <v>25000000</v>
      </c>
      <c r="D167" s="690"/>
      <c r="E167" s="690"/>
      <c r="F167" s="674">
        <f>SUM(F164:F166)</f>
        <v>25000000</v>
      </c>
      <c r="G167" s="690"/>
      <c r="H167" s="690"/>
      <c r="I167" s="690"/>
      <c r="J167" s="1245"/>
      <c r="K167" s="1245"/>
      <c r="L167" s="675">
        <f>SUM(L164:L166)</f>
        <v>5642681</v>
      </c>
    </row>
    <row r="168" spans="1:12" ht="13.5" thickTop="1">
      <c r="A168" s="629"/>
      <c r="B168" s="1233"/>
      <c r="C168" s="1233"/>
      <c r="D168" s="1233"/>
      <c r="E168" s="1233"/>
      <c r="F168" s="1233"/>
      <c r="G168" s="1233"/>
      <c r="H168" s="1233"/>
      <c r="I168" s="1233"/>
      <c r="J168" s="1233"/>
      <c r="K168" s="1233"/>
      <c r="L168" s="745"/>
    </row>
  </sheetData>
  <sheetProtection/>
  <mergeCells count="97">
    <mergeCell ref="K140:K141"/>
    <mergeCell ref="B1:L1"/>
    <mergeCell ref="B3:L3"/>
    <mergeCell ref="A6:A8"/>
    <mergeCell ref="B6:B8"/>
    <mergeCell ref="C6:I6"/>
    <mergeCell ref="J6:J8"/>
    <mergeCell ref="K6:K8"/>
    <mergeCell ref="L6:L8"/>
    <mergeCell ref="C7:C8"/>
    <mergeCell ref="D7:I7"/>
    <mergeCell ref="B10:L10"/>
    <mergeCell ref="B11:L11"/>
    <mergeCell ref="B12:K12"/>
    <mergeCell ref="L13:L15"/>
    <mergeCell ref="B16:K16"/>
    <mergeCell ref="J17:J20"/>
    <mergeCell ref="K17:K20"/>
    <mergeCell ref="B21:L21"/>
    <mergeCell ref="B22:K22"/>
    <mergeCell ref="L23:L25"/>
    <mergeCell ref="B26:K26"/>
    <mergeCell ref="J27:J30"/>
    <mergeCell ref="K27:K30"/>
    <mergeCell ref="B31:L31"/>
    <mergeCell ref="J129:J132"/>
    <mergeCell ref="K129:K132"/>
    <mergeCell ref="B32:K32"/>
    <mergeCell ref="L33:L36"/>
    <mergeCell ref="B37:K37"/>
    <mergeCell ref="C38:C39"/>
    <mergeCell ref="J38:J44"/>
    <mergeCell ref="K38:K44"/>
    <mergeCell ref="B45:L45"/>
    <mergeCell ref="B46:K46"/>
    <mergeCell ref="L47:L49"/>
    <mergeCell ref="B50:K50"/>
    <mergeCell ref="C51:C52"/>
    <mergeCell ref="J51:J55"/>
    <mergeCell ref="K51:K55"/>
    <mergeCell ref="B56:K56"/>
    <mergeCell ref="B57:K57"/>
    <mergeCell ref="L58:L60"/>
    <mergeCell ref="B61:K61"/>
    <mergeCell ref="J62:J67"/>
    <mergeCell ref="K62:K67"/>
    <mergeCell ref="B68:K68"/>
    <mergeCell ref="B69:K69"/>
    <mergeCell ref="L70:L72"/>
    <mergeCell ref="B73:K73"/>
    <mergeCell ref="J74:J78"/>
    <mergeCell ref="K74:K78"/>
    <mergeCell ref="B79:K79"/>
    <mergeCell ref="B80:K80"/>
    <mergeCell ref="L81:L83"/>
    <mergeCell ref="B84:K84"/>
    <mergeCell ref="J85:J90"/>
    <mergeCell ref="K85:K90"/>
    <mergeCell ref="L115:L117"/>
    <mergeCell ref="B118:K118"/>
    <mergeCell ref="B91:K91"/>
    <mergeCell ref="B92:K92"/>
    <mergeCell ref="L93:L95"/>
    <mergeCell ref="B96:K96"/>
    <mergeCell ref="J97:J102"/>
    <mergeCell ref="K97:K102"/>
    <mergeCell ref="B104:K104"/>
    <mergeCell ref="L105:L107"/>
    <mergeCell ref="B108:K108"/>
    <mergeCell ref="J109:J112"/>
    <mergeCell ref="K109:K112"/>
    <mergeCell ref="B114:K114"/>
    <mergeCell ref="J119:J122"/>
    <mergeCell ref="K119:K122"/>
    <mergeCell ref="B124:K124"/>
    <mergeCell ref="L125:L127"/>
    <mergeCell ref="B145:L145"/>
    <mergeCell ref="B146:L146"/>
    <mergeCell ref="B128:K128"/>
    <mergeCell ref="B144:L144"/>
    <mergeCell ref="B135:K135"/>
    <mergeCell ref="L136:L138"/>
    <mergeCell ref="B139:K139"/>
    <mergeCell ref="J140:J141"/>
    <mergeCell ref="B147:K147"/>
    <mergeCell ref="L148:L150"/>
    <mergeCell ref="K152:K155"/>
    <mergeCell ref="B157:L157"/>
    <mergeCell ref="B151:K151"/>
    <mergeCell ref="J152:J155"/>
    <mergeCell ref="B168:K168"/>
    <mergeCell ref="A158:L158"/>
    <mergeCell ref="B159:L159"/>
    <mergeCell ref="L160:L162"/>
    <mergeCell ref="B163:K163"/>
    <mergeCell ref="J164:J167"/>
    <mergeCell ref="K164:K1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79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6.125" style="92" customWidth="1"/>
    <col min="2" max="4" width="9.125" style="92" customWidth="1"/>
    <col min="5" max="5" width="40.375" style="92" customWidth="1"/>
    <col min="6" max="6" width="16.125" style="92" bestFit="1" customWidth="1"/>
    <col min="7" max="7" width="14.125" style="92" bestFit="1" customWidth="1"/>
    <col min="8" max="9" width="14.875" style="92" customWidth="1"/>
    <col min="10" max="10" width="16.00390625" style="92" bestFit="1" customWidth="1"/>
    <col min="11" max="16384" width="9.125" style="92" customWidth="1"/>
  </cols>
  <sheetData>
    <row r="1" spans="1:10" s="96" customFormat="1" ht="12.75">
      <c r="A1" s="947" t="s">
        <v>1052</v>
      </c>
      <c r="B1" s="947"/>
      <c r="C1" s="947"/>
      <c r="D1" s="947"/>
      <c r="E1" s="947"/>
      <c r="F1" s="947"/>
      <c r="G1" s="947"/>
      <c r="H1" s="947"/>
      <c r="I1" s="947"/>
      <c r="J1" s="947"/>
    </row>
    <row r="2" spans="1:10" s="96" customFormat="1" ht="9.75" customHeight="1">
      <c r="A2" s="97"/>
      <c r="B2" s="98"/>
      <c r="C2" s="98"/>
      <c r="D2" s="98"/>
      <c r="E2" s="98"/>
      <c r="F2" s="98"/>
      <c r="G2" s="98"/>
      <c r="H2" s="98"/>
      <c r="I2" s="98"/>
      <c r="J2" s="98"/>
    </row>
    <row r="3" spans="1:10" s="96" customFormat="1" ht="16.5">
      <c r="A3" s="948" t="s">
        <v>728</v>
      </c>
      <c r="B3" s="948"/>
      <c r="C3" s="948"/>
      <c r="D3" s="948"/>
      <c r="E3" s="948"/>
      <c r="F3" s="948"/>
      <c r="G3" s="948"/>
      <c r="H3" s="948"/>
      <c r="I3" s="948"/>
      <c r="J3" s="948"/>
    </row>
    <row r="4" spans="1:10" s="96" customFormat="1" ht="12.75">
      <c r="A4" s="97"/>
      <c r="B4" s="98"/>
      <c r="C4" s="98"/>
      <c r="D4" s="98"/>
      <c r="E4" s="98"/>
      <c r="F4" s="98"/>
      <c r="G4" s="98"/>
      <c r="H4" s="98"/>
      <c r="I4" s="98"/>
      <c r="J4" s="98"/>
    </row>
    <row r="5" spans="1:10" ht="78" customHeight="1">
      <c r="A5" s="949" t="s">
        <v>0</v>
      </c>
      <c r="B5" s="950"/>
      <c r="C5" s="950"/>
      <c r="D5" s="950"/>
      <c r="E5" s="951"/>
      <c r="F5" s="99" t="s">
        <v>85</v>
      </c>
      <c r="G5" s="99" t="s">
        <v>346</v>
      </c>
      <c r="H5" s="99" t="s">
        <v>647</v>
      </c>
      <c r="I5" s="99" t="s">
        <v>670</v>
      </c>
      <c r="J5" s="100" t="s">
        <v>341</v>
      </c>
    </row>
    <row r="6" spans="1:10" s="103" customFormat="1" ht="15">
      <c r="A6" s="101" t="s">
        <v>399</v>
      </c>
      <c r="B6" s="952" t="s">
        <v>400</v>
      </c>
      <c r="C6" s="953"/>
      <c r="D6" s="953"/>
      <c r="E6" s="954"/>
      <c r="F6" s="102" t="s">
        <v>401</v>
      </c>
      <c r="G6" s="102" t="s">
        <v>402</v>
      </c>
      <c r="H6" s="102" t="s">
        <v>403</v>
      </c>
      <c r="I6" s="102" t="s">
        <v>404</v>
      </c>
      <c r="J6" s="102" t="s">
        <v>406</v>
      </c>
    </row>
    <row r="7" spans="1:11" ht="14.25" customHeight="1">
      <c r="A7" s="104" t="s">
        <v>1</v>
      </c>
      <c r="B7" s="955" t="s">
        <v>335</v>
      </c>
      <c r="C7" s="955"/>
      <c r="D7" s="955"/>
      <c r="E7" s="955"/>
      <c r="F7" s="91">
        <f>34989435+3693375+12115695+1044000+609406+25000+27396716+80000+5400000+8650000+2543600+24650000+18342800+33000+1350000+1125000+23197320+11080125+6600+5000000+1344830+3459090+2500000+347826+45939+4891800+241500+16410600-416917-2160000+120750+4-4+570710+315900+52650+157950+34000+65000+100000+459366+575000+251428</f>
        <v>210699494</v>
      </c>
      <c r="G7" s="91">
        <f>91562414+4740000+2452125+103400+1263600-340425+513114+334626+416917+565152-560500-4800-459366+66078-575000</f>
        <v>100077335</v>
      </c>
      <c r="H7" s="91">
        <f>169355757+3215520+639450-330000-1461600+2756937+1035000-976500+1125000-1245375+216700+1690500+7803952+304762+1666667+377922+2160000+6060606+9-9+307692-12500000-4500000-340000-165410</f>
        <v>177197580</v>
      </c>
      <c r="I7" s="91">
        <f>2802000+11931088+1980314+1800000-775591+300000+241500+1000000+805087+2415261+3-3-5896-500000-2800000</f>
        <v>19193763</v>
      </c>
      <c r="J7" s="568">
        <f>SUM(F7:I7)</f>
        <v>507168172</v>
      </c>
      <c r="K7" s="466"/>
    </row>
    <row r="8" spans="1:11" ht="13.5" customHeight="1">
      <c r="A8" s="104" t="s">
        <v>3</v>
      </c>
      <c r="B8" s="955" t="s">
        <v>4</v>
      </c>
      <c r="C8" s="955"/>
      <c r="D8" s="955"/>
      <c r="E8" s="955"/>
      <c r="F8" s="91">
        <f>8083672+323170+1060123+164430+143206+3938+4793101+38963+927500+1409909+445130+4900455+3773040+5197+236250+196875+2029806+969525+1155+875000+208449+536159+387500+52174-45939+311347+44564+81181+3163+492+110+428040+37432+2543643-64622+50000-334800+18716+2-2+44233+48966+8161+24483+5270+9570-60+55947+149896-65000-100000+76788+128625+43772</f>
        <v>35068705</v>
      </c>
      <c r="G8" s="91">
        <f>16696818+829500+429122+18095+221130-59575-513114+64622+87598-86880-1681-871860-76788-66078-128625</f>
        <v>16542284</v>
      </c>
      <c r="H8" s="91">
        <f>33361183+562716+111904-57750-255780+482464+181125-170887+196875-217940+37923+262078+1209613+47238+258333+58578+334800+939394-54+3-3-1971+47692-2400000-840000-43979</f>
        <v>34103555</v>
      </c>
      <c r="I8" s="91">
        <f>490350+2122958+964502+315000-377745+13166+367133+37432+175000+124788+374364+1-1-2317-4730-77500-434000</f>
        <v>4088401</v>
      </c>
      <c r="J8" s="568">
        <f aca="true" t="shared" si="0" ref="J8:J73">SUM(F8:I8)</f>
        <v>89802945</v>
      </c>
      <c r="K8" s="466"/>
    </row>
    <row r="9" spans="1:11" ht="12" customHeight="1">
      <c r="A9" s="104" t="s">
        <v>5</v>
      </c>
      <c r="B9" s="955" t="s">
        <v>6</v>
      </c>
      <c r="C9" s="955"/>
      <c r="D9" s="955"/>
      <c r="E9" s="955"/>
      <c r="F9" s="91">
        <f>15275133+40527704+52070+15377340+5249710+4571244+3416864+9798424+4276480+1377000+640554+4667808+416194+24094440+2640000+14028933+360000+27644450+120000+2949420+1830220+73660+5902169+2242300+57876511+11650000+1812600+17254444+2600000+22523810+8285000-54000-254000+500000+1500000+1310301+4441343+600000+1275000+13881090+60657486+18063936+308085+16823647+17596440+175000+92377+6500+1143000+9534431+33191447+558233+4615000+726390+55552-519024-13077629-10911298+200000+401078+382588+349267+1505094+414268+951095+265050+61586+31383+30000+2513+267157-18954243+73560+36836+328388+31750+710550+306250+1012863-726390+366000+13208+12040142+57150+21844+123000+40000-3000-436880+998220-20000+229808-1500000+17500-7292340-3261523+1500000+4600000+7744917+61267-27230+210000-878586+77000-77000+2563710+8285000-8285000-1400000-369750-9570-63414+5000000+325148+5109584+352049+2265477-1638300+736851</f>
        <v>486929714</v>
      </c>
      <c r="G9" s="91">
        <f>26913440+2000-200000-130000-81892-3896375</f>
        <v>22607173</v>
      </c>
      <c r="H9" s="91">
        <f>56130277-781083+2114762-47925+10500000+550024+348851+31954+544626+40591+14000-14000+355000+495000+300000+176960+424000+364616-1700000-5600000-1450000-1100000-250000+122358+161765-122358-161765</f>
        <v>61447653</v>
      </c>
      <c r="I9" s="91">
        <f>1082115+290700+14446890+7003586+3527681-317500+144779-2575544-800000-13166+2954117-1175000-21844-8000+8000-500000-100000-2816535</f>
        <v>21130279</v>
      </c>
      <c r="J9" s="568">
        <f t="shared" si="0"/>
        <v>592114819</v>
      </c>
      <c r="K9" s="466"/>
    </row>
    <row r="10" spans="1:11" ht="12.75">
      <c r="A10" s="104" t="s">
        <v>8</v>
      </c>
      <c r="B10" s="955" t="s">
        <v>9</v>
      </c>
      <c r="C10" s="955"/>
      <c r="D10" s="955"/>
      <c r="E10" s="955"/>
      <c r="F10" s="91">
        <f>SUM(F11,F12,F15:F20)</f>
        <v>11104900</v>
      </c>
      <c r="G10" s="91">
        <f>SUM(G11,G12,G15:G20)</f>
        <v>0</v>
      </c>
      <c r="H10" s="91">
        <f>SUM(H11,H12,H15:H20)</f>
        <v>0</v>
      </c>
      <c r="I10" s="91">
        <f>SUM(I11,I12,I15:I20)</f>
        <v>0</v>
      </c>
      <c r="J10" s="568">
        <f t="shared" si="0"/>
        <v>11104900</v>
      </c>
      <c r="K10" s="466"/>
    </row>
    <row r="11" spans="1:11" ht="12.75">
      <c r="A11" s="87"/>
      <c r="B11" s="87" t="s">
        <v>10</v>
      </c>
      <c r="C11" s="938" t="s">
        <v>11</v>
      </c>
      <c r="D11" s="940"/>
      <c r="E11" s="939"/>
      <c r="F11" s="90">
        <v>0</v>
      </c>
      <c r="G11" s="90">
        <v>0</v>
      </c>
      <c r="H11" s="90">
        <v>0</v>
      </c>
      <c r="I11" s="90">
        <v>0</v>
      </c>
      <c r="J11" s="91">
        <f t="shared" si="0"/>
        <v>0</v>
      </c>
      <c r="K11" s="466"/>
    </row>
    <row r="12" spans="1:11" ht="12.75">
      <c r="A12" s="87"/>
      <c r="B12" s="87" t="s">
        <v>12</v>
      </c>
      <c r="C12" s="941" t="s">
        <v>13</v>
      </c>
      <c r="D12" s="941"/>
      <c r="E12" s="941"/>
      <c r="F12" s="90">
        <f>SUM(F13:F14)</f>
        <v>0</v>
      </c>
      <c r="G12" s="90">
        <f>SUM(G13:G14)</f>
        <v>0</v>
      </c>
      <c r="H12" s="90">
        <f>SUM(H13:H14)</f>
        <v>0</v>
      </c>
      <c r="I12" s="90">
        <f>SUM(I13:I14)</f>
        <v>0</v>
      </c>
      <c r="J12" s="91">
        <f t="shared" si="0"/>
        <v>0</v>
      </c>
      <c r="K12" s="466"/>
    </row>
    <row r="13" spans="1:11" ht="23.25" customHeight="1" hidden="1">
      <c r="A13" s="93"/>
      <c r="B13" s="87"/>
      <c r="C13" s="93"/>
      <c r="D13" s="936" t="s">
        <v>554</v>
      </c>
      <c r="E13" s="937"/>
      <c r="F13" s="94">
        <v>0</v>
      </c>
      <c r="G13" s="94"/>
      <c r="H13" s="94">
        <v>0</v>
      </c>
      <c r="I13" s="94">
        <v>0</v>
      </c>
      <c r="J13" s="105">
        <f t="shared" si="0"/>
        <v>0</v>
      </c>
      <c r="K13" s="466"/>
    </row>
    <row r="14" spans="1:11" ht="22.5" customHeight="1" hidden="1">
      <c r="A14" s="93"/>
      <c r="B14" s="87"/>
      <c r="C14" s="93"/>
      <c r="D14" s="956" t="s">
        <v>555</v>
      </c>
      <c r="E14" s="957"/>
      <c r="F14" s="94">
        <v>0</v>
      </c>
      <c r="G14" s="94">
        <v>0</v>
      </c>
      <c r="H14" s="94">
        <v>0</v>
      </c>
      <c r="I14" s="94">
        <v>0</v>
      </c>
      <c r="J14" s="105">
        <f t="shared" si="0"/>
        <v>0</v>
      </c>
      <c r="K14" s="466"/>
    </row>
    <row r="15" spans="1:11" ht="12.75">
      <c r="A15" s="87"/>
      <c r="B15" s="87" t="s">
        <v>117</v>
      </c>
      <c r="C15" s="941" t="s">
        <v>118</v>
      </c>
      <c r="D15" s="941"/>
      <c r="E15" s="941"/>
      <c r="F15" s="90">
        <v>0</v>
      </c>
      <c r="G15" s="90">
        <v>0</v>
      </c>
      <c r="H15" s="90">
        <v>0</v>
      </c>
      <c r="I15" s="90">
        <v>0</v>
      </c>
      <c r="J15" s="105">
        <f t="shared" si="0"/>
        <v>0</v>
      </c>
      <c r="K15" s="466"/>
    </row>
    <row r="16" spans="1:11" ht="12" customHeight="1">
      <c r="A16" s="87"/>
      <c r="B16" s="87" t="s">
        <v>119</v>
      </c>
      <c r="C16" s="938" t="s">
        <v>120</v>
      </c>
      <c r="D16" s="940"/>
      <c r="E16" s="939"/>
      <c r="F16" s="90">
        <f aca="true" t="shared" si="1" ref="F16:I17">SUM(F17:F18)</f>
        <v>0</v>
      </c>
      <c r="G16" s="90">
        <f t="shared" si="1"/>
        <v>0</v>
      </c>
      <c r="H16" s="90">
        <f t="shared" si="1"/>
        <v>0</v>
      </c>
      <c r="I16" s="90">
        <f t="shared" si="1"/>
        <v>0</v>
      </c>
      <c r="J16" s="105">
        <f t="shared" si="0"/>
        <v>0</v>
      </c>
      <c r="K16" s="466"/>
    </row>
    <row r="17" spans="1:11" ht="13.5" customHeight="1">
      <c r="A17" s="93"/>
      <c r="B17" s="87" t="s">
        <v>121</v>
      </c>
      <c r="C17" s="87" t="s">
        <v>122</v>
      </c>
      <c r="D17" s="88"/>
      <c r="E17" s="89"/>
      <c r="F17" s="90">
        <f t="shared" si="1"/>
        <v>0</v>
      </c>
      <c r="G17" s="90">
        <f t="shared" si="1"/>
        <v>0</v>
      </c>
      <c r="H17" s="90">
        <f t="shared" si="1"/>
        <v>0</v>
      </c>
      <c r="I17" s="90">
        <f t="shared" si="1"/>
        <v>0</v>
      </c>
      <c r="J17" s="105">
        <f t="shared" si="0"/>
        <v>0</v>
      </c>
      <c r="K17" s="466"/>
    </row>
    <row r="18" spans="1:11" ht="12.75">
      <c r="A18" s="87"/>
      <c r="B18" s="87" t="s">
        <v>123</v>
      </c>
      <c r="C18" s="938" t="s">
        <v>124</v>
      </c>
      <c r="D18" s="940"/>
      <c r="E18" s="939"/>
      <c r="F18" s="90">
        <f>SUM(F19)</f>
        <v>0</v>
      </c>
      <c r="G18" s="90">
        <f>SUM(G19)</f>
        <v>0</v>
      </c>
      <c r="H18" s="90">
        <f>SUM(H19)</f>
        <v>0</v>
      </c>
      <c r="I18" s="90">
        <f>SUM(I19)</f>
        <v>0</v>
      </c>
      <c r="J18" s="105">
        <f t="shared" si="0"/>
        <v>0</v>
      </c>
      <c r="K18" s="466"/>
    </row>
    <row r="19" spans="1:11" ht="12.75">
      <c r="A19" s="87"/>
      <c r="B19" s="87" t="s">
        <v>125</v>
      </c>
      <c r="C19" s="941" t="s">
        <v>14</v>
      </c>
      <c r="D19" s="941"/>
      <c r="E19" s="941"/>
      <c r="F19" s="90">
        <v>0</v>
      </c>
      <c r="G19" s="90">
        <v>0</v>
      </c>
      <c r="H19" s="90">
        <v>0</v>
      </c>
      <c r="I19" s="90">
        <v>0</v>
      </c>
      <c r="J19" s="105">
        <f t="shared" si="0"/>
        <v>0</v>
      </c>
      <c r="K19" s="466"/>
    </row>
    <row r="20" spans="1:11" ht="12.75">
      <c r="A20" s="87"/>
      <c r="B20" s="87" t="s">
        <v>126</v>
      </c>
      <c r="C20" s="938" t="s">
        <v>127</v>
      </c>
      <c r="D20" s="940"/>
      <c r="E20" s="939"/>
      <c r="F20" s="90">
        <f>SUM(F21:F22)</f>
        <v>11104900</v>
      </c>
      <c r="G20" s="90">
        <f>SUM(G21:G22)</f>
        <v>0</v>
      </c>
      <c r="H20" s="90">
        <f>SUM(H21:H22)</f>
        <v>0</v>
      </c>
      <c r="I20" s="90">
        <f>SUM(I21:I22)</f>
        <v>0</v>
      </c>
      <c r="J20" s="105">
        <f t="shared" si="0"/>
        <v>11104900</v>
      </c>
      <c r="K20" s="466"/>
    </row>
    <row r="21" spans="1:11" ht="12.75">
      <c r="A21" s="93"/>
      <c r="B21" s="93"/>
      <c r="C21" s="93"/>
      <c r="D21" s="938" t="s">
        <v>528</v>
      </c>
      <c r="E21" s="939"/>
      <c r="F21" s="94">
        <f>1500000+7300000</f>
        <v>8800000</v>
      </c>
      <c r="G21" s="94">
        <v>0</v>
      </c>
      <c r="H21" s="94">
        <v>0</v>
      </c>
      <c r="I21" s="94">
        <v>0</v>
      </c>
      <c r="J21" s="105">
        <f t="shared" si="0"/>
        <v>8800000</v>
      </c>
      <c r="K21" s="466"/>
    </row>
    <row r="22" spans="1:11" s="95" customFormat="1" ht="12.75">
      <c r="A22" s="93"/>
      <c r="B22" s="93"/>
      <c r="C22" s="93"/>
      <c r="D22" s="938" t="s">
        <v>527</v>
      </c>
      <c r="E22" s="939"/>
      <c r="F22" s="94">
        <v>2304900</v>
      </c>
      <c r="G22" s="94">
        <v>0</v>
      </c>
      <c r="H22" s="94">
        <v>0</v>
      </c>
      <c r="I22" s="94">
        <v>0</v>
      </c>
      <c r="J22" s="105">
        <f t="shared" si="0"/>
        <v>2304900</v>
      </c>
      <c r="K22" s="466"/>
    </row>
    <row r="23" spans="1:11" ht="12" customHeight="1">
      <c r="A23" s="104" t="s">
        <v>128</v>
      </c>
      <c r="B23" s="942" t="s">
        <v>129</v>
      </c>
      <c r="C23" s="943"/>
      <c r="D23" s="943"/>
      <c r="E23" s="944"/>
      <c r="F23" s="91">
        <f>SUM(F57+F46+F45+F43+F42+F41+F40+F29+F28+F27+F26+F24+F25)</f>
        <v>191487383</v>
      </c>
      <c r="G23" s="91">
        <f>SUM(G57+G46+G43+G42+G41+G40+G29+G28+G27+G26+G24+G25)</f>
        <v>0</v>
      </c>
      <c r="H23" s="91">
        <f>SUM(H57+H46+H43+H42+H41+H40+H29+H28+H27+H26+H24+H25)</f>
        <v>0</v>
      </c>
      <c r="I23" s="91">
        <f>SUM(I57+I46+I43+I42+I41+I40+I29+I28+I27+I26+I24+I25)</f>
        <v>0</v>
      </c>
      <c r="J23" s="568">
        <f t="shared" si="0"/>
        <v>191487383</v>
      </c>
      <c r="K23" s="466"/>
    </row>
    <row r="24" spans="1:11" ht="6" customHeight="1" hidden="1">
      <c r="A24" s="93"/>
      <c r="B24" s="93"/>
      <c r="C24" s="93" t="s">
        <v>130</v>
      </c>
      <c r="D24" s="93" t="s">
        <v>131</v>
      </c>
      <c r="E24" s="93"/>
      <c r="F24" s="94">
        <v>0</v>
      </c>
      <c r="G24" s="94">
        <v>0</v>
      </c>
      <c r="H24" s="94">
        <v>0</v>
      </c>
      <c r="I24" s="94">
        <v>0</v>
      </c>
      <c r="J24" s="105">
        <f t="shared" si="0"/>
        <v>0</v>
      </c>
      <c r="K24" s="467"/>
    </row>
    <row r="25" spans="1:11" ht="15" customHeight="1">
      <c r="A25" s="93"/>
      <c r="B25" s="93"/>
      <c r="C25" s="93" t="s">
        <v>132</v>
      </c>
      <c r="D25" s="93" t="s">
        <v>133</v>
      </c>
      <c r="E25" s="93"/>
      <c r="F25" s="94">
        <f>36263474+132767</f>
        <v>36396241</v>
      </c>
      <c r="G25" s="94">
        <v>0</v>
      </c>
      <c r="H25" s="94">
        <v>0</v>
      </c>
      <c r="I25" s="94">
        <v>0</v>
      </c>
      <c r="J25" s="105">
        <f t="shared" si="0"/>
        <v>36396241</v>
      </c>
      <c r="K25" s="467"/>
    </row>
    <row r="26" spans="1:11" ht="12.75" hidden="1">
      <c r="A26" s="93"/>
      <c r="B26" s="93"/>
      <c r="C26" s="93" t="s">
        <v>134</v>
      </c>
      <c r="D26" s="945" t="s">
        <v>135</v>
      </c>
      <c r="E26" s="946"/>
      <c r="F26" s="94">
        <v>0</v>
      </c>
      <c r="G26" s="94">
        <v>0</v>
      </c>
      <c r="H26" s="94">
        <v>0</v>
      </c>
      <c r="I26" s="94">
        <v>0</v>
      </c>
      <c r="J26" s="105">
        <f t="shared" si="0"/>
        <v>0</v>
      </c>
      <c r="K26" s="467"/>
    </row>
    <row r="27" spans="1:11" ht="12.75" hidden="1">
      <c r="A27" s="93"/>
      <c r="B27" s="93"/>
      <c r="C27" s="93" t="s">
        <v>136</v>
      </c>
      <c r="D27" s="945" t="s">
        <v>137</v>
      </c>
      <c r="E27" s="946"/>
      <c r="F27" s="94">
        <v>0</v>
      </c>
      <c r="G27" s="94">
        <v>0</v>
      </c>
      <c r="H27" s="94">
        <v>0</v>
      </c>
      <c r="I27" s="94">
        <v>0</v>
      </c>
      <c r="J27" s="105">
        <f t="shared" si="0"/>
        <v>0</v>
      </c>
      <c r="K27" s="467"/>
    </row>
    <row r="28" spans="1:11" ht="12.75" hidden="1">
      <c r="A28" s="93"/>
      <c r="B28" s="93"/>
      <c r="C28" s="93" t="s">
        <v>158</v>
      </c>
      <c r="D28" s="945" t="s">
        <v>159</v>
      </c>
      <c r="E28" s="946"/>
      <c r="F28" s="94">
        <v>0</v>
      </c>
      <c r="G28" s="94">
        <v>0</v>
      </c>
      <c r="H28" s="94">
        <v>0</v>
      </c>
      <c r="I28" s="94">
        <v>0</v>
      </c>
      <c r="J28" s="105">
        <f t="shared" si="0"/>
        <v>0</v>
      </c>
      <c r="K28" s="467"/>
    </row>
    <row r="29" spans="1:11" ht="12.75" hidden="1">
      <c r="A29" s="93"/>
      <c r="B29" s="93"/>
      <c r="C29" s="93" t="s">
        <v>160</v>
      </c>
      <c r="D29" s="945" t="s">
        <v>161</v>
      </c>
      <c r="E29" s="946"/>
      <c r="F29" s="94">
        <f>SUM(F30:F39)</f>
        <v>0</v>
      </c>
      <c r="G29" s="94">
        <f>SUM(G30:G39)</f>
        <v>0</v>
      </c>
      <c r="H29" s="94">
        <f>SUM(H30:H39)</f>
        <v>0</v>
      </c>
      <c r="I29" s="94">
        <f>SUM(I30:I39)</f>
        <v>0</v>
      </c>
      <c r="J29" s="105">
        <f t="shared" si="0"/>
        <v>0</v>
      </c>
      <c r="K29" s="467"/>
    </row>
    <row r="30" spans="1:11" ht="12.75" hidden="1">
      <c r="A30" s="106"/>
      <c r="B30" s="106"/>
      <c r="C30" s="107" t="s">
        <v>2</v>
      </c>
      <c r="D30" s="107" t="s">
        <v>138</v>
      </c>
      <c r="E30" s="107" t="s">
        <v>139</v>
      </c>
      <c r="F30" s="108">
        <v>0</v>
      </c>
      <c r="G30" s="108">
        <v>0</v>
      </c>
      <c r="H30" s="108">
        <v>0</v>
      </c>
      <c r="I30" s="108">
        <v>0</v>
      </c>
      <c r="J30" s="105">
        <f t="shared" si="0"/>
        <v>0</v>
      </c>
      <c r="K30" s="467"/>
    </row>
    <row r="31" spans="1:11" ht="12.75" hidden="1">
      <c r="A31" s="106"/>
      <c r="B31" s="106"/>
      <c r="C31" s="107"/>
      <c r="D31" s="107" t="s">
        <v>140</v>
      </c>
      <c r="E31" s="107" t="s">
        <v>141</v>
      </c>
      <c r="F31" s="108">
        <v>0</v>
      </c>
      <c r="G31" s="108">
        <v>0</v>
      </c>
      <c r="H31" s="108">
        <v>0</v>
      </c>
      <c r="I31" s="108">
        <v>0</v>
      </c>
      <c r="J31" s="105">
        <f t="shared" si="0"/>
        <v>0</v>
      </c>
      <c r="K31" s="467"/>
    </row>
    <row r="32" spans="1:11" ht="12.75" hidden="1">
      <c r="A32" s="106"/>
      <c r="B32" s="106"/>
      <c r="C32" s="107"/>
      <c r="D32" s="107" t="s">
        <v>142</v>
      </c>
      <c r="E32" s="107" t="s">
        <v>143</v>
      </c>
      <c r="F32" s="108">
        <v>0</v>
      </c>
      <c r="G32" s="108">
        <v>0</v>
      </c>
      <c r="H32" s="108">
        <v>0</v>
      </c>
      <c r="I32" s="108">
        <v>0</v>
      </c>
      <c r="J32" s="105">
        <f t="shared" si="0"/>
        <v>0</v>
      </c>
      <c r="K32" s="467"/>
    </row>
    <row r="33" spans="1:11" ht="12.75" hidden="1">
      <c r="A33" s="106"/>
      <c r="B33" s="106"/>
      <c r="C33" s="107"/>
      <c r="D33" s="107" t="s">
        <v>144</v>
      </c>
      <c r="E33" s="107" t="s">
        <v>145</v>
      </c>
      <c r="F33" s="108">
        <v>0</v>
      </c>
      <c r="G33" s="108">
        <v>0</v>
      </c>
      <c r="H33" s="108">
        <v>0</v>
      </c>
      <c r="I33" s="108">
        <v>0</v>
      </c>
      <c r="J33" s="105">
        <f t="shared" si="0"/>
        <v>0</v>
      </c>
      <c r="K33" s="467"/>
    </row>
    <row r="34" spans="1:11" ht="12.75" hidden="1">
      <c r="A34" s="106"/>
      <c r="B34" s="106"/>
      <c r="C34" s="107"/>
      <c r="D34" s="107" t="s">
        <v>146</v>
      </c>
      <c r="E34" s="107" t="s">
        <v>147</v>
      </c>
      <c r="F34" s="108">
        <v>0</v>
      </c>
      <c r="G34" s="108">
        <v>0</v>
      </c>
      <c r="H34" s="108">
        <v>0</v>
      </c>
      <c r="I34" s="108">
        <v>0</v>
      </c>
      <c r="J34" s="105">
        <f t="shared" si="0"/>
        <v>0</v>
      </c>
      <c r="K34" s="467"/>
    </row>
    <row r="35" spans="1:11" ht="12.75" hidden="1">
      <c r="A35" s="106"/>
      <c r="B35" s="106"/>
      <c r="C35" s="107"/>
      <c r="D35" s="107" t="s">
        <v>148</v>
      </c>
      <c r="E35" s="107" t="s">
        <v>149</v>
      </c>
      <c r="F35" s="108">
        <v>0</v>
      </c>
      <c r="G35" s="108">
        <v>0</v>
      </c>
      <c r="H35" s="108">
        <v>0</v>
      </c>
      <c r="I35" s="108">
        <v>0</v>
      </c>
      <c r="J35" s="105">
        <f t="shared" si="0"/>
        <v>0</v>
      </c>
      <c r="K35" s="467"/>
    </row>
    <row r="36" spans="1:11" ht="0.75" customHeight="1" hidden="1">
      <c r="A36" s="106"/>
      <c r="B36" s="106"/>
      <c r="C36" s="107"/>
      <c r="D36" s="107" t="s">
        <v>150</v>
      </c>
      <c r="E36" s="107" t="s">
        <v>151</v>
      </c>
      <c r="F36" s="108">
        <v>0</v>
      </c>
      <c r="G36" s="108">
        <v>0</v>
      </c>
      <c r="H36" s="108">
        <v>0</v>
      </c>
      <c r="I36" s="108">
        <v>0</v>
      </c>
      <c r="J36" s="105">
        <f t="shared" si="0"/>
        <v>0</v>
      </c>
      <c r="K36" s="467"/>
    </row>
    <row r="37" spans="1:11" ht="12.75" hidden="1">
      <c r="A37" s="106"/>
      <c r="B37" s="106"/>
      <c r="C37" s="107"/>
      <c r="D37" s="107" t="s">
        <v>152</v>
      </c>
      <c r="E37" s="107" t="s">
        <v>153</v>
      </c>
      <c r="F37" s="108">
        <v>0</v>
      </c>
      <c r="G37" s="108">
        <v>0</v>
      </c>
      <c r="H37" s="108">
        <v>0</v>
      </c>
      <c r="I37" s="108">
        <v>0</v>
      </c>
      <c r="J37" s="105">
        <f t="shared" si="0"/>
        <v>0</v>
      </c>
      <c r="K37" s="467"/>
    </row>
    <row r="38" spans="1:11" ht="12.75" hidden="1">
      <c r="A38" s="106"/>
      <c r="B38" s="106"/>
      <c r="C38" s="107"/>
      <c r="D38" s="107" t="s">
        <v>154</v>
      </c>
      <c r="E38" s="107" t="s">
        <v>155</v>
      </c>
      <c r="F38" s="108">
        <v>0</v>
      </c>
      <c r="G38" s="108">
        <v>0</v>
      </c>
      <c r="H38" s="108">
        <v>0</v>
      </c>
      <c r="I38" s="108">
        <v>0</v>
      </c>
      <c r="J38" s="105">
        <f t="shared" si="0"/>
        <v>0</v>
      </c>
      <c r="K38" s="467"/>
    </row>
    <row r="39" spans="1:11" ht="12.75" hidden="1">
      <c r="A39" s="106"/>
      <c r="B39" s="106"/>
      <c r="C39" s="107"/>
      <c r="D39" s="107" t="s">
        <v>156</v>
      </c>
      <c r="E39" s="107" t="s">
        <v>157</v>
      </c>
      <c r="F39" s="108">
        <v>0</v>
      </c>
      <c r="G39" s="108">
        <v>0</v>
      </c>
      <c r="H39" s="108">
        <v>0</v>
      </c>
      <c r="I39" s="108">
        <v>0</v>
      </c>
      <c r="J39" s="105">
        <f t="shared" si="0"/>
        <v>0</v>
      </c>
      <c r="K39" s="467"/>
    </row>
    <row r="40" spans="1:11" ht="12.75" hidden="1">
      <c r="A40" s="93"/>
      <c r="B40" s="93"/>
      <c r="C40" s="93" t="s">
        <v>162</v>
      </c>
      <c r="D40" s="945" t="s">
        <v>163</v>
      </c>
      <c r="E40" s="946"/>
      <c r="F40" s="94">
        <v>0</v>
      </c>
      <c r="G40" s="94">
        <v>0</v>
      </c>
      <c r="H40" s="94">
        <v>0</v>
      </c>
      <c r="I40" s="94">
        <v>0</v>
      </c>
      <c r="J40" s="105">
        <f t="shared" si="0"/>
        <v>0</v>
      </c>
      <c r="K40" s="467"/>
    </row>
    <row r="41" spans="1:11" ht="12.75" hidden="1">
      <c r="A41" s="93"/>
      <c r="B41" s="93"/>
      <c r="C41" s="93" t="s">
        <v>164</v>
      </c>
      <c r="D41" s="945" t="s">
        <v>464</v>
      </c>
      <c r="E41" s="946"/>
      <c r="F41" s="94">
        <v>0</v>
      </c>
      <c r="G41" s="94">
        <v>0</v>
      </c>
      <c r="H41" s="94">
        <v>0</v>
      </c>
      <c r="I41" s="94">
        <v>0</v>
      </c>
      <c r="J41" s="105">
        <f t="shared" si="0"/>
        <v>0</v>
      </c>
      <c r="K41" s="467"/>
    </row>
    <row r="42" spans="1:11" ht="12.75" hidden="1">
      <c r="A42" s="93"/>
      <c r="B42" s="93"/>
      <c r="C42" s="93" t="s">
        <v>175</v>
      </c>
      <c r="D42" s="945" t="s">
        <v>176</v>
      </c>
      <c r="E42" s="946"/>
      <c r="F42" s="94">
        <v>0</v>
      </c>
      <c r="G42" s="94">
        <v>0</v>
      </c>
      <c r="H42" s="94">
        <v>0</v>
      </c>
      <c r="I42" s="94">
        <v>0</v>
      </c>
      <c r="J42" s="105">
        <f t="shared" si="0"/>
        <v>0</v>
      </c>
      <c r="K42" s="467"/>
    </row>
    <row r="43" spans="1:11" ht="12.75" hidden="1">
      <c r="A43" s="93"/>
      <c r="B43" s="93"/>
      <c r="C43" s="93" t="s">
        <v>177</v>
      </c>
      <c r="D43" s="945" t="s">
        <v>178</v>
      </c>
      <c r="E43" s="946"/>
      <c r="F43" s="94">
        <v>0</v>
      </c>
      <c r="G43" s="94">
        <v>0</v>
      </c>
      <c r="H43" s="94">
        <v>0</v>
      </c>
      <c r="I43" s="94">
        <v>0</v>
      </c>
      <c r="J43" s="105">
        <f t="shared" si="0"/>
        <v>0</v>
      </c>
      <c r="K43" s="467"/>
    </row>
    <row r="44" spans="1:11" ht="12.75" hidden="1">
      <c r="A44" s="93"/>
      <c r="B44" s="93"/>
      <c r="C44" s="93" t="s">
        <v>179</v>
      </c>
      <c r="D44" s="945" t="s">
        <v>505</v>
      </c>
      <c r="E44" s="946"/>
      <c r="F44" s="94">
        <v>0</v>
      </c>
      <c r="G44" s="94">
        <v>0</v>
      </c>
      <c r="H44" s="94">
        <v>0</v>
      </c>
      <c r="I44" s="94">
        <v>0</v>
      </c>
      <c r="J44" s="105">
        <f t="shared" si="0"/>
        <v>0</v>
      </c>
      <c r="K44" s="467"/>
    </row>
    <row r="45" spans="1:11" ht="12.75">
      <c r="A45" s="93"/>
      <c r="B45" s="93"/>
      <c r="C45" s="93" t="s">
        <v>160</v>
      </c>
      <c r="D45" s="936" t="s">
        <v>677</v>
      </c>
      <c r="E45" s="937"/>
      <c r="F45" s="94">
        <f>100000+15000+15000-100000-15000+115000</f>
        <v>130000</v>
      </c>
      <c r="G45" s="94">
        <v>0</v>
      </c>
      <c r="H45" s="94">
        <v>0</v>
      </c>
      <c r="I45" s="94">
        <v>0</v>
      </c>
      <c r="J45" s="105">
        <f t="shared" si="0"/>
        <v>130000</v>
      </c>
      <c r="K45" s="467"/>
    </row>
    <row r="46" spans="1:11" ht="12.75">
      <c r="A46" s="93"/>
      <c r="B46" s="93"/>
      <c r="C46" s="93" t="s">
        <v>181</v>
      </c>
      <c r="D46" s="936" t="s">
        <v>180</v>
      </c>
      <c r="E46" s="937"/>
      <c r="F46" s="94">
        <f>22297000+42084000+12311385+32277000+14018000+16949000+10000000+2032000+2286000-70000-4779000-1444000-6364000-3280000+2626200-1016000-1143000+2307500-3606983+2324200</f>
        <v>139809302</v>
      </c>
      <c r="G46" s="94">
        <f>SUM(G47:G56)</f>
        <v>0</v>
      </c>
      <c r="H46" s="94">
        <f>SUM(H47:H56)</f>
        <v>0</v>
      </c>
      <c r="I46" s="94">
        <f>SUM(I47:I56)</f>
        <v>0</v>
      </c>
      <c r="J46" s="105">
        <f t="shared" si="0"/>
        <v>139809302</v>
      </c>
      <c r="K46" s="467"/>
    </row>
    <row r="47" spans="1:11" ht="12.75" hidden="1">
      <c r="A47" s="109"/>
      <c r="B47" s="109"/>
      <c r="C47" s="107" t="s">
        <v>2</v>
      </c>
      <c r="D47" s="157" t="s">
        <v>138</v>
      </c>
      <c r="E47" s="157" t="s">
        <v>165</v>
      </c>
      <c r="F47" s="108">
        <v>0</v>
      </c>
      <c r="G47" s="108">
        <v>0</v>
      </c>
      <c r="H47" s="108">
        <v>0</v>
      </c>
      <c r="I47" s="108">
        <v>0</v>
      </c>
      <c r="J47" s="105">
        <f t="shared" si="0"/>
        <v>0</v>
      </c>
      <c r="K47" s="467"/>
    </row>
    <row r="48" spans="1:11" ht="12.75" hidden="1">
      <c r="A48" s="109"/>
      <c r="B48" s="109"/>
      <c r="C48" s="107"/>
      <c r="D48" s="157" t="s">
        <v>140</v>
      </c>
      <c r="E48" s="157" t="s">
        <v>502</v>
      </c>
      <c r="F48" s="108">
        <v>0</v>
      </c>
      <c r="G48" s="108"/>
      <c r="H48" s="108"/>
      <c r="I48" s="108"/>
      <c r="J48" s="105">
        <f t="shared" si="0"/>
        <v>0</v>
      </c>
      <c r="K48" s="467"/>
    </row>
    <row r="49" spans="1:11" ht="12.75" hidden="1">
      <c r="A49" s="109"/>
      <c r="B49" s="109"/>
      <c r="C49" s="107"/>
      <c r="D49" s="157" t="s">
        <v>142</v>
      </c>
      <c r="E49" s="157" t="s">
        <v>166</v>
      </c>
      <c r="F49" s="108">
        <f>100000</f>
        <v>100000</v>
      </c>
      <c r="G49" s="108">
        <v>0</v>
      </c>
      <c r="H49" s="108">
        <v>0</v>
      </c>
      <c r="I49" s="108">
        <v>0</v>
      </c>
      <c r="J49" s="105">
        <f t="shared" si="0"/>
        <v>100000</v>
      </c>
      <c r="K49" s="467"/>
    </row>
    <row r="50" spans="1:11" ht="12.75" hidden="1">
      <c r="A50" s="109"/>
      <c r="B50" s="109"/>
      <c r="C50" s="107"/>
      <c r="D50" s="157" t="s">
        <v>144</v>
      </c>
      <c r="E50" s="157" t="s">
        <v>167</v>
      </c>
      <c r="F50" s="108">
        <v>0</v>
      </c>
      <c r="G50" s="108">
        <v>0</v>
      </c>
      <c r="H50" s="108">
        <v>0</v>
      </c>
      <c r="I50" s="108">
        <v>0</v>
      </c>
      <c r="J50" s="105">
        <f t="shared" si="0"/>
        <v>0</v>
      </c>
      <c r="K50" s="467"/>
    </row>
    <row r="51" spans="1:11" ht="12.75" hidden="1">
      <c r="A51" s="109"/>
      <c r="B51" s="109"/>
      <c r="C51" s="107"/>
      <c r="D51" s="157" t="s">
        <v>146</v>
      </c>
      <c r="E51" s="157" t="s">
        <v>168</v>
      </c>
      <c r="F51" s="108">
        <v>0</v>
      </c>
      <c r="G51" s="108">
        <v>0</v>
      </c>
      <c r="H51" s="108">
        <v>0</v>
      </c>
      <c r="I51" s="108">
        <v>0</v>
      </c>
      <c r="J51" s="105">
        <f t="shared" si="0"/>
        <v>0</v>
      </c>
      <c r="K51" s="467"/>
    </row>
    <row r="52" spans="1:11" ht="12.75" hidden="1">
      <c r="A52" s="109"/>
      <c r="B52" s="109"/>
      <c r="C52" s="107"/>
      <c r="D52" s="157" t="s">
        <v>148</v>
      </c>
      <c r="E52" s="157" t="s">
        <v>169</v>
      </c>
      <c r="F52" s="108">
        <v>0</v>
      </c>
      <c r="G52" s="108">
        <v>0</v>
      </c>
      <c r="H52" s="108">
        <v>0</v>
      </c>
      <c r="I52" s="108">
        <v>0</v>
      </c>
      <c r="J52" s="105">
        <f t="shared" si="0"/>
        <v>0</v>
      </c>
      <c r="K52" s="467"/>
    </row>
    <row r="53" spans="1:11" ht="12.75" hidden="1">
      <c r="A53" s="106"/>
      <c r="B53" s="106"/>
      <c r="C53" s="107"/>
      <c r="D53" s="157" t="s">
        <v>150</v>
      </c>
      <c r="E53" s="157" t="s">
        <v>170</v>
      </c>
      <c r="F53" s="108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108">
        <v>0</v>
      </c>
      <c r="H53" s="108">
        <v>0</v>
      </c>
      <c r="I53" s="108">
        <v>0</v>
      </c>
      <c r="J53" s="105">
        <f t="shared" si="0"/>
        <v>208924042</v>
      </c>
      <c r="K53" s="467"/>
    </row>
    <row r="54" spans="1:11" ht="12.75" hidden="1">
      <c r="A54" s="106"/>
      <c r="B54" s="106"/>
      <c r="C54" s="107"/>
      <c r="D54" s="157" t="s">
        <v>152</v>
      </c>
      <c r="E54" s="157" t="s">
        <v>171</v>
      </c>
      <c r="F54" s="108">
        <f>3224350+35026110</f>
        <v>38250460</v>
      </c>
      <c r="G54" s="108">
        <v>0</v>
      </c>
      <c r="H54" s="108">
        <v>0</v>
      </c>
      <c r="I54" s="108">
        <v>0</v>
      </c>
      <c r="J54" s="105">
        <f t="shared" si="0"/>
        <v>38250460</v>
      </c>
      <c r="K54" s="467"/>
    </row>
    <row r="55" spans="1:11" ht="12.75" hidden="1">
      <c r="A55" s="109"/>
      <c r="B55" s="109"/>
      <c r="C55" s="107"/>
      <c r="D55" s="157" t="s">
        <v>154</v>
      </c>
      <c r="E55" s="157" t="s">
        <v>173</v>
      </c>
      <c r="F55" s="108">
        <v>0</v>
      </c>
      <c r="G55" s="108">
        <v>0</v>
      </c>
      <c r="H55" s="108">
        <v>0</v>
      </c>
      <c r="I55" s="108">
        <v>0</v>
      </c>
      <c r="J55" s="105">
        <f t="shared" si="0"/>
        <v>0</v>
      </c>
      <c r="K55" s="467"/>
    </row>
    <row r="56" spans="1:11" ht="12.75" hidden="1">
      <c r="A56" s="109"/>
      <c r="B56" s="109"/>
      <c r="C56" s="107"/>
      <c r="D56" s="157" t="s">
        <v>156</v>
      </c>
      <c r="E56" s="157" t="s">
        <v>174</v>
      </c>
      <c r="F56" s="108">
        <v>0</v>
      </c>
      <c r="G56" s="108">
        <v>0</v>
      </c>
      <c r="H56" s="108">
        <v>0</v>
      </c>
      <c r="I56" s="108">
        <v>0</v>
      </c>
      <c r="J56" s="105">
        <f t="shared" si="0"/>
        <v>0</v>
      </c>
      <c r="K56" s="467"/>
    </row>
    <row r="57" spans="1:11" ht="12.75">
      <c r="A57" s="109"/>
      <c r="B57" s="109"/>
      <c r="C57" s="93" t="s">
        <v>506</v>
      </c>
      <c r="D57" s="936" t="s">
        <v>182</v>
      </c>
      <c r="E57" s="937"/>
      <c r="F57" s="94">
        <f>SUM(F58:F64)</f>
        <v>15151840</v>
      </c>
      <c r="G57" s="94">
        <f>SUM(G58:G64)</f>
        <v>0</v>
      </c>
      <c r="H57" s="94">
        <f>SUM(H58:H64)</f>
        <v>0</v>
      </c>
      <c r="I57" s="94">
        <f>SUM(I58:I64)</f>
        <v>0</v>
      </c>
      <c r="J57" s="105">
        <f t="shared" si="0"/>
        <v>15151840</v>
      </c>
      <c r="K57" s="467"/>
    </row>
    <row r="58" spans="1:11" ht="12.75" hidden="1">
      <c r="A58" s="106"/>
      <c r="B58" s="106"/>
      <c r="C58" s="110"/>
      <c r="D58" s="111"/>
      <c r="E58" s="112" t="s">
        <v>398</v>
      </c>
      <c r="F58" s="108">
        <f>1000000-1000000</f>
        <v>0</v>
      </c>
      <c r="G58" s="108">
        <v>0</v>
      </c>
      <c r="H58" s="108">
        <v>0</v>
      </c>
      <c r="I58" s="108">
        <v>0</v>
      </c>
      <c r="J58" s="105">
        <f t="shared" si="0"/>
        <v>0</v>
      </c>
      <c r="K58" s="467"/>
    </row>
    <row r="59" spans="1:11" ht="12.75" hidden="1">
      <c r="A59" s="106"/>
      <c r="B59" s="106"/>
      <c r="C59" s="110"/>
      <c r="D59" s="111"/>
      <c r="E59" s="112" t="s">
        <v>422</v>
      </c>
      <c r="F59" s="108">
        <f>1000000-1000000</f>
        <v>0</v>
      </c>
      <c r="G59" s="108">
        <v>0</v>
      </c>
      <c r="H59" s="108">
        <v>0</v>
      </c>
      <c r="I59" s="108">
        <v>0</v>
      </c>
      <c r="J59" s="105">
        <f t="shared" si="0"/>
        <v>0</v>
      </c>
      <c r="K59" s="467"/>
    </row>
    <row r="60" spans="1:11" ht="12.75">
      <c r="A60" s="106"/>
      <c r="B60" s="106"/>
      <c r="C60" s="110" t="s">
        <v>2</v>
      </c>
      <c r="D60" s="111"/>
      <c r="E60" s="112" t="s">
        <v>597</v>
      </c>
      <c r="F60" s="108">
        <f>350000+1841851</f>
        <v>2191851</v>
      </c>
      <c r="G60" s="108">
        <v>0</v>
      </c>
      <c r="H60" s="108">
        <v>0</v>
      </c>
      <c r="I60" s="108">
        <v>0</v>
      </c>
      <c r="J60" s="105">
        <f t="shared" si="0"/>
        <v>2191851</v>
      </c>
      <c r="K60" s="467"/>
    </row>
    <row r="61" spans="1:11" ht="12.75">
      <c r="A61" s="106"/>
      <c r="B61" s="106"/>
      <c r="C61" s="110"/>
      <c r="D61" s="111"/>
      <c r="E61" s="112" t="s">
        <v>1034</v>
      </c>
      <c r="F61" s="108">
        <v>3134972</v>
      </c>
      <c r="G61" s="108"/>
      <c r="H61" s="108"/>
      <c r="I61" s="108"/>
      <c r="J61" s="105"/>
      <c r="K61" s="467"/>
    </row>
    <row r="62" spans="1:11" ht="22.5">
      <c r="A62" s="106"/>
      <c r="B62" s="106"/>
      <c r="C62" s="107"/>
      <c r="D62" s="111"/>
      <c r="E62" s="465" t="s">
        <v>724</v>
      </c>
      <c r="F62" s="578">
        <f>200000-160000</f>
        <v>40000</v>
      </c>
      <c r="G62" s="578">
        <v>0</v>
      </c>
      <c r="H62" s="578">
        <v>0</v>
      </c>
      <c r="I62" s="578">
        <v>0</v>
      </c>
      <c r="J62" s="579">
        <f>SUM(F62:I62)</f>
        <v>40000</v>
      </c>
      <c r="K62" s="467"/>
    </row>
    <row r="63" spans="1:11" ht="22.5">
      <c r="A63" s="106"/>
      <c r="B63" s="106"/>
      <c r="C63" s="107"/>
      <c r="D63" s="111"/>
      <c r="E63" s="465" t="s">
        <v>870</v>
      </c>
      <c r="F63" s="578">
        <f>15055017-5270000</f>
        <v>9785017</v>
      </c>
      <c r="G63" s="578"/>
      <c r="H63" s="578"/>
      <c r="I63" s="578"/>
      <c r="J63" s="579">
        <f>SUM(F63:I63)</f>
        <v>9785017</v>
      </c>
      <c r="K63" s="467"/>
    </row>
    <row r="64" spans="1:11" ht="12.75" hidden="1">
      <c r="A64" s="106"/>
      <c r="B64" s="106"/>
      <c r="C64" s="107"/>
      <c r="D64" s="111"/>
      <c r="E64" s="465" t="s">
        <v>869</v>
      </c>
      <c r="F64" s="578">
        <f>121735509-9534431-1841851-33191447-2702314-8864634-558233-36263474-4615000-22387266+911000-2197500+5373648-726390-55552+519024+13077629+755546+10911298-15055017-2307500-440857-15000-200000-401078-382588-3610256-510500-7422766</f>
        <v>0</v>
      </c>
      <c r="G64" s="578">
        <v>0</v>
      </c>
      <c r="H64" s="578">
        <v>0</v>
      </c>
      <c r="I64" s="578">
        <v>0</v>
      </c>
      <c r="J64" s="579">
        <f t="shared" si="0"/>
        <v>0</v>
      </c>
      <c r="K64" s="467"/>
    </row>
    <row r="65" spans="1:11" ht="12" customHeight="1">
      <c r="A65" s="104" t="s">
        <v>110</v>
      </c>
      <c r="B65" s="942" t="s">
        <v>342</v>
      </c>
      <c r="C65" s="943"/>
      <c r="D65" s="943"/>
      <c r="E65" s="944"/>
      <c r="F65" s="91">
        <f>452341169+25000000+363120+101682090+187978206+1940000+973100+19510500+3348220+190500+730250+74930+2460790-20000000-1730500+1000000+74295+190500-17780000+400000+100000+6000000+4790554-3817843-13005804+560000+250000+22387266-911000+2197500-5373648-755546+225760-237338-366000+6795254-12040142-57150+79700+436880-998220+20000+1500000-3900000-5000000-1100000-7744917+27230+668586+5270000+135676290+2500000-730250+1638300+66600-736851-5000000</f>
        <v>888162381</v>
      </c>
      <c r="G65" s="91">
        <f>1934590-1204167+200000+130000+81892</f>
        <v>1142315</v>
      </c>
      <c r="H65" s="91">
        <f>1174115+47925+1130000+248040+180000-409984-80565+11212+96799+68611-11212</f>
        <v>2454941</v>
      </c>
      <c r="I65" s="91">
        <f>304800-177800+800000+700000+145000+500000+100000</f>
        <v>2372000</v>
      </c>
      <c r="J65" s="568">
        <f t="shared" si="0"/>
        <v>894131637</v>
      </c>
      <c r="K65" s="466"/>
    </row>
    <row r="66" spans="1:11" ht="12.75">
      <c r="A66" s="104" t="s">
        <v>112</v>
      </c>
      <c r="B66" s="942" t="s">
        <v>111</v>
      </c>
      <c r="C66" s="943"/>
      <c r="D66" s="943"/>
      <c r="E66" s="944"/>
      <c r="F66" s="91">
        <f>8794813+21830061+91442680+6759599+2794000+2000000+31599998+523290+863600-5098639+4700000+829010+28000-79700-1500000+19846252+7292340+3261523-3134972-66600</f>
        <v>192685255</v>
      </c>
      <c r="G66" s="91">
        <f>1204167</f>
        <v>1204167</v>
      </c>
      <c r="H66" s="91">
        <f>508000+507849-310760</f>
        <v>705089</v>
      </c>
      <c r="I66" s="91">
        <f>578000-578000</f>
        <v>0</v>
      </c>
      <c r="J66" s="568">
        <f t="shared" si="0"/>
        <v>194594511</v>
      </c>
      <c r="K66" s="466"/>
    </row>
    <row r="67" spans="1:11" ht="12.75">
      <c r="A67" s="104" t="s">
        <v>114</v>
      </c>
      <c r="B67" s="942" t="s">
        <v>113</v>
      </c>
      <c r="C67" s="943"/>
      <c r="D67" s="943"/>
      <c r="E67" s="944"/>
      <c r="F67" s="91">
        <f>SUM(F71:F76)</f>
        <v>10513420</v>
      </c>
      <c r="G67" s="91">
        <f>SUM(G76)</f>
        <v>0</v>
      </c>
      <c r="H67" s="91">
        <f>SUM(H76)</f>
        <v>0</v>
      </c>
      <c r="I67" s="91">
        <f>SUM(I76)</f>
        <v>0</v>
      </c>
      <c r="J67" s="568">
        <f t="shared" si="0"/>
        <v>10513420</v>
      </c>
      <c r="K67" s="466"/>
    </row>
    <row r="68" spans="1:11" ht="12.75" hidden="1">
      <c r="A68" s="87"/>
      <c r="B68" s="87" t="s">
        <v>184</v>
      </c>
      <c r="C68" s="941" t="s">
        <v>185</v>
      </c>
      <c r="D68" s="941"/>
      <c r="E68" s="941"/>
      <c r="F68" s="90">
        <v>0</v>
      </c>
      <c r="G68" s="90">
        <v>0</v>
      </c>
      <c r="H68" s="90">
        <v>0</v>
      </c>
      <c r="I68" s="90">
        <v>0</v>
      </c>
      <c r="J68" s="91">
        <f t="shared" si="0"/>
        <v>0</v>
      </c>
      <c r="K68" s="466"/>
    </row>
    <row r="69" spans="1:11" ht="12.75" hidden="1">
      <c r="A69" s="87"/>
      <c r="B69" s="87" t="s">
        <v>186</v>
      </c>
      <c r="C69" s="941" t="s">
        <v>187</v>
      </c>
      <c r="D69" s="941"/>
      <c r="E69" s="941"/>
      <c r="F69" s="90">
        <v>0</v>
      </c>
      <c r="G69" s="90">
        <v>0</v>
      </c>
      <c r="H69" s="90">
        <v>0</v>
      </c>
      <c r="I69" s="90">
        <v>0</v>
      </c>
      <c r="J69" s="91">
        <f t="shared" si="0"/>
        <v>0</v>
      </c>
      <c r="K69" s="466"/>
    </row>
    <row r="70" spans="1:11" ht="12.75" hidden="1">
      <c r="A70" s="87" t="s">
        <v>183</v>
      </c>
      <c r="B70" s="87" t="s">
        <v>188</v>
      </c>
      <c r="C70" s="941" t="s">
        <v>189</v>
      </c>
      <c r="D70" s="941"/>
      <c r="E70" s="941"/>
      <c r="F70" s="90">
        <v>0</v>
      </c>
      <c r="G70" s="90">
        <v>0</v>
      </c>
      <c r="H70" s="90">
        <v>0</v>
      </c>
      <c r="I70" s="90">
        <v>0</v>
      </c>
      <c r="J70" s="91">
        <f t="shared" si="0"/>
        <v>0</v>
      </c>
      <c r="K70" s="466"/>
    </row>
    <row r="71" spans="1:11" ht="12" customHeight="1">
      <c r="A71" s="87"/>
      <c r="B71" s="87" t="s">
        <v>190</v>
      </c>
      <c r="C71" s="941" t="s">
        <v>191</v>
      </c>
      <c r="D71" s="941"/>
      <c r="E71" s="941"/>
      <c r="F71" s="90">
        <v>5000000</v>
      </c>
      <c r="G71" s="90">
        <v>0</v>
      </c>
      <c r="H71" s="90">
        <v>0</v>
      </c>
      <c r="I71" s="90">
        <v>0</v>
      </c>
      <c r="J71" s="91">
        <f t="shared" si="0"/>
        <v>5000000</v>
      </c>
      <c r="K71" s="466"/>
    </row>
    <row r="72" spans="1:11" ht="12.75" hidden="1">
      <c r="A72" s="87"/>
      <c r="B72" s="87" t="s">
        <v>192</v>
      </c>
      <c r="C72" s="941" t="s">
        <v>193</v>
      </c>
      <c r="D72" s="941"/>
      <c r="E72" s="941"/>
      <c r="F72" s="90">
        <v>0</v>
      </c>
      <c r="G72" s="90">
        <v>0</v>
      </c>
      <c r="H72" s="90">
        <v>0</v>
      </c>
      <c r="I72" s="90">
        <v>0</v>
      </c>
      <c r="J72" s="91">
        <f t="shared" si="0"/>
        <v>0</v>
      </c>
      <c r="K72" s="466"/>
    </row>
    <row r="73" spans="1:11" ht="12.75" hidden="1">
      <c r="A73" s="87"/>
      <c r="B73" s="87" t="s">
        <v>194</v>
      </c>
      <c r="C73" s="941" t="s">
        <v>195</v>
      </c>
      <c r="D73" s="941"/>
      <c r="E73" s="941"/>
      <c r="F73" s="90">
        <v>0</v>
      </c>
      <c r="G73" s="90">
        <v>0</v>
      </c>
      <c r="H73" s="90">
        <v>0</v>
      </c>
      <c r="I73" s="90">
        <v>0</v>
      </c>
      <c r="J73" s="91">
        <f t="shared" si="0"/>
        <v>0</v>
      </c>
      <c r="K73" s="466"/>
    </row>
    <row r="74" spans="1:11" ht="12.75" hidden="1">
      <c r="A74" s="87"/>
      <c r="B74" s="87" t="s">
        <v>196</v>
      </c>
      <c r="C74" s="941" t="s">
        <v>197</v>
      </c>
      <c r="D74" s="941"/>
      <c r="E74" s="941"/>
      <c r="F74" s="90">
        <v>0</v>
      </c>
      <c r="G74" s="90">
        <v>0</v>
      </c>
      <c r="H74" s="90">
        <v>0</v>
      </c>
      <c r="I74" s="90">
        <v>0</v>
      </c>
      <c r="J74" s="91">
        <f>SUM(F74:I74)</f>
        <v>0</v>
      </c>
      <c r="K74" s="466"/>
    </row>
    <row r="75" spans="1:11" ht="12.75" hidden="1">
      <c r="A75" s="87"/>
      <c r="B75" s="87" t="s">
        <v>198</v>
      </c>
      <c r="C75" s="941" t="s">
        <v>508</v>
      </c>
      <c r="D75" s="941"/>
      <c r="E75" s="941"/>
      <c r="F75" s="90">
        <v>0</v>
      </c>
      <c r="G75" s="90">
        <v>0</v>
      </c>
      <c r="H75" s="90">
        <v>0</v>
      </c>
      <c r="I75" s="90">
        <v>0</v>
      </c>
      <c r="J75" s="91">
        <f>SUM(F75:I75)</f>
        <v>0</v>
      </c>
      <c r="K75" s="466"/>
    </row>
    <row r="76" spans="1:11" ht="12.75">
      <c r="A76" s="87"/>
      <c r="B76" s="87" t="s">
        <v>507</v>
      </c>
      <c r="C76" s="941" t="s">
        <v>596</v>
      </c>
      <c r="D76" s="941"/>
      <c r="E76" s="941"/>
      <c r="F76" s="90">
        <f>449520+5000000+63900</f>
        <v>5513420</v>
      </c>
      <c r="G76" s="90">
        <v>0</v>
      </c>
      <c r="H76" s="90">
        <v>0</v>
      </c>
      <c r="I76" s="90">
        <v>0</v>
      </c>
      <c r="J76" s="91">
        <f>SUM(F76:I76)</f>
        <v>5513420</v>
      </c>
      <c r="K76" s="466"/>
    </row>
    <row r="77" spans="1:11" ht="12.75">
      <c r="A77" s="104" t="s">
        <v>116</v>
      </c>
      <c r="B77" s="942" t="s">
        <v>115</v>
      </c>
      <c r="C77" s="943"/>
      <c r="D77" s="943"/>
      <c r="E77" s="944"/>
      <c r="F77" s="91">
        <f>19299537+23067958</f>
        <v>42367495</v>
      </c>
      <c r="G77" s="91">
        <v>0</v>
      </c>
      <c r="H77" s="91">
        <v>0</v>
      </c>
      <c r="I77" s="91">
        <v>0</v>
      </c>
      <c r="J77" s="568">
        <f>SUM(F77:I77)</f>
        <v>42367495</v>
      </c>
      <c r="K77" s="466"/>
    </row>
    <row r="78" spans="1:10" ht="12.75">
      <c r="A78" s="113"/>
      <c r="B78" s="114"/>
      <c r="C78" s="114"/>
      <c r="D78" s="114"/>
      <c r="E78" s="114"/>
      <c r="F78" s="115"/>
      <c r="G78" s="580"/>
      <c r="H78" s="580"/>
      <c r="I78" s="580"/>
      <c r="J78" s="116"/>
    </row>
    <row r="79" spans="1:10" ht="15.75">
      <c r="A79" s="958" t="s">
        <v>199</v>
      </c>
      <c r="B79" s="959"/>
      <c r="C79" s="959"/>
      <c r="D79" s="959"/>
      <c r="E79" s="960"/>
      <c r="F79" s="117">
        <f>SUM(F7+F8+F9+F10+F23+F65+F66+F67+F77)</f>
        <v>2069018747</v>
      </c>
      <c r="G79" s="117">
        <f>SUM(G7+G8+G9+G10+G23+G65+G66+G67+G77)</f>
        <v>141573274</v>
      </c>
      <c r="H79" s="117">
        <f>SUM(H7+H8+H9+H10+H23+H65+H66+H67+H77)</f>
        <v>275908818</v>
      </c>
      <c r="I79" s="117">
        <f>SUM(I7+I8+I9+I10+I23+I65+I66+I67+I77)</f>
        <v>46784443</v>
      </c>
      <c r="J79" s="570">
        <f>SUM(J7+J8+J9+J10+J23+J65+J66+J67+J77)</f>
        <v>2533285282</v>
      </c>
    </row>
  </sheetData>
  <sheetProtection/>
  <mergeCells count="46">
    <mergeCell ref="C76:E76"/>
    <mergeCell ref="B77:E77"/>
    <mergeCell ref="A79:E79"/>
    <mergeCell ref="C70:E70"/>
    <mergeCell ref="C71:E71"/>
    <mergeCell ref="C72:E72"/>
    <mergeCell ref="C73:E73"/>
    <mergeCell ref="C74:E74"/>
    <mergeCell ref="C75:E75"/>
    <mergeCell ref="B67:E67"/>
    <mergeCell ref="C68:E68"/>
    <mergeCell ref="C69:E69"/>
    <mergeCell ref="B66:E66"/>
    <mergeCell ref="D46:E46"/>
    <mergeCell ref="D57:E57"/>
    <mergeCell ref="B65:E65"/>
    <mergeCell ref="D29:E29"/>
    <mergeCell ref="D40:E40"/>
    <mergeCell ref="D41:E41"/>
    <mergeCell ref="D42:E42"/>
    <mergeCell ref="D43:E43"/>
    <mergeCell ref="D44:E44"/>
    <mergeCell ref="D28:E28"/>
    <mergeCell ref="B10:E10"/>
    <mergeCell ref="B8:E8"/>
    <mergeCell ref="B9:E9"/>
    <mergeCell ref="D13:E13"/>
    <mergeCell ref="D14:E14"/>
    <mergeCell ref="C15:E15"/>
    <mergeCell ref="A1:J1"/>
    <mergeCell ref="A3:J3"/>
    <mergeCell ref="A5:E5"/>
    <mergeCell ref="B6:E6"/>
    <mergeCell ref="B7:E7"/>
    <mergeCell ref="C12:E12"/>
    <mergeCell ref="C11:E11"/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61"/>
  <sheetViews>
    <sheetView zoomScalePageLayoutView="0" workbookViewId="0" topLeftCell="C1">
      <selection activeCell="J4" sqref="J4"/>
    </sheetView>
  </sheetViews>
  <sheetFormatPr defaultColWidth="9.00390625" defaultRowHeight="12.75"/>
  <cols>
    <col min="1" max="1" width="4.125" style="68" bestFit="1" customWidth="1"/>
    <col min="2" max="2" width="55.125" style="21" bestFit="1" customWidth="1"/>
    <col min="3" max="3" width="13.375" style="21" bestFit="1" customWidth="1"/>
    <col min="4" max="5" width="15.125" style="21" bestFit="1" customWidth="1"/>
    <col min="6" max="6" width="53.875" style="21" bestFit="1" customWidth="1"/>
    <col min="7" max="7" width="15.00390625" style="21" bestFit="1" customWidth="1"/>
    <col min="8" max="9" width="15.875" style="21" bestFit="1" customWidth="1"/>
    <col min="10" max="16384" width="9.125" style="21" customWidth="1"/>
  </cols>
  <sheetData>
    <row r="1" spans="6:10" ht="12.75" customHeight="1">
      <c r="F1" s="964" t="s">
        <v>1053</v>
      </c>
      <c r="G1" s="965"/>
      <c r="H1" s="965"/>
      <c r="I1" s="965"/>
      <c r="J1" s="61"/>
    </row>
    <row r="2" spans="2:9" ht="15.75">
      <c r="B2" s="966" t="s">
        <v>729</v>
      </c>
      <c r="C2" s="966"/>
      <c r="D2" s="966"/>
      <c r="E2" s="966"/>
      <c r="F2" s="966"/>
      <c r="G2" s="966"/>
      <c r="H2" s="966"/>
      <c r="I2" s="966"/>
    </row>
    <row r="3" ht="8.25" customHeight="1"/>
    <row r="4" spans="1:9" s="22" customFormat="1" ht="15" customHeight="1">
      <c r="A4" s="968" t="s">
        <v>405</v>
      </c>
      <c r="B4" s="967" t="s">
        <v>411</v>
      </c>
      <c r="C4" s="967"/>
      <c r="D4" s="967"/>
      <c r="E4" s="967"/>
      <c r="F4" s="967" t="s">
        <v>338</v>
      </c>
      <c r="G4" s="967"/>
      <c r="H4" s="967"/>
      <c r="I4" s="967"/>
    </row>
    <row r="5" spans="1:9" s="25" customFormat="1" ht="14.25">
      <c r="A5" s="968"/>
      <c r="B5" s="23" t="s">
        <v>337</v>
      </c>
      <c r="C5" s="24" t="s">
        <v>330</v>
      </c>
      <c r="D5" s="24" t="s">
        <v>329</v>
      </c>
      <c r="E5" s="24" t="s">
        <v>394</v>
      </c>
      <c r="F5" s="23" t="s">
        <v>337</v>
      </c>
      <c r="G5" s="24" t="s">
        <v>330</v>
      </c>
      <c r="H5" s="24" t="s">
        <v>329</v>
      </c>
      <c r="I5" s="24" t="s">
        <v>394</v>
      </c>
    </row>
    <row r="6" spans="1:9" s="67" customFormat="1" ht="12">
      <c r="A6" s="968"/>
      <c r="B6" s="66" t="s">
        <v>399</v>
      </c>
      <c r="C6" s="66" t="s">
        <v>400</v>
      </c>
      <c r="D6" s="66" t="s">
        <v>401</v>
      </c>
      <c r="E6" s="66" t="s">
        <v>402</v>
      </c>
      <c r="F6" s="66" t="s">
        <v>403</v>
      </c>
      <c r="G6" s="66" t="s">
        <v>404</v>
      </c>
      <c r="H6" s="66" t="s">
        <v>406</v>
      </c>
      <c r="I6" s="66" t="s">
        <v>407</v>
      </c>
    </row>
    <row r="7" spans="1:9" s="41" customFormat="1" ht="14.25">
      <c r="A7" s="66">
        <v>1</v>
      </c>
      <c r="B7" s="40" t="s">
        <v>457</v>
      </c>
      <c r="C7" s="58">
        <f>SUM(C8)</f>
        <v>1150824864</v>
      </c>
      <c r="D7" s="58">
        <f>SUM(D32,D8)</f>
        <v>180183190</v>
      </c>
      <c r="E7" s="58">
        <f aca="true" t="shared" si="0" ref="E7:E30">SUM(C7:D7)</f>
        <v>1331008054</v>
      </c>
      <c r="F7" s="40" t="s">
        <v>458</v>
      </c>
      <c r="G7" s="58">
        <f>SUM(G8,G32)</f>
        <v>1378758230</v>
      </c>
      <c r="H7" s="58">
        <f>SUM(H8,H32)</f>
        <v>1112159557</v>
      </c>
      <c r="I7" s="58">
        <f aca="true" t="shared" si="1" ref="I7:I18">SUM(G7:H7)</f>
        <v>2490917787</v>
      </c>
    </row>
    <row r="8" spans="1:9" s="50" customFormat="1" ht="12.75">
      <c r="A8" s="69">
        <v>2</v>
      </c>
      <c r="B8" s="47" t="s">
        <v>416</v>
      </c>
      <c r="C8" s="48">
        <f>SUM(C28+C18+C13+C9)</f>
        <v>1150824864</v>
      </c>
      <c r="D8" s="48">
        <f>SUM(D28+D18+D13+D9)</f>
        <v>0</v>
      </c>
      <c r="E8" s="48">
        <f t="shared" si="0"/>
        <v>1150824864</v>
      </c>
      <c r="F8" s="49" t="s">
        <v>419</v>
      </c>
      <c r="G8" s="48">
        <f>SUM(G9:G13)</f>
        <v>1378758230</v>
      </c>
      <c r="H8" s="48">
        <f>SUM(H9:H13)</f>
        <v>12919989</v>
      </c>
      <c r="I8" s="48">
        <f t="shared" si="1"/>
        <v>1391678219</v>
      </c>
    </row>
    <row r="9" spans="1:9" s="28" customFormat="1" ht="12.75">
      <c r="A9" s="69">
        <v>3</v>
      </c>
      <c r="B9" s="56" t="s">
        <v>15</v>
      </c>
      <c r="C9" s="37">
        <f>SUM(C10:C12)</f>
        <v>826218227</v>
      </c>
      <c r="D9" s="37">
        <v>0</v>
      </c>
      <c r="E9" s="37">
        <f t="shared" si="0"/>
        <v>826218227</v>
      </c>
      <c r="F9" s="57" t="s">
        <v>420</v>
      </c>
      <c r="G9" s="37">
        <f>426163725+33000+1350000+1125000+3215520+639450-330000-1461600+2756937+1035000-976500+1125000-1245375-775591+23197320+11080125+6600+103400+216700+5000000+1263600+300000+1344830+3459090+2500000+347826+45939+513114-340425+4891800+241500+16410600-416917+334626+416917+1690500+241500+1000000-2160000+120750+4-4+565152+7803952+304762+1666667+377922+2160000+6060606+9-9+805087+2415261+3-3+570710+315900+52650+157950+34000-560500+65000+100000-5896-500000-2800000-4800-459366+66078+307692-12500000-4500000-340000-165410-575000+459366+575000+251428</f>
        <v>507168172</v>
      </c>
      <c r="H9" s="37">
        <v>0</v>
      </c>
      <c r="I9" s="37">
        <f t="shared" si="1"/>
        <v>507168172</v>
      </c>
    </row>
    <row r="10" spans="1:9" s="28" customFormat="1" ht="12.75">
      <c r="A10" s="66">
        <v>4</v>
      </c>
      <c r="B10" s="34" t="s">
        <v>16</v>
      </c>
      <c r="C10" s="39">
        <f>482488434+22486700+418000+383873+10959511+1038000+426173+10068391+848820-11343384+8095006+652750+9013565+2713500+1598080+3719500+145000+2384560+190000-10659174+68180+2502467-63414+5000000-8512+1717174-12943</f>
        <v>544830257</v>
      </c>
      <c r="D10" s="39">
        <v>0</v>
      </c>
      <c r="E10" s="39">
        <f t="shared" si="0"/>
        <v>544830257</v>
      </c>
      <c r="F10" s="57" t="s">
        <v>610</v>
      </c>
      <c r="G10" s="37">
        <f>81276070+5197+236250+196875+562716+111904-57750-255780+482464+181125-170887+196875-217940-377745+2029806+969525+1155+18095+37923+875000+221130+13166+367133+208449+536159+387500+52174-45939-513114-59575+311347+44564+81181+3163+492+110+428040+37432+2543643-64622+64622+262078+37432+175000+50000-334800+18716+2-2+87598+1209613+47238+258333+58578+334800+939394-54+3-3+124788+374364+1-1+44233+48966+8161+24483+5270-86880+9570-60+55947+149896-65000-100000-2317-4730-77500-434000-1681-871860-76788-66078-1971+47692-2400000-840000-43979-128625+76788+128625+43772</f>
        <v>89802945</v>
      </c>
      <c r="H10" s="37">
        <v>0</v>
      </c>
      <c r="I10" s="37">
        <f t="shared" si="1"/>
        <v>89802945</v>
      </c>
    </row>
    <row r="11" spans="1:9" s="28" customFormat="1" ht="12.75">
      <c r="A11" s="69">
        <v>5</v>
      </c>
      <c r="B11" s="34" t="s">
        <v>608</v>
      </c>
      <c r="C11" s="39">
        <v>0</v>
      </c>
      <c r="D11" s="39">
        <v>0</v>
      </c>
      <c r="E11" s="39">
        <f t="shared" si="0"/>
        <v>0</v>
      </c>
      <c r="F11" s="57" t="s">
        <v>38</v>
      </c>
      <c r="G11" s="37">
        <f>418929171-54000-254000+500000-781083+2114762-317500+144779-2575544+1500000+1310301+4441343-800000+600000+1275000+13881090+60657486+18063936+308085+16823647-13166+2954117-47925+17596440+175000+92377+6500+1143000+9534431+33191447+558233+4615000+726390+55552-519024-13077629-10911298+200000+401078+382588+349267+1505094+414268+951095+265050+61586+31383+30000+2513+267157-18954243+2000+10500000+550024+348851+31954-1175000+73560+36836+328388+31750+710550+306250+1012863-726390+366000+13208+12040142+57150+21844+123000+40000-3000-436880+998220-20000-200000-130000-81892+544626+40591+14000-14000-21844+8000-8000+229808-1500000+17500-7292340-3261523+1500000+4600000+7744917+355000+495000+300000-500000+61267-27230+210000-878586+77000-77000+2563710+8285000-8285000-100000-1400000-369750-9570+176960-63414+5000000+325148+5109584+352049+2265477-1638300+736851-2816535-3896375+424000+364616-1700000-5600000-1450000-1100000-250000+122358+161765-122358-161765</f>
        <v>592114819</v>
      </c>
      <c r="H11" s="37">
        <v>0</v>
      </c>
      <c r="I11" s="37">
        <f t="shared" si="1"/>
        <v>592114819</v>
      </c>
    </row>
    <row r="12" spans="1:9" s="28" customFormat="1" ht="12.75">
      <c r="A12" s="69">
        <v>6</v>
      </c>
      <c r="B12" s="34" t="s">
        <v>17</v>
      </c>
      <c r="C12" s="39">
        <f>110463289+5354163+26537427+16490993+13881090+60657486+23938936+2626200+1484730+571500+2887500-2702314-8864634+5586997+278932+1952578+278932+50000+139466+7000000-54+2324200+676210+2563710+2100000-2100000+425000+424000+5109584+352049+900000</f>
        <v>281387970</v>
      </c>
      <c r="D12" s="39">
        <v>0</v>
      </c>
      <c r="E12" s="39">
        <f t="shared" si="0"/>
        <v>281387970</v>
      </c>
      <c r="F12" s="57" t="s">
        <v>39</v>
      </c>
      <c r="G12" s="37">
        <f>3804900+7300000</f>
        <v>11104900</v>
      </c>
      <c r="H12" s="37">
        <v>0</v>
      </c>
      <c r="I12" s="37">
        <f t="shared" si="1"/>
        <v>11104900</v>
      </c>
    </row>
    <row r="13" spans="1:9" s="28" customFormat="1" ht="12.75">
      <c r="A13" s="66">
        <v>7</v>
      </c>
      <c r="B13" s="56" t="s">
        <v>21</v>
      </c>
      <c r="C13" s="37">
        <f>SUM(C14:C17)</f>
        <v>239700000</v>
      </c>
      <c r="D13" s="37">
        <f>SUM(D14:D17)</f>
        <v>0</v>
      </c>
      <c r="E13" s="37">
        <f t="shared" si="0"/>
        <v>239700000</v>
      </c>
      <c r="F13" s="60" t="s">
        <v>40</v>
      </c>
      <c r="G13" s="37">
        <f>SUM(G14:G18)</f>
        <v>178567394</v>
      </c>
      <c r="H13" s="37">
        <f>SUM(H14:H18)</f>
        <v>12919989</v>
      </c>
      <c r="I13" s="37">
        <f t="shared" si="1"/>
        <v>191487383</v>
      </c>
    </row>
    <row r="14" spans="1:9" s="29" customFormat="1" ht="12.75">
      <c r="A14" s="69">
        <v>8</v>
      </c>
      <c r="B14" s="34" t="s">
        <v>108</v>
      </c>
      <c r="C14" s="39">
        <v>239000000</v>
      </c>
      <c r="D14" s="39">
        <v>0</v>
      </c>
      <c r="E14" s="39">
        <f t="shared" si="0"/>
        <v>239000000</v>
      </c>
      <c r="F14" s="36" t="s">
        <v>648</v>
      </c>
      <c r="G14" s="39">
        <f>36263474+132767</f>
        <v>36396241</v>
      </c>
      <c r="H14" s="39">
        <v>0</v>
      </c>
      <c r="I14" s="39">
        <f t="shared" si="1"/>
        <v>36396241</v>
      </c>
    </row>
    <row r="15" spans="1:9" s="29" customFormat="1" ht="12.75">
      <c r="A15" s="69">
        <v>9</v>
      </c>
      <c r="B15" s="35" t="s">
        <v>666</v>
      </c>
      <c r="C15" s="39">
        <v>50000</v>
      </c>
      <c r="D15" s="39">
        <v>0</v>
      </c>
      <c r="E15" s="39">
        <f t="shared" si="0"/>
        <v>50000</v>
      </c>
      <c r="F15" s="36" t="s">
        <v>609</v>
      </c>
      <c r="G15" s="39">
        <v>0</v>
      </c>
      <c r="H15" s="39">
        <v>0</v>
      </c>
      <c r="I15" s="39">
        <f t="shared" si="1"/>
        <v>0</v>
      </c>
    </row>
    <row r="16" spans="1:9" s="29" customFormat="1" ht="12.75">
      <c r="A16" s="69">
        <v>10</v>
      </c>
      <c r="B16" s="35" t="s">
        <v>667</v>
      </c>
      <c r="C16" s="39">
        <f>22000000-10269500-11730500</f>
        <v>0</v>
      </c>
      <c r="D16" s="39">
        <v>0</v>
      </c>
      <c r="E16" s="39">
        <f t="shared" si="0"/>
        <v>0</v>
      </c>
      <c r="F16" s="36" t="s">
        <v>678</v>
      </c>
      <c r="G16" s="39">
        <f>115000+15000-100000-15000+115000</f>
        <v>130000</v>
      </c>
      <c r="H16" s="39">
        <v>0</v>
      </c>
      <c r="I16" s="39">
        <f t="shared" si="1"/>
        <v>130000</v>
      </c>
    </row>
    <row r="17" spans="1:9" s="29" customFormat="1" ht="12.75">
      <c r="A17" s="66">
        <v>11</v>
      </c>
      <c r="B17" s="34" t="s">
        <v>668</v>
      </c>
      <c r="C17" s="39">
        <v>650000</v>
      </c>
      <c r="D17" s="39">
        <v>0</v>
      </c>
      <c r="E17" s="39">
        <f t="shared" si="0"/>
        <v>650000</v>
      </c>
      <c r="F17" s="36" t="s">
        <v>679</v>
      </c>
      <c r="G17" s="39">
        <f>154254385-70000-4779000-1444000-6364000-3280000+2626200-1016000-1143000+2307500-3606983+2324200</f>
        <v>139809302</v>
      </c>
      <c r="H17" s="39">
        <v>0</v>
      </c>
      <c r="I17" s="39">
        <f t="shared" si="1"/>
        <v>139809302</v>
      </c>
    </row>
    <row r="18" spans="1:9" s="29" customFormat="1" ht="12.75">
      <c r="A18" s="69">
        <v>12</v>
      </c>
      <c r="B18" s="56" t="s">
        <v>22</v>
      </c>
      <c r="C18" s="37">
        <f>SUM(C19:C27)</f>
        <v>84514137</v>
      </c>
      <c r="D18" s="37">
        <f>SUM(D19:D27)</f>
        <v>0</v>
      </c>
      <c r="E18" s="37">
        <f t="shared" si="0"/>
        <v>84514137</v>
      </c>
      <c r="F18" s="36" t="s">
        <v>680</v>
      </c>
      <c r="G18" s="39">
        <f>26199000-23849000+200000-1000000+121735509-9534431+1841851-1841851-33191447-2702314-8864634-558233-36263474-4615000-22387266+911000-2197500+5373648-726390-55552+519024+13077629+755546+10911298-15055017-2307500-440857-15000-200000-401078-382588-3610256-510500-7422766-160000-1000000</f>
        <v>2231851</v>
      </c>
      <c r="H18" s="39">
        <f>15055017-5270000+3134972</f>
        <v>12919989</v>
      </c>
      <c r="I18" s="39">
        <f t="shared" si="1"/>
        <v>15151840</v>
      </c>
    </row>
    <row r="19" spans="1:9" s="28" customFormat="1" ht="12.75">
      <c r="A19" s="69">
        <v>13</v>
      </c>
      <c r="B19" s="34" t="s">
        <v>509</v>
      </c>
      <c r="C19" s="39">
        <f>9500000+1370149-1370149+1370149+9000000-9000000+162081+2265477</f>
        <v>13297707</v>
      </c>
      <c r="D19" s="39">
        <v>0</v>
      </c>
      <c r="E19" s="39">
        <f t="shared" si="0"/>
        <v>13297707</v>
      </c>
      <c r="F19" s="60"/>
      <c r="G19" s="37"/>
      <c r="H19" s="37"/>
      <c r="I19" s="37"/>
    </row>
    <row r="20" spans="1:9" s="28" customFormat="1" ht="12.75">
      <c r="A20" s="66">
        <v>14</v>
      </c>
      <c r="B20" s="34" t="s">
        <v>23</v>
      </c>
      <c r="C20" s="39">
        <f>21002978+536221+3402559+342137+3306421+136431+2631668+256022</f>
        <v>31614437</v>
      </c>
      <c r="D20" s="39">
        <v>0</v>
      </c>
      <c r="E20" s="39">
        <f t="shared" si="0"/>
        <v>31614437</v>
      </c>
      <c r="F20" s="36"/>
      <c r="G20" s="39"/>
      <c r="H20" s="39"/>
      <c r="I20" s="39"/>
    </row>
    <row r="21" spans="1:9" s="28" customFormat="1" ht="12.75">
      <c r="A21" s="69">
        <v>15</v>
      </c>
      <c r="B21" s="34" t="s">
        <v>24</v>
      </c>
      <c r="C21" s="39">
        <v>7687837</v>
      </c>
      <c r="D21" s="39">
        <v>0</v>
      </c>
      <c r="E21" s="39">
        <f t="shared" si="0"/>
        <v>7687837</v>
      </c>
      <c r="F21" s="36"/>
      <c r="G21" s="39"/>
      <c r="H21" s="39"/>
      <c r="I21" s="39"/>
    </row>
    <row r="22" spans="1:9" s="28" customFormat="1" ht="12.75">
      <c r="A22" s="69">
        <v>16</v>
      </c>
      <c r="B22" s="34" t="s">
        <v>465</v>
      </c>
      <c r="C22" s="39">
        <v>746000</v>
      </c>
      <c r="D22" s="39">
        <v>0</v>
      </c>
      <c r="E22" s="39">
        <f t="shared" si="0"/>
        <v>746000</v>
      </c>
      <c r="F22" s="36"/>
      <c r="G22" s="39"/>
      <c r="H22" s="39"/>
      <c r="I22" s="39"/>
    </row>
    <row r="23" spans="1:9" s="28" customFormat="1" ht="12.75">
      <c r="A23" s="66">
        <v>17</v>
      </c>
      <c r="B23" s="34" t="s">
        <v>25</v>
      </c>
      <c r="C23" s="39">
        <f>7036704+12898200+635625-2742137</f>
        <v>17828392</v>
      </c>
      <c r="D23" s="39">
        <v>0</v>
      </c>
      <c r="E23" s="39">
        <f t="shared" si="0"/>
        <v>17828392</v>
      </c>
      <c r="F23" s="36"/>
      <c r="G23" s="39"/>
      <c r="H23" s="39"/>
      <c r="I23" s="39"/>
    </row>
    <row r="24" spans="1:9" s="28" customFormat="1" ht="12.75">
      <c r="A24" s="69">
        <v>18</v>
      </c>
      <c r="B24" s="34" t="s">
        <v>26</v>
      </c>
      <c r="C24" s="39">
        <f>6431187+144779+918691+92377+892734+36836+710550+2742137+69126+43762</f>
        <v>12082179</v>
      </c>
      <c r="D24" s="39">
        <v>0</v>
      </c>
      <c r="E24" s="39">
        <f t="shared" si="0"/>
        <v>12082179</v>
      </c>
      <c r="F24" s="27"/>
      <c r="G24" s="39"/>
      <c r="H24" s="38"/>
      <c r="I24" s="38"/>
    </row>
    <row r="25" spans="1:9" s="28" customFormat="1" ht="12.75">
      <c r="A25" s="69">
        <v>19</v>
      </c>
      <c r="B25" s="34" t="s">
        <v>291</v>
      </c>
      <c r="C25" s="39">
        <v>0</v>
      </c>
      <c r="D25" s="39">
        <v>0</v>
      </c>
      <c r="E25" s="39">
        <f t="shared" si="0"/>
        <v>0</v>
      </c>
      <c r="F25" s="27"/>
      <c r="G25" s="39"/>
      <c r="H25" s="38"/>
      <c r="I25" s="38"/>
    </row>
    <row r="26" spans="1:9" s="28" customFormat="1" ht="12.75">
      <c r="A26" s="69">
        <v>20</v>
      </c>
      <c r="B26" s="34" t="s">
        <v>629</v>
      </c>
      <c r="C26" s="39">
        <v>500</v>
      </c>
      <c r="D26" s="39">
        <v>0</v>
      </c>
      <c r="E26" s="39">
        <f t="shared" si="0"/>
        <v>500</v>
      </c>
      <c r="F26" s="27"/>
      <c r="G26" s="39"/>
      <c r="H26" s="38"/>
      <c r="I26" s="38"/>
    </row>
    <row r="27" spans="1:9" s="26" customFormat="1" ht="12.75">
      <c r="A27" s="66">
        <v>21</v>
      </c>
      <c r="B27" s="34" t="s">
        <v>630</v>
      </c>
      <c r="C27" s="39">
        <f>11039511-10959511+73560+212129+102620+28000+13208+63900+550901+132767</f>
        <v>1257085</v>
      </c>
      <c r="D27" s="39">
        <v>0</v>
      </c>
      <c r="E27" s="39">
        <f t="shared" si="0"/>
        <v>1257085</v>
      </c>
      <c r="F27" s="27"/>
      <c r="G27" s="38"/>
      <c r="H27" s="38"/>
      <c r="I27" s="38"/>
    </row>
    <row r="28" spans="1:9" s="26" customFormat="1" ht="12.75">
      <c r="A28" s="69">
        <v>22</v>
      </c>
      <c r="B28" s="56" t="s">
        <v>32</v>
      </c>
      <c r="C28" s="37">
        <f>SUM(C29:C30)</f>
        <v>392500</v>
      </c>
      <c r="D28" s="37">
        <v>0</v>
      </c>
      <c r="E28" s="37">
        <f t="shared" si="0"/>
        <v>392500</v>
      </c>
      <c r="F28" s="27"/>
      <c r="G28" s="38"/>
      <c r="H28" s="38"/>
      <c r="I28" s="38"/>
    </row>
    <row r="29" spans="1:9" s="26" customFormat="1" ht="12.75">
      <c r="A29" s="69">
        <v>23</v>
      </c>
      <c r="B29" s="34" t="s">
        <v>33</v>
      </c>
      <c r="C29" s="39">
        <v>0</v>
      </c>
      <c r="D29" s="39">
        <v>0</v>
      </c>
      <c r="E29" s="39">
        <f t="shared" si="0"/>
        <v>0</v>
      </c>
      <c r="F29" s="27"/>
      <c r="G29" s="38"/>
      <c r="H29" s="38"/>
      <c r="I29" s="38"/>
    </row>
    <row r="30" spans="1:9" s="26" customFormat="1" ht="12.75">
      <c r="A30" s="66">
        <v>24</v>
      </c>
      <c r="B30" s="34" t="s">
        <v>34</v>
      </c>
      <c r="C30" s="39">
        <f>375000+17500</f>
        <v>392500</v>
      </c>
      <c r="D30" s="39">
        <v>0</v>
      </c>
      <c r="E30" s="39">
        <f t="shared" si="0"/>
        <v>392500</v>
      </c>
      <c r="F30" s="27"/>
      <c r="G30" s="38"/>
      <c r="H30" s="38"/>
      <c r="I30" s="38"/>
    </row>
    <row r="31" spans="1:9" s="26" customFormat="1" ht="12.75">
      <c r="A31" s="69">
        <v>25</v>
      </c>
      <c r="B31" s="34"/>
      <c r="C31" s="39"/>
      <c r="D31" s="39"/>
      <c r="E31" s="39"/>
      <c r="F31" s="27"/>
      <c r="G31" s="38"/>
      <c r="H31" s="38"/>
      <c r="I31" s="38"/>
    </row>
    <row r="32" spans="1:9" s="50" customFormat="1" ht="12.75">
      <c r="A32" s="69">
        <v>26</v>
      </c>
      <c r="B32" s="51" t="s">
        <v>418</v>
      </c>
      <c r="C32" s="48">
        <f>SUM(C41+C36+C33)</f>
        <v>0</v>
      </c>
      <c r="D32" s="48">
        <f>SUM(D41+D36+D33)</f>
        <v>180183190</v>
      </c>
      <c r="E32" s="48">
        <f>SUM(D32:D32)</f>
        <v>180183190</v>
      </c>
      <c r="F32" s="49" t="s">
        <v>325</v>
      </c>
      <c r="G32" s="48">
        <f>SUM(G33:G35)</f>
        <v>0</v>
      </c>
      <c r="H32" s="48">
        <f>SUM(H33:H35)</f>
        <v>1099239568</v>
      </c>
      <c r="I32" s="48">
        <f aca="true" t="shared" si="2" ref="I32:I40">SUM(G32:H32)</f>
        <v>1099239568</v>
      </c>
    </row>
    <row r="33" spans="1:9" s="26" customFormat="1" ht="12.75">
      <c r="A33" s="66">
        <v>27</v>
      </c>
      <c r="B33" s="56" t="s">
        <v>18</v>
      </c>
      <c r="C33" s="37">
        <f>SUM(C34:C35)</f>
        <v>0</v>
      </c>
      <c r="D33" s="37">
        <f>SUM(D34:D35)</f>
        <v>176992778</v>
      </c>
      <c r="E33" s="37">
        <f>SUM(D33:D33)</f>
        <v>176992778</v>
      </c>
      <c r="F33" s="57" t="s">
        <v>41</v>
      </c>
      <c r="G33" s="37">
        <v>0</v>
      </c>
      <c r="H33" s="37">
        <f>800006380-20000000-1730500-177800+1000000+74295+190500+800000-17780000+400000+100000+6000000+4790554-3817843-13005804+700000+47925+560000+250000+22387266-911000+2197500-5373648-755546-1204167+1130000+225760-237338-366000+6795254-12040142-57150+79700+436880-998220+20000+200000+130000+81892+145000+1500000-3900000-5000000-1100000-7744917+500000+27230+668586+5270000+135676290+100000+2500000-730250+248040+1638300+66600-736851-5000000+180000-409984-80565+11212+96799+68611-11212</f>
        <v>894131637</v>
      </c>
      <c r="I33" s="37">
        <f t="shared" si="2"/>
        <v>894131637</v>
      </c>
    </row>
    <row r="34" spans="1:9" s="26" customFormat="1" ht="12.75">
      <c r="A34" s="69">
        <v>28</v>
      </c>
      <c r="B34" s="34" t="s">
        <v>19</v>
      </c>
      <c r="C34" s="39">
        <v>0</v>
      </c>
      <c r="D34" s="39">
        <v>19846252</v>
      </c>
      <c r="E34" s="39">
        <f aca="true" t="shared" si="3" ref="E34:E43">SUM(D34:D34)</f>
        <v>19846252</v>
      </c>
      <c r="F34" s="57" t="s">
        <v>42</v>
      </c>
      <c r="G34" s="37">
        <v>0</v>
      </c>
      <c r="H34" s="37">
        <f>166252441+863600+578000-5098639-578000+1204167+507849+4700000+829010+28000-79700-1500000+19846252+7292340+3261523-3134972-66600-310760</f>
        <v>194594511</v>
      </c>
      <c r="I34" s="37">
        <f t="shared" si="2"/>
        <v>194594511</v>
      </c>
    </row>
    <row r="35" spans="1:9" s="26" customFormat="1" ht="12.75">
      <c r="A35" s="69">
        <v>29</v>
      </c>
      <c r="B35" s="34" t="s">
        <v>20</v>
      </c>
      <c r="C35" s="39">
        <v>0</v>
      </c>
      <c r="D35" s="39">
        <f>6000000+74295+190500-6000000+6000000+2374582+6795254+349099+1150000+135676290+4536506</f>
        <v>157146526</v>
      </c>
      <c r="E35" s="39">
        <f t="shared" si="3"/>
        <v>157146526</v>
      </c>
      <c r="F35" s="57" t="s">
        <v>43</v>
      </c>
      <c r="G35" s="37">
        <f>SUM(G36:G40)</f>
        <v>0</v>
      </c>
      <c r="H35" s="37">
        <f>SUM(H36:H40)</f>
        <v>10513420</v>
      </c>
      <c r="I35" s="37">
        <f t="shared" si="2"/>
        <v>10513420</v>
      </c>
    </row>
    <row r="36" spans="1:9" s="26" customFormat="1" ht="12.75">
      <c r="A36" s="66">
        <v>30</v>
      </c>
      <c r="B36" s="56" t="s">
        <v>27</v>
      </c>
      <c r="C36" s="37">
        <f>SUM(C37:C40)</f>
        <v>0</v>
      </c>
      <c r="D36" s="37">
        <f>SUM(D37:D40)</f>
        <v>2922952</v>
      </c>
      <c r="E36" s="37">
        <f t="shared" si="3"/>
        <v>2922952</v>
      </c>
      <c r="F36" s="36" t="s">
        <v>44</v>
      </c>
      <c r="G36" s="39">
        <v>0</v>
      </c>
      <c r="H36" s="39">
        <v>0</v>
      </c>
      <c r="I36" s="39">
        <f t="shared" si="2"/>
        <v>0</v>
      </c>
    </row>
    <row r="37" spans="1:9" s="26" customFormat="1" ht="12.75">
      <c r="A37" s="69">
        <v>31</v>
      </c>
      <c r="B37" s="34" t="s">
        <v>28</v>
      </c>
      <c r="C37" s="39">
        <v>0</v>
      </c>
      <c r="D37" s="39">
        <v>0</v>
      </c>
      <c r="E37" s="39">
        <f t="shared" si="3"/>
        <v>0</v>
      </c>
      <c r="F37" s="36" t="s">
        <v>45</v>
      </c>
      <c r="G37" s="39">
        <v>0</v>
      </c>
      <c r="H37" s="39">
        <v>0</v>
      </c>
      <c r="I37" s="39">
        <f t="shared" si="2"/>
        <v>0</v>
      </c>
    </row>
    <row r="38" spans="1:9" s="28" customFormat="1" ht="12.75">
      <c r="A38" s="69">
        <v>32</v>
      </c>
      <c r="B38" s="34" t="s">
        <v>29</v>
      </c>
      <c r="C38" s="39">
        <f>SUM(C39:C40)</f>
        <v>0</v>
      </c>
      <c r="D38" s="39">
        <f>44406964+1500000+1000000+11730500-1038000-510500-7422766-3606983+8314422-2570647-1717174-4768235-31230088-6628035-4536506</f>
        <v>2922952</v>
      </c>
      <c r="E38" s="39">
        <f t="shared" si="3"/>
        <v>2922952</v>
      </c>
      <c r="F38" s="36" t="s">
        <v>46</v>
      </c>
      <c r="G38" s="39">
        <v>0</v>
      </c>
      <c r="H38" s="39">
        <f>5000000</f>
        <v>5000000</v>
      </c>
      <c r="I38" s="39">
        <f t="shared" si="2"/>
        <v>5000000</v>
      </c>
    </row>
    <row r="39" spans="1:9" s="28" customFormat="1" ht="12.75">
      <c r="A39" s="66">
        <v>33</v>
      </c>
      <c r="B39" s="34" t="s">
        <v>30</v>
      </c>
      <c r="C39" s="39">
        <v>0</v>
      </c>
      <c r="D39" s="39">
        <v>0</v>
      </c>
      <c r="E39" s="39">
        <f t="shared" si="3"/>
        <v>0</v>
      </c>
      <c r="F39" s="36" t="s">
        <v>47</v>
      </c>
      <c r="G39" s="39">
        <v>0</v>
      </c>
      <c r="H39" s="39">
        <v>0</v>
      </c>
      <c r="I39" s="39">
        <f t="shared" si="2"/>
        <v>0</v>
      </c>
    </row>
    <row r="40" spans="1:9" s="30" customFormat="1" ht="13.5">
      <c r="A40" s="69">
        <v>34</v>
      </c>
      <c r="B40" s="34" t="s">
        <v>31</v>
      </c>
      <c r="C40" s="39">
        <v>0</v>
      </c>
      <c r="D40" s="39">
        <v>0</v>
      </c>
      <c r="E40" s="39">
        <f t="shared" si="3"/>
        <v>0</v>
      </c>
      <c r="F40" s="36" t="s">
        <v>48</v>
      </c>
      <c r="G40" s="39">
        <v>0</v>
      </c>
      <c r="H40" s="39">
        <f>5449520+63900</f>
        <v>5513420</v>
      </c>
      <c r="I40" s="39">
        <f t="shared" si="2"/>
        <v>5513420</v>
      </c>
    </row>
    <row r="41" spans="1:9" s="30" customFormat="1" ht="13.5">
      <c r="A41" s="69">
        <v>35</v>
      </c>
      <c r="B41" s="56" t="s">
        <v>35</v>
      </c>
      <c r="C41" s="37">
        <f>SUM(C42:C43)</f>
        <v>0</v>
      </c>
      <c r="D41" s="37">
        <f>SUM(D42:D43)</f>
        <v>267460</v>
      </c>
      <c r="E41" s="37">
        <f t="shared" si="3"/>
        <v>267460</v>
      </c>
      <c r="F41" s="36"/>
      <c r="G41" s="39"/>
      <c r="H41" s="39"/>
      <c r="I41" s="39"/>
    </row>
    <row r="42" spans="1:9" s="30" customFormat="1" ht="13.5">
      <c r="A42" s="66">
        <v>36</v>
      </c>
      <c r="B42" s="34" t="s">
        <v>601</v>
      </c>
      <c r="C42" s="39">
        <v>0</v>
      </c>
      <c r="D42" s="39">
        <v>0</v>
      </c>
      <c r="E42" s="39">
        <f t="shared" si="3"/>
        <v>0</v>
      </c>
      <c r="F42" s="31"/>
      <c r="G42" s="39"/>
      <c r="H42" s="39"/>
      <c r="I42" s="39"/>
    </row>
    <row r="43" spans="1:9" s="30" customFormat="1" ht="13.5">
      <c r="A43" s="69">
        <v>37</v>
      </c>
      <c r="B43" s="34" t="s">
        <v>600</v>
      </c>
      <c r="C43" s="39">
        <v>0</v>
      </c>
      <c r="D43" s="39">
        <v>267460</v>
      </c>
      <c r="E43" s="39">
        <f t="shared" si="3"/>
        <v>267460</v>
      </c>
      <c r="F43" s="31"/>
      <c r="G43" s="39"/>
      <c r="H43" s="39"/>
      <c r="I43" s="39"/>
    </row>
    <row r="44" spans="1:9" s="32" customFormat="1" ht="6" customHeight="1">
      <c r="A44" s="969"/>
      <c r="B44" s="970"/>
      <c r="C44" s="970"/>
      <c r="D44" s="970"/>
      <c r="E44" s="970"/>
      <c r="F44" s="970"/>
      <c r="G44" s="970"/>
      <c r="H44" s="970"/>
      <c r="I44" s="971"/>
    </row>
    <row r="45" spans="1:9" s="32" customFormat="1" ht="15">
      <c r="A45" s="69">
        <v>38</v>
      </c>
      <c r="B45" s="972" t="s">
        <v>459</v>
      </c>
      <c r="C45" s="973"/>
      <c r="D45" s="973"/>
      <c r="E45" s="973"/>
      <c r="F45" s="973"/>
      <c r="G45" s="82">
        <f>C7-G7</f>
        <v>-227933366</v>
      </c>
      <c r="H45" s="82">
        <f>D7-H7</f>
        <v>-931976367</v>
      </c>
      <c r="I45" s="82">
        <f>SUM(G45:H45)</f>
        <v>-1159909733</v>
      </c>
    </row>
    <row r="46" spans="1:9" s="32" customFormat="1" ht="6" customHeight="1">
      <c r="A46" s="961"/>
      <c r="B46" s="962"/>
      <c r="C46" s="962"/>
      <c r="D46" s="962"/>
      <c r="E46" s="962"/>
      <c r="F46" s="962"/>
      <c r="G46" s="962"/>
      <c r="H46" s="962"/>
      <c r="I46" s="963"/>
    </row>
    <row r="47" spans="1:9" s="44" customFormat="1" ht="28.5">
      <c r="A47" s="69">
        <v>39</v>
      </c>
      <c r="B47" s="40" t="s">
        <v>326</v>
      </c>
      <c r="C47" s="42">
        <f>SUM(C48:C49)</f>
        <v>237195391</v>
      </c>
      <c r="D47" s="42">
        <f>SUM(D48:D49)</f>
        <v>942013879</v>
      </c>
      <c r="E47" s="42">
        <f>SUM(E48:E49)</f>
        <v>1179209270</v>
      </c>
      <c r="F47" s="43"/>
      <c r="G47" s="42"/>
      <c r="H47" s="42"/>
      <c r="I47" s="42"/>
    </row>
    <row r="48" spans="1:9" s="53" customFormat="1" ht="13.5">
      <c r="A48" s="66">
        <v>40</v>
      </c>
      <c r="B48" s="54" t="s">
        <v>602</v>
      </c>
      <c r="C48" s="48">
        <f>152741175+789210+75829006+334626+2000+13068678-4199155-1370149</f>
        <v>237195391</v>
      </c>
      <c r="D48" s="48">
        <f>896617876-510500+45906503</f>
        <v>942013879</v>
      </c>
      <c r="E48" s="48">
        <f aca="true" t="shared" si="4" ref="E48:E54">SUM(C48:D48)</f>
        <v>1179209270</v>
      </c>
      <c r="F48" s="49"/>
      <c r="G48" s="48"/>
      <c r="H48" s="48"/>
      <c r="I48" s="48"/>
    </row>
    <row r="49" spans="1:9" s="53" customFormat="1" ht="13.5">
      <c r="A49" s="66">
        <v>41</v>
      </c>
      <c r="B49" s="54" t="s">
        <v>603</v>
      </c>
      <c r="C49" s="48">
        <f>-1370149+1370149</f>
        <v>0</v>
      </c>
      <c r="D49" s="48">
        <v>0</v>
      </c>
      <c r="E49" s="48">
        <f>SUM(C49:D49)</f>
        <v>0</v>
      </c>
      <c r="F49" s="49"/>
      <c r="G49" s="48"/>
      <c r="H49" s="48"/>
      <c r="I49" s="48"/>
    </row>
    <row r="50" spans="1:9" s="44" customFormat="1" ht="28.5">
      <c r="A50" s="69">
        <v>42</v>
      </c>
      <c r="B50" s="40" t="s">
        <v>327</v>
      </c>
      <c r="C50" s="586">
        <f>SUM(C51:C53)</f>
        <v>23067958</v>
      </c>
      <c r="D50" s="586">
        <f>SUM(D51:D53)</f>
        <v>0</v>
      </c>
      <c r="E50" s="586">
        <f t="shared" si="4"/>
        <v>23067958</v>
      </c>
      <c r="F50" s="587" t="s">
        <v>328</v>
      </c>
      <c r="G50" s="586">
        <f>SUM(G51:G53)</f>
        <v>42367495</v>
      </c>
      <c r="H50" s="586">
        <f>SUM(H51:H53)</f>
        <v>0</v>
      </c>
      <c r="I50" s="586">
        <f>SUM(G50:H50)</f>
        <v>42367495</v>
      </c>
    </row>
    <row r="51" spans="1:9" s="53" customFormat="1" ht="13.5">
      <c r="A51" s="69">
        <v>43</v>
      </c>
      <c r="B51" s="52" t="s">
        <v>604</v>
      </c>
      <c r="C51" s="48">
        <v>0</v>
      </c>
      <c r="D51" s="48">
        <v>0</v>
      </c>
      <c r="E51" s="48">
        <f t="shared" si="4"/>
        <v>0</v>
      </c>
      <c r="F51" s="49" t="s">
        <v>606</v>
      </c>
      <c r="G51" s="48">
        <v>0</v>
      </c>
      <c r="H51" s="48">
        <v>0</v>
      </c>
      <c r="I51" s="48">
        <f>SUM(G51:H51)</f>
        <v>0</v>
      </c>
    </row>
    <row r="52" spans="1:9" s="55" customFormat="1" ht="12.75">
      <c r="A52" s="69">
        <v>44</v>
      </c>
      <c r="B52" s="52" t="s">
        <v>605</v>
      </c>
      <c r="C52" s="48">
        <v>0</v>
      </c>
      <c r="D52" s="48">
        <v>0</v>
      </c>
      <c r="E52" s="48">
        <f>SUM(C52:D52)</f>
        <v>0</v>
      </c>
      <c r="F52" s="49" t="s">
        <v>607</v>
      </c>
      <c r="G52" s="48">
        <v>0</v>
      </c>
      <c r="H52" s="48">
        <v>0</v>
      </c>
      <c r="I52" s="48">
        <f>SUM(G52:H52)</f>
        <v>0</v>
      </c>
    </row>
    <row r="53" spans="1:9" s="55" customFormat="1" ht="12.75">
      <c r="A53" s="69">
        <v>45</v>
      </c>
      <c r="B53" s="52" t="s">
        <v>598</v>
      </c>
      <c r="C53" s="48">
        <v>23067958</v>
      </c>
      <c r="D53" s="48">
        <v>0</v>
      </c>
      <c r="E53" s="48">
        <f>SUM(C53:D53)</f>
        <v>23067958</v>
      </c>
      <c r="F53" s="52" t="s">
        <v>599</v>
      </c>
      <c r="G53" s="48">
        <f>19299537+23067958</f>
        <v>42367495</v>
      </c>
      <c r="H53" s="48">
        <v>0</v>
      </c>
      <c r="I53" s="48">
        <f>SUM(G53:H53)</f>
        <v>42367495</v>
      </c>
    </row>
    <row r="54" spans="1:9" s="46" customFormat="1" ht="15.75">
      <c r="A54" s="69">
        <v>46</v>
      </c>
      <c r="B54" s="45" t="s">
        <v>412</v>
      </c>
      <c r="C54" s="59">
        <f>SUM(C7,C47,C50)</f>
        <v>1411088213</v>
      </c>
      <c r="D54" s="59">
        <f>SUM(D7,D47,D50)</f>
        <v>1122197069</v>
      </c>
      <c r="E54" s="59">
        <f t="shared" si="4"/>
        <v>2533285282</v>
      </c>
      <c r="F54" s="45" t="s">
        <v>336</v>
      </c>
      <c r="G54" s="59">
        <f>SUM(G7,G50)</f>
        <v>1421125725</v>
      </c>
      <c r="H54" s="59">
        <f>SUM(H7,H50)</f>
        <v>1112159557</v>
      </c>
      <c r="I54" s="59">
        <f>SUM(G54:H54)</f>
        <v>2533285282</v>
      </c>
    </row>
    <row r="61" ht="15">
      <c r="B61" s="33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B58"/>
  <sheetViews>
    <sheetView zoomScale="95" zoomScaleNormal="95" zoomScalePageLayoutView="0" workbookViewId="0" topLeftCell="C1">
      <pane xSplit="4" ySplit="7" topLeftCell="N38" activePane="bottomRight" state="frozen"/>
      <selection pane="topLeft" activeCell="C1" sqref="C1"/>
      <selection pane="topRight" activeCell="G1" sqref="G1"/>
      <selection pane="bottomLeft" activeCell="C8" sqref="C8"/>
      <selection pane="bottomRight" activeCell="T3" sqref="T3"/>
    </sheetView>
  </sheetViews>
  <sheetFormatPr defaultColWidth="8.875" defaultRowHeight="12.75"/>
  <cols>
    <col min="1" max="1" width="1.37890625" style="397" hidden="1" customWidth="1"/>
    <col min="2" max="2" width="6.375" style="398" bestFit="1" customWidth="1"/>
    <col min="3" max="3" width="0.6171875" style="398" customWidth="1"/>
    <col min="4" max="4" width="4.625" style="399" bestFit="1" customWidth="1"/>
    <col min="5" max="5" width="52.25390625" style="397" bestFit="1" customWidth="1"/>
    <col min="6" max="6" width="0.12890625" style="400" customWidth="1"/>
    <col min="7" max="7" width="11.375" style="397" bestFit="1" customWidth="1"/>
    <col min="8" max="8" width="11.125" style="397" customWidth="1"/>
    <col min="9" max="9" width="11.375" style="397" customWidth="1"/>
    <col min="10" max="11" width="10.25390625" style="397" customWidth="1"/>
    <col min="12" max="12" width="11.625" style="397" customWidth="1"/>
    <col min="13" max="13" width="9.875" style="397" customWidth="1"/>
    <col min="14" max="14" width="9.25390625" style="397" customWidth="1"/>
    <col min="15" max="16" width="10.00390625" style="397" customWidth="1"/>
    <col min="17" max="17" width="11.875" style="397" customWidth="1"/>
    <col min="18" max="19" width="10.00390625" style="397" customWidth="1"/>
    <col min="20" max="20" width="10.375" style="397" bestFit="1" customWidth="1"/>
    <col min="21" max="21" width="12.875" style="397" bestFit="1" customWidth="1"/>
    <col min="22" max="22" width="11.375" style="397" bestFit="1" customWidth="1"/>
    <col min="23" max="23" width="11.125" style="397" customWidth="1"/>
    <col min="24" max="24" width="10.625" style="397" customWidth="1"/>
    <col min="25" max="25" width="15.75390625" style="446" bestFit="1" customWidth="1"/>
    <col min="26" max="26" width="14.375" style="397" customWidth="1"/>
    <col min="27" max="27" width="9.875" style="397" bestFit="1" customWidth="1"/>
    <col min="28" max="16384" width="8.875" style="397" customWidth="1"/>
  </cols>
  <sheetData>
    <row r="1" spans="3:25" ht="15">
      <c r="C1" s="975"/>
      <c r="M1" s="96"/>
      <c r="N1" s="96"/>
      <c r="O1" s="96"/>
      <c r="P1" s="96"/>
      <c r="Q1" s="96"/>
      <c r="R1" s="96"/>
      <c r="S1" s="96"/>
      <c r="T1" s="976" t="s">
        <v>1054</v>
      </c>
      <c r="U1" s="977"/>
      <c r="V1" s="977"/>
      <c r="W1" s="977"/>
      <c r="X1" s="977"/>
      <c r="Y1" s="977"/>
    </row>
    <row r="2" spans="1:25" ht="15.75">
      <c r="A2" s="401"/>
      <c r="B2" s="402"/>
      <c r="C2" s="975"/>
      <c r="D2" s="402"/>
      <c r="E2" s="978" t="s">
        <v>730</v>
      </c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</row>
    <row r="3" ht="12.75" thickBot="1">
      <c r="Y3" s="403"/>
    </row>
    <row r="4" spans="2:25" s="404" customFormat="1" ht="12.75" customHeight="1">
      <c r="B4" s="405"/>
      <c r="C4" s="405"/>
      <c r="D4" s="979" t="s">
        <v>405</v>
      </c>
      <c r="E4" s="982" t="s">
        <v>337</v>
      </c>
      <c r="F4" s="985" t="s">
        <v>343</v>
      </c>
      <c r="G4" s="991" t="s">
        <v>344</v>
      </c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2"/>
      <c r="Y4" s="993" t="s">
        <v>345</v>
      </c>
    </row>
    <row r="5" spans="2:25" s="406" customFormat="1" ht="12" customHeight="1">
      <c r="B5" s="407"/>
      <c r="C5" s="407"/>
      <c r="D5" s="980"/>
      <c r="E5" s="983"/>
      <c r="F5" s="986"/>
      <c r="G5" s="410" t="s">
        <v>1</v>
      </c>
      <c r="H5" s="408" t="s">
        <v>3</v>
      </c>
      <c r="I5" s="408" t="s">
        <v>5</v>
      </c>
      <c r="J5" s="408" t="s">
        <v>8</v>
      </c>
      <c r="K5" s="988" t="s">
        <v>553</v>
      </c>
      <c r="L5" s="989"/>
      <c r="M5" s="989"/>
      <c r="N5" s="989"/>
      <c r="O5" s="989"/>
      <c r="P5" s="989"/>
      <c r="Q5" s="989"/>
      <c r="R5" s="989"/>
      <c r="S5" s="989"/>
      <c r="T5" s="990"/>
      <c r="U5" s="410" t="s">
        <v>110</v>
      </c>
      <c r="V5" s="410" t="s">
        <v>112</v>
      </c>
      <c r="W5" s="408" t="s">
        <v>114</v>
      </c>
      <c r="X5" s="408" t="s">
        <v>116</v>
      </c>
      <c r="Y5" s="994"/>
    </row>
    <row r="6" spans="2:25" s="406" customFormat="1" ht="63.75" customHeight="1">
      <c r="B6" s="407"/>
      <c r="C6" s="407"/>
      <c r="D6" s="980"/>
      <c r="E6" s="984"/>
      <c r="F6" s="987"/>
      <c r="G6" s="409" t="s">
        <v>335</v>
      </c>
      <c r="H6" s="411" t="s">
        <v>544</v>
      </c>
      <c r="I6" s="411" t="s">
        <v>339</v>
      </c>
      <c r="J6" s="411" t="s">
        <v>9</v>
      </c>
      <c r="K6" s="411" t="s">
        <v>133</v>
      </c>
      <c r="L6" s="411" t="s">
        <v>109</v>
      </c>
      <c r="M6" s="411" t="s">
        <v>685</v>
      </c>
      <c r="N6" s="411" t="s">
        <v>398</v>
      </c>
      <c r="O6" s="411" t="s">
        <v>410</v>
      </c>
      <c r="P6" s="411" t="s">
        <v>422</v>
      </c>
      <c r="Q6" s="411" t="s">
        <v>871</v>
      </c>
      <c r="R6" s="411" t="s">
        <v>875</v>
      </c>
      <c r="S6" s="411" t="s">
        <v>1035</v>
      </c>
      <c r="T6" s="411" t="s">
        <v>725</v>
      </c>
      <c r="U6" s="409" t="s">
        <v>333</v>
      </c>
      <c r="V6" s="409" t="s">
        <v>347</v>
      </c>
      <c r="W6" s="411" t="s">
        <v>552</v>
      </c>
      <c r="X6" s="411" t="s">
        <v>115</v>
      </c>
      <c r="Y6" s="995"/>
    </row>
    <row r="7" spans="2:25" s="412" customFormat="1" ht="12">
      <c r="B7" s="413"/>
      <c r="C7" s="413"/>
      <c r="D7" s="981"/>
      <c r="E7" s="414" t="s">
        <v>399</v>
      </c>
      <c r="F7" s="896" t="s">
        <v>400</v>
      </c>
      <c r="G7" s="415" t="s">
        <v>400</v>
      </c>
      <c r="H7" s="415" t="s">
        <v>401</v>
      </c>
      <c r="I7" s="416" t="s">
        <v>402</v>
      </c>
      <c r="J7" s="414" t="s">
        <v>403</v>
      </c>
      <c r="K7" s="414" t="s">
        <v>404</v>
      </c>
      <c r="L7" s="416" t="s">
        <v>406</v>
      </c>
      <c r="M7" s="416" t="s">
        <v>407</v>
      </c>
      <c r="N7" s="416" t="s">
        <v>360</v>
      </c>
      <c r="O7" s="416" t="s">
        <v>361</v>
      </c>
      <c r="P7" s="415" t="s">
        <v>362</v>
      </c>
      <c r="Q7" s="415" t="s">
        <v>363</v>
      </c>
      <c r="R7" s="416" t="s">
        <v>364</v>
      </c>
      <c r="S7" s="416"/>
      <c r="T7" s="416" t="s">
        <v>365</v>
      </c>
      <c r="U7" s="417" t="s">
        <v>366</v>
      </c>
      <c r="V7" s="418" t="s">
        <v>367</v>
      </c>
      <c r="W7" s="419" t="s">
        <v>709</v>
      </c>
      <c r="X7" s="418" t="s">
        <v>873</v>
      </c>
      <c r="Y7" s="419" t="s">
        <v>872</v>
      </c>
    </row>
    <row r="8" spans="1:25" s="426" customFormat="1" ht="24">
      <c r="A8" s="397"/>
      <c r="B8" s="398"/>
      <c r="C8" s="398" t="s">
        <v>57</v>
      </c>
      <c r="D8" s="420" t="s">
        <v>368</v>
      </c>
      <c r="E8" s="421" t="s">
        <v>58</v>
      </c>
      <c r="F8" s="897"/>
      <c r="G8" s="422">
        <f>34989435+6600+347826+45939-4+315900+65000+100000</f>
        <v>35870696</v>
      </c>
      <c r="H8" s="422">
        <f>8083672+1155+52174-45939+44564-2+48966-60-65000-100000</f>
        <v>8019530</v>
      </c>
      <c r="I8" s="423">
        <f>15275133+16823647+92377+6500+4615000+30000+36836+710550+12040142-20000+7744917-1400000</f>
        <v>55955102</v>
      </c>
      <c r="J8" s="423"/>
      <c r="K8" s="423"/>
      <c r="L8" s="423">
        <f>22297000-70000</f>
        <v>22227000</v>
      </c>
      <c r="M8" s="423">
        <f>100000-100000</f>
        <v>0</v>
      </c>
      <c r="N8" s="423"/>
      <c r="O8" s="423"/>
      <c r="P8" s="423"/>
      <c r="Q8" s="423"/>
      <c r="R8" s="423"/>
      <c r="S8" s="423"/>
      <c r="T8" s="423"/>
      <c r="U8" s="422">
        <f>20000</f>
        <v>20000</v>
      </c>
      <c r="V8" s="423"/>
      <c r="W8" s="424"/>
      <c r="X8" s="423"/>
      <c r="Y8" s="425">
        <f aca="true" t="shared" si="0" ref="Y8:Y52">SUM(G8:X8)</f>
        <v>122092328</v>
      </c>
    </row>
    <row r="9" spans="1:25" s="426" customFormat="1" ht="20.25" customHeight="1">
      <c r="A9" s="397"/>
      <c r="B9" s="398"/>
      <c r="C9" s="398" t="s">
        <v>57</v>
      </c>
      <c r="D9" s="420" t="s">
        <v>369</v>
      </c>
      <c r="E9" s="421" t="s">
        <v>881</v>
      </c>
      <c r="F9" s="897"/>
      <c r="G9" s="422">
        <f>241500+120750+4</f>
        <v>362254</v>
      </c>
      <c r="H9" s="422">
        <f>37432+18716+2</f>
        <v>56150</v>
      </c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2"/>
      <c r="V9" s="423"/>
      <c r="W9" s="424"/>
      <c r="X9" s="423"/>
      <c r="Y9" s="425">
        <f t="shared" si="0"/>
        <v>418404</v>
      </c>
    </row>
    <row r="10" spans="1:25" s="426" customFormat="1" ht="12">
      <c r="A10" s="397"/>
      <c r="B10" s="398" t="s">
        <v>52</v>
      </c>
      <c r="C10" s="398" t="s">
        <v>54</v>
      </c>
      <c r="D10" s="427" t="s">
        <v>370</v>
      </c>
      <c r="E10" s="428" t="s">
        <v>55</v>
      </c>
      <c r="F10" s="898"/>
      <c r="G10" s="429"/>
      <c r="H10" s="429"/>
      <c r="I10" s="424">
        <f>40527704-54000+500000+308085+1143000+9534431+200000+1505094+306250+123000+77000-77000</f>
        <v>54093564</v>
      </c>
      <c r="J10" s="424"/>
      <c r="K10" s="424"/>
      <c r="L10" s="424">
        <f>42084000-4779000</f>
        <v>37305000</v>
      </c>
      <c r="M10" s="424"/>
      <c r="N10" s="424"/>
      <c r="O10" s="424"/>
      <c r="P10" s="424"/>
      <c r="Q10" s="424"/>
      <c r="R10" s="424"/>
      <c r="S10" s="424"/>
      <c r="T10" s="424"/>
      <c r="U10" s="429">
        <f>452341169+4790554-13005804+22387266+2197500+79700+1500000-5000000-5000000</f>
        <v>460290385</v>
      </c>
      <c r="V10" s="424">
        <f>8794813-5098639+4700000-79700-1500000</f>
        <v>6816474</v>
      </c>
      <c r="W10" s="424">
        <f>449520+63900+5000000</f>
        <v>5513420</v>
      </c>
      <c r="X10" s="424"/>
      <c r="Y10" s="425">
        <f t="shared" si="0"/>
        <v>564018843</v>
      </c>
    </row>
    <row r="11" spans="1:25" s="426" customFormat="1" ht="23.25" customHeight="1">
      <c r="A11" s="397"/>
      <c r="B11" s="398"/>
      <c r="C11" s="398" t="s">
        <v>59</v>
      </c>
      <c r="D11" s="427" t="s">
        <v>371</v>
      </c>
      <c r="E11" s="428" t="s">
        <v>352</v>
      </c>
      <c r="F11" s="898"/>
      <c r="G11" s="429"/>
      <c r="H11" s="429">
        <v>311347</v>
      </c>
      <c r="I11" s="429">
        <f>21844</f>
        <v>21844</v>
      </c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4"/>
      <c r="W11" s="424"/>
      <c r="X11" s="424"/>
      <c r="Y11" s="425">
        <f t="shared" si="0"/>
        <v>333191</v>
      </c>
    </row>
    <row r="12" spans="1:25" s="426" customFormat="1" ht="23.25" customHeight="1">
      <c r="A12" s="397"/>
      <c r="B12" s="398"/>
      <c r="C12" s="398" t="s">
        <v>876</v>
      </c>
      <c r="D12" s="427" t="s">
        <v>372</v>
      </c>
      <c r="E12" s="428" t="s">
        <v>874</v>
      </c>
      <c r="F12" s="898"/>
      <c r="G12" s="429"/>
      <c r="H12" s="429"/>
      <c r="I12" s="429"/>
      <c r="J12" s="429"/>
      <c r="K12" s="429">
        <f>36263474+132767</f>
        <v>36396241</v>
      </c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4"/>
      <c r="W12" s="424"/>
      <c r="X12" s="424"/>
      <c r="Y12" s="425">
        <f t="shared" si="0"/>
        <v>36396241</v>
      </c>
    </row>
    <row r="13" spans="1:25" s="426" customFormat="1" ht="23.25" customHeight="1">
      <c r="A13" s="397"/>
      <c r="B13" s="398"/>
      <c r="C13" s="398" t="s">
        <v>542</v>
      </c>
      <c r="D13" s="427" t="s">
        <v>373</v>
      </c>
      <c r="E13" s="428" t="s">
        <v>543</v>
      </c>
      <c r="F13" s="898"/>
      <c r="G13" s="429"/>
      <c r="H13" s="429"/>
      <c r="I13" s="429">
        <f>558233+13208</f>
        <v>571441</v>
      </c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4"/>
      <c r="W13" s="424"/>
      <c r="X13" s="424">
        <f>19299537+23067958</f>
        <v>42367495</v>
      </c>
      <c r="Y13" s="425">
        <f t="shared" si="0"/>
        <v>42938936</v>
      </c>
    </row>
    <row r="14" spans="1:25" s="426" customFormat="1" ht="23.25" customHeight="1">
      <c r="A14" s="397"/>
      <c r="B14" s="398"/>
      <c r="C14" s="398" t="s">
        <v>877</v>
      </c>
      <c r="D14" s="427" t="s">
        <v>374</v>
      </c>
      <c r="E14" s="428" t="s">
        <v>878</v>
      </c>
      <c r="F14" s="898"/>
      <c r="G14" s="429"/>
      <c r="H14" s="429"/>
      <c r="I14" s="429"/>
      <c r="J14" s="429"/>
      <c r="K14" s="429"/>
      <c r="L14" s="429"/>
      <c r="M14" s="429">
        <f>15000+115000</f>
        <v>130000</v>
      </c>
      <c r="N14" s="429"/>
      <c r="O14" s="429"/>
      <c r="P14" s="429"/>
      <c r="Q14" s="429"/>
      <c r="R14" s="429"/>
      <c r="S14" s="429"/>
      <c r="T14" s="429"/>
      <c r="U14" s="429"/>
      <c r="V14" s="424"/>
      <c r="W14" s="424"/>
      <c r="X14" s="424"/>
      <c r="Y14" s="425">
        <f t="shared" si="0"/>
        <v>130000</v>
      </c>
    </row>
    <row r="15" spans="1:25" s="426" customFormat="1" ht="12">
      <c r="A15" s="397">
        <v>20215</v>
      </c>
      <c r="B15" s="398" t="s">
        <v>54</v>
      </c>
      <c r="C15" s="398" t="s">
        <v>62</v>
      </c>
      <c r="D15" s="427" t="s">
        <v>375</v>
      </c>
      <c r="E15" s="428" t="s">
        <v>63</v>
      </c>
      <c r="F15" s="898"/>
      <c r="G15" s="429"/>
      <c r="H15" s="429"/>
      <c r="I15" s="424"/>
      <c r="J15" s="424"/>
      <c r="K15" s="424"/>
      <c r="L15" s="424">
        <f>12311385-3606983</f>
        <v>8704402</v>
      </c>
      <c r="M15" s="424"/>
      <c r="N15" s="424"/>
      <c r="O15" s="424"/>
      <c r="P15" s="424"/>
      <c r="Q15" s="424"/>
      <c r="R15" s="424"/>
      <c r="S15" s="424"/>
      <c r="T15" s="424"/>
      <c r="U15" s="429"/>
      <c r="V15" s="424"/>
      <c r="W15" s="424"/>
      <c r="X15" s="424"/>
      <c r="Y15" s="425">
        <f t="shared" si="0"/>
        <v>8704402</v>
      </c>
    </row>
    <row r="16" spans="1:25" s="426" customFormat="1" ht="12">
      <c r="A16" s="397"/>
      <c r="B16" s="398"/>
      <c r="C16" s="398" t="s">
        <v>654</v>
      </c>
      <c r="D16" s="427" t="s">
        <v>376</v>
      </c>
      <c r="E16" s="428" t="s">
        <v>649</v>
      </c>
      <c r="F16" s="898"/>
      <c r="G16" s="429">
        <f>3693375+11080125</f>
        <v>14773500</v>
      </c>
      <c r="H16" s="429">
        <f>323170+969525+3163+55947</f>
        <v>1351805</v>
      </c>
      <c r="I16" s="429">
        <f>4441343+61586+352049</f>
        <v>4854978</v>
      </c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>
        <f>190500</f>
        <v>190500</v>
      </c>
      <c r="V16" s="424"/>
      <c r="W16" s="429"/>
      <c r="X16" s="424"/>
      <c r="Y16" s="425">
        <f t="shared" si="0"/>
        <v>21170783</v>
      </c>
    </row>
    <row r="17" spans="1:25" s="426" customFormat="1" ht="22.5" customHeight="1">
      <c r="A17" s="397"/>
      <c r="B17" s="398"/>
      <c r="C17" s="398" t="s">
        <v>655</v>
      </c>
      <c r="D17" s="427" t="s">
        <v>377</v>
      </c>
      <c r="E17" s="428" t="s">
        <v>650</v>
      </c>
      <c r="F17" s="898"/>
      <c r="G17" s="429">
        <f>12115695+23197320+4891800+570710+34000</f>
        <v>40809525</v>
      </c>
      <c r="H17" s="429">
        <f>1060123+2029806+81181+428040+44233+5270+149896</f>
        <v>3798549</v>
      </c>
      <c r="I17" s="429">
        <f>52070+1310301+267157+57150+61267</f>
        <v>1747945</v>
      </c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>
        <f>74295-57150</f>
        <v>17145</v>
      </c>
      <c r="V17" s="424"/>
      <c r="W17" s="429"/>
      <c r="X17" s="424"/>
      <c r="Y17" s="425">
        <f t="shared" si="0"/>
        <v>46373164</v>
      </c>
    </row>
    <row r="18" spans="1:25" s="426" customFormat="1" ht="22.5" customHeight="1">
      <c r="A18" s="397"/>
      <c r="B18" s="398"/>
      <c r="C18" s="398" t="s">
        <v>921</v>
      </c>
      <c r="D18" s="427" t="s">
        <v>378</v>
      </c>
      <c r="E18" s="428" t="s">
        <v>922</v>
      </c>
      <c r="F18" s="898"/>
      <c r="G18" s="429"/>
      <c r="H18" s="429"/>
      <c r="I18" s="429">
        <f>8285000+2265477</f>
        <v>10550477</v>
      </c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4"/>
      <c r="W18" s="429"/>
      <c r="X18" s="424"/>
      <c r="Y18" s="425">
        <f t="shared" si="0"/>
        <v>10550477</v>
      </c>
    </row>
    <row r="19" spans="2:25" ht="12">
      <c r="B19" s="398" t="s">
        <v>57</v>
      </c>
      <c r="C19" s="398" t="s">
        <v>53</v>
      </c>
      <c r="D19" s="427" t="s">
        <v>379</v>
      </c>
      <c r="E19" s="428" t="s">
        <v>467</v>
      </c>
      <c r="F19" s="898"/>
      <c r="G19" s="429"/>
      <c r="H19" s="429"/>
      <c r="I19" s="424">
        <f>15377340-436880</f>
        <v>14940460</v>
      </c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>
        <f>363120+436880</f>
        <v>800000</v>
      </c>
      <c r="V19" s="424">
        <v>19846252</v>
      </c>
      <c r="W19" s="424"/>
      <c r="X19" s="424"/>
      <c r="Y19" s="425">
        <f t="shared" si="0"/>
        <v>35586712</v>
      </c>
    </row>
    <row r="20" spans="2:25" ht="12">
      <c r="B20" s="398" t="s">
        <v>59</v>
      </c>
      <c r="C20" s="398" t="s">
        <v>64</v>
      </c>
      <c r="D20" s="427" t="s">
        <v>380</v>
      </c>
      <c r="E20" s="428" t="s">
        <v>65</v>
      </c>
      <c r="F20" s="898"/>
      <c r="G20" s="429"/>
      <c r="H20" s="429"/>
      <c r="I20" s="424">
        <f>5249710+366000</f>
        <v>5615710</v>
      </c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>
        <f>101682090-3817843-5373648-366000+6795254-12040142</f>
        <v>86879711</v>
      </c>
      <c r="V20" s="424"/>
      <c r="W20" s="424"/>
      <c r="X20" s="424"/>
      <c r="Y20" s="425">
        <f t="shared" si="0"/>
        <v>92495421</v>
      </c>
    </row>
    <row r="21" spans="3:25" ht="12">
      <c r="C21" s="398" t="s">
        <v>703</v>
      </c>
      <c r="D21" s="427" t="s">
        <v>381</v>
      </c>
      <c r="E21" s="428" t="s">
        <v>686</v>
      </c>
      <c r="F21" s="898"/>
      <c r="G21" s="429"/>
      <c r="H21" s="429"/>
      <c r="I21" s="424">
        <f>4571244+40000</f>
        <v>4611244</v>
      </c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>
        <f>187978206-911000-7744917</f>
        <v>179322289</v>
      </c>
      <c r="V21" s="424"/>
      <c r="W21" s="424"/>
      <c r="X21" s="424"/>
      <c r="Y21" s="425">
        <f t="shared" si="0"/>
        <v>183933533</v>
      </c>
    </row>
    <row r="22" spans="1:25" ht="24">
      <c r="A22" s="397">
        <v>751791</v>
      </c>
      <c r="B22" s="398" t="s">
        <v>60</v>
      </c>
      <c r="C22" s="398" t="s">
        <v>49</v>
      </c>
      <c r="D22" s="427" t="s">
        <v>382</v>
      </c>
      <c r="E22" s="428" t="s">
        <v>50</v>
      </c>
      <c r="F22" s="898"/>
      <c r="G22" s="429"/>
      <c r="H22" s="429"/>
      <c r="I22" s="424">
        <v>3416864</v>
      </c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5">
        <f t="shared" si="0"/>
        <v>3416864</v>
      </c>
    </row>
    <row r="23" spans="1:25" ht="12">
      <c r="A23" s="397">
        <v>751834</v>
      </c>
      <c r="B23" s="398" t="s">
        <v>61</v>
      </c>
      <c r="C23" s="398" t="s">
        <v>51</v>
      </c>
      <c r="D23" s="427" t="s">
        <v>383</v>
      </c>
      <c r="E23" s="428" t="s">
        <v>350</v>
      </c>
      <c r="F23" s="898"/>
      <c r="G23" s="429"/>
      <c r="H23" s="429"/>
      <c r="I23" s="424">
        <f>9798424+736851</f>
        <v>10535275</v>
      </c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>
        <f>1000000-736851</f>
        <v>263149</v>
      </c>
      <c r="V23" s="424"/>
      <c r="W23" s="424"/>
      <c r="X23" s="424"/>
      <c r="Y23" s="425">
        <f t="shared" si="0"/>
        <v>10798424</v>
      </c>
    </row>
    <row r="24" spans="3:25" ht="12">
      <c r="C24" s="398" t="s">
        <v>52</v>
      </c>
      <c r="D24" s="427" t="s">
        <v>384</v>
      </c>
      <c r="E24" s="428" t="s">
        <v>687</v>
      </c>
      <c r="F24" s="898"/>
      <c r="G24" s="429"/>
      <c r="H24" s="429">
        <v>110</v>
      </c>
      <c r="I24" s="424">
        <f>4276480+33191447-3261523-27230-1638300</f>
        <v>32540874</v>
      </c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9">
        <f>1940000+27230+1638300</f>
        <v>3605530</v>
      </c>
      <c r="V24" s="424"/>
      <c r="W24" s="424">
        <v>5000000</v>
      </c>
      <c r="X24" s="424"/>
      <c r="Y24" s="425">
        <f t="shared" si="0"/>
        <v>41146514</v>
      </c>
    </row>
    <row r="25" spans="3:25" ht="12">
      <c r="C25" s="398" t="s">
        <v>704</v>
      </c>
      <c r="D25" s="427" t="s">
        <v>385</v>
      </c>
      <c r="E25" s="428" t="s">
        <v>688</v>
      </c>
      <c r="F25" s="898"/>
      <c r="G25" s="429"/>
      <c r="H25" s="429"/>
      <c r="I25" s="424">
        <f>1377000+726390-726390</f>
        <v>1377000</v>
      </c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9"/>
      <c r="V25" s="424">
        <f>21830061+829010</f>
        <v>22659071</v>
      </c>
      <c r="W25" s="424"/>
      <c r="X25" s="424"/>
      <c r="Y25" s="425">
        <f t="shared" si="0"/>
        <v>24036071</v>
      </c>
    </row>
    <row r="26" spans="3:25" ht="12">
      <c r="C26" s="398" t="s">
        <v>754</v>
      </c>
      <c r="D26" s="427" t="s">
        <v>386</v>
      </c>
      <c r="E26" s="428" t="s">
        <v>731</v>
      </c>
      <c r="F26" s="898"/>
      <c r="G26" s="429">
        <v>1044000</v>
      </c>
      <c r="H26" s="429">
        <f>164430+9570</f>
        <v>174000</v>
      </c>
      <c r="I26" s="424">
        <f>640554-254000-9570</f>
        <v>376984</v>
      </c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9">
        <f>973100-755546</f>
        <v>217554</v>
      </c>
      <c r="V26" s="424"/>
      <c r="W26" s="424"/>
      <c r="X26" s="424"/>
      <c r="Y26" s="425">
        <f t="shared" si="0"/>
        <v>1812538</v>
      </c>
    </row>
    <row r="27" spans="3:25" ht="12">
      <c r="C27" s="398" t="s">
        <v>705</v>
      </c>
      <c r="D27" s="427" t="s">
        <v>387</v>
      </c>
      <c r="E27" s="428" t="s">
        <v>689</v>
      </c>
      <c r="F27" s="898"/>
      <c r="G27" s="429">
        <v>609406</v>
      </c>
      <c r="H27" s="429">
        <v>143206</v>
      </c>
      <c r="I27" s="424">
        <v>4667808</v>
      </c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9">
        <f>19510500-1730500-17780000+5270000</f>
        <v>5270000</v>
      </c>
      <c r="V27" s="424">
        <f>91442680+863600+28000</f>
        <v>92334280</v>
      </c>
      <c r="W27" s="424"/>
      <c r="X27" s="424"/>
      <c r="Y27" s="425">
        <f t="shared" si="0"/>
        <v>103024700</v>
      </c>
    </row>
    <row r="28" spans="3:25" ht="24" customHeight="1">
      <c r="C28" s="398" t="s">
        <v>651</v>
      </c>
      <c r="D28" s="427" t="s">
        <v>388</v>
      </c>
      <c r="E28" s="428" t="s">
        <v>652</v>
      </c>
      <c r="F28" s="898"/>
      <c r="G28" s="429"/>
      <c r="H28" s="424"/>
      <c r="I28" s="424">
        <v>416194</v>
      </c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9">
        <f>66600</f>
        <v>66600</v>
      </c>
      <c r="V28" s="424">
        <f>6759599-3134972-66600</f>
        <v>3558027</v>
      </c>
      <c r="W28" s="424"/>
      <c r="X28" s="424"/>
      <c r="Y28" s="425">
        <f t="shared" si="0"/>
        <v>4040821</v>
      </c>
    </row>
    <row r="29" spans="1:25" ht="24" customHeight="1">
      <c r="A29" s="397">
        <v>751966</v>
      </c>
      <c r="B29" s="398" t="s">
        <v>62</v>
      </c>
      <c r="C29" s="398" t="s">
        <v>60</v>
      </c>
      <c r="D29" s="427" t="s">
        <v>389</v>
      </c>
      <c r="E29" s="428" t="s">
        <v>353</v>
      </c>
      <c r="F29" s="898"/>
      <c r="G29" s="429"/>
      <c r="H29" s="424"/>
      <c r="I29" s="424">
        <f>24094440+414268</f>
        <v>24508708</v>
      </c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9"/>
      <c r="V29" s="424">
        <v>2794000</v>
      </c>
      <c r="W29" s="424"/>
      <c r="X29" s="424"/>
      <c r="Y29" s="425">
        <f t="shared" si="0"/>
        <v>27302708</v>
      </c>
    </row>
    <row r="30" spans="1:25" ht="24" customHeight="1">
      <c r="A30" s="397">
        <v>751999</v>
      </c>
      <c r="B30" s="398" t="s">
        <v>64</v>
      </c>
      <c r="C30" s="398" t="s">
        <v>56</v>
      </c>
      <c r="D30" s="427" t="s">
        <v>430</v>
      </c>
      <c r="E30" s="428" t="s">
        <v>468</v>
      </c>
      <c r="F30" s="898"/>
      <c r="G30" s="429"/>
      <c r="H30" s="429"/>
      <c r="I30" s="424">
        <f>2640000+325148</f>
        <v>2965148</v>
      </c>
      <c r="J30" s="424"/>
      <c r="K30" s="424"/>
      <c r="L30" s="424">
        <f>32277000-1444000</f>
        <v>30833000</v>
      </c>
      <c r="M30" s="424"/>
      <c r="N30" s="424"/>
      <c r="O30" s="424"/>
      <c r="P30" s="424"/>
      <c r="Q30" s="424"/>
      <c r="R30" s="424"/>
      <c r="S30" s="424"/>
      <c r="T30" s="424"/>
      <c r="U30" s="429"/>
      <c r="V30" s="424"/>
      <c r="W30" s="424"/>
      <c r="X30" s="424"/>
      <c r="Y30" s="425">
        <f t="shared" si="0"/>
        <v>33798148</v>
      </c>
    </row>
    <row r="31" spans="2:26" ht="12">
      <c r="B31" s="398" t="s">
        <v>66</v>
      </c>
      <c r="C31" s="398" t="s">
        <v>61</v>
      </c>
      <c r="D31" s="427" t="s">
        <v>431</v>
      </c>
      <c r="E31" s="428" t="s">
        <v>469</v>
      </c>
      <c r="F31" s="898"/>
      <c r="G31" s="429">
        <f>25000+33000</f>
        <v>58000</v>
      </c>
      <c r="H31" s="429">
        <f>3938+5197</f>
        <v>9135</v>
      </c>
      <c r="I31" s="424">
        <f>14028933+401078+382588+349267-3000+998220+210000-369750+5000000</f>
        <v>20997336</v>
      </c>
      <c r="J31" s="424"/>
      <c r="K31" s="424"/>
      <c r="L31" s="424">
        <f>14018000-6364000-3280000</f>
        <v>4374000</v>
      </c>
      <c r="M31" s="424"/>
      <c r="N31" s="424"/>
      <c r="O31" s="424"/>
      <c r="P31" s="424"/>
      <c r="Q31" s="424"/>
      <c r="R31" s="424"/>
      <c r="S31" s="424"/>
      <c r="T31" s="424"/>
      <c r="U31" s="429">
        <f>3348220-998220+668586+2500000</f>
        <v>5518586</v>
      </c>
      <c r="V31" s="424">
        <f>2000000+3261523</f>
        <v>5261523</v>
      </c>
      <c r="W31" s="424"/>
      <c r="X31" s="424"/>
      <c r="Y31" s="425">
        <f t="shared" si="0"/>
        <v>36218580</v>
      </c>
      <c r="Z31" s="430"/>
    </row>
    <row r="32" spans="2:26" ht="24" customHeight="1">
      <c r="B32" s="398" t="s">
        <v>67</v>
      </c>
      <c r="C32" s="398" t="s">
        <v>67</v>
      </c>
      <c r="D32" s="974" t="s">
        <v>923</v>
      </c>
      <c r="E32" s="428" t="s">
        <v>355</v>
      </c>
      <c r="F32" s="898"/>
      <c r="G32" s="429"/>
      <c r="H32" s="424"/>
      <c r="I32" s="424">
        <v>360000</v>
      </c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5">
        <f t="shared" si="0"/>
        <v>360000</v>
      </c>
      <c r="Z32" s="430"/>
    </row>
    <row r="33" spans="2:27" ht="24" customHeight="1">
      <c r="B33" s="398" t="s">
        <v>68</v>
      </c>
      <c r="C33" s="398" t="s">
        <v>68</v>
      </c>
      <c r="D33" s="974"/>
      <c r="E33" s="428" t="s">
        <v>356</v>
      </c>
      <c r="F33" s="898"/>
      <c r="G33" s="429"/>
      <c r="H33" s="424">
        <v>492</v>
      </c>
      <c r="I33" s="424">
        <f>27644450+2513</f>
        <v>27646963</v>
      </c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5">
        <f t="shared" si="0"/>
        <v>27647455</v>
      </c>
      <c r="AA33" s="397" t="s">
        <v>645</v>
      </c>
    </row>
    <row r="34" spans="1:27" ht="24" customHeight="1">
      <c r="A34" s="397">
        <v>851286</v>
      </c>
      <c r="B34" s="398" t="s">
        <v>69</v>
      </c>
      <c r="C34" s="398" t="s">
        <v>69</v>
      </c>
      <c r="D34" s="974"/>
      <c r="E34" s="428" t="s">
        <v>357</v>
      </c>
      <c r="F34" s="898"/>
      <c r="G34" s="429"/>
      <c r="H34" s="424"/>
      <c r="I34" s="424">
        <v>120000</v>
      </c>
      <c r="J34" s="424"/>
      <c r="K34" s="424"/>
      <c r="L34" s="424">
        <f>2626200+2307500+2324200</f>
        <v>7257900</v>
      </c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5">
        <f t="shared" si="0"/>
        <v>7377900</v>
      </c>
      <c r="AA34" s="430">
        <f>SUM(Y32:Y35)</f>
        <v>73652592</v>
      </c>
    </row>
    <row r="35" spans="1:25" s="426" customFormat="1" ht="27" customHeight="1">
      <c r="A35" s="397">
        <v>851297</v>
      </c>
      <c r="B35" s="398" t="s">
        <v>70</v>
      </c>
      <c r="C35" s="398" t="s">
        <v>70</v>
      </c>
      <c r="D35" s="974"/>
      <c r="E35" s="428" t="s">
        <v>409</v>
      </c>
      <c r="F35" s="898"/>
      <c r="G35" s="429">
        <f>27396716+2500000</f>
        <v>29896716</v>
      </c>
      <c r="H35" s="424">
        <f>4793101+387500+50000</f>
        <v>5230601</v>
      </c>
      <c r="I35" s="424">
        <v>2949420</v>
      </c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>
        <v>190500</v>
      </c>
      <c r="V35" s="424"/>
      <c r="W35" s="424"/>
      <c r="X35" s="424"/>
      <c r="Y35" s="425">
        <f t="shared" si="0"/>
        <v>38267237</v>
      </c>
    </row>
    <row r="36" spans="1:25" s="426" customFormat="1" ht="24" customHeight="1">
      <c r="A36" s="397"/>
      <c r="B36" s="398"/>
      <c r="C36" s="398" t="s">
        <v>798</v>
      </c>
      <c r="D36" s="427" t="s">
        <v>421</v>
      </c>
      <c r="E36" s="428" t="s">
        <v>799</v>
      </c>
      <c r="F36" s="899"/>
      <c r="G36" s="429"/>
      <c r="H36" s="424"/>
      <c r="I36" s="424">
        <f>600000+1275000+17500</f>
        <v>1892500</v>
      </c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>
        <f>400000+100000</f>
        <v>500000</v>
      </c>
      <c r="V36" s="424"/>
      <c r="W36" s="424"/>
      <c r="X36" s="424"/>
      <c r="Y36" s="425">
        <f t="shared" si="0"/>
        <v>2392500</v>
      </c>
    </row>
    <row r="37" spans="1:25" s="426" customFormat="1" ht="24" customHeight="1">
      <c r="A37" s="397">
        <v>853322</v>
      </c>
      <c r="B37" s="398" t="s">
        <v>71</v>
      </c>
      <c r="C37" s="398" t="s">
        <v>79</v>
      </c>
      <c r="D37" s="427" t="s">
        <v>433</v>
      </c>
      <c r="E37" s="428" t="s">
        <v>80</v>
      </c>
      <c r="F37" s="899"/>
      <c r="G37" s="429"/>
      <c r="H37" s="424"/>
      <c r="I37" s="424">
        <f>1500000-1500000</f>
        <v>0</v>
      </c>
      <c r="J37" s="424"/>
      <c r="K37" s="424"/>
      <c r="L37" s="424">
        <f>16949000</f>
        <v>16949000</v>
      </c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5">
        <f t="shared" si="0"/>
        <v>16949000</v>
      </c>
    </row>
    <row r="38" spans="1:25" s="426" customFormat="1" ht="12">
      <c r="A38" s="397"/>
      <c r="B38" s="398" t="s">
        <v>72</v>
      </c>
      <c r="C38" s="398" t="s">
        <v>466</v>
      </c>
      <c r="D38" s="427" t="s">
        <v>390</v>
      </c>
      <c r="E38" s="431" t="s">
        <v>530</v>
      </c>
      <c r="F38" s="899"/>
      <c r="G38" s="429">
        <v>80000</v>
      </c>
      <c r="H38" s="424">
        <v>38963</v>
      </c>
      <c r="I38" s="424">
        <f>1830220+31383-878586</f>
        <v>983017</v>
      </c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>
        <f>730250-730250</f>
        <v>0</v>
      </c>
      <c r="V38" s="424"/>
      <c r="W38" s="424"/>
      <c r="X38" s="424"/>
      <c r="Y38" s="425">
        <f t="shared" si="0"/>
        <v>1101980</v>
      </c>
    </row>
    <row r="39" spans="2:27" ht="20.25" customHeight="1">
      <c r="B39" s="398" t="s">
        <v>74</v>
      </c>
      <c r="C39" s="398" t="s">
        <v>706</v>
      </c>
      <c r="D39" s="433" t="s">
        <v>391</v>
      </c>
      <c r="E39" s="428" t="s">
        <v>82</v>
      </c>
      <c r="F39" s="898"/>
      <c r="G39" s="429"/>
      <c r="H39" s="424"/>
      <c r="I39" s="424">
        <v>73660</v>
      </c>
      <c r="J39" s="424"/>
      <c r="K39" s="432"/>
      <c r="L39" s="432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5">
        <f t="shared" si="0"/>
        <v>73660</v>
      </c>
      <c r="AA39" s="430">
        <f>SUM(Y39:Y39)</f>
        <v>73660</v>
      </c>
    </row>
    <row r="40" spans="3:27" ht="27" customHeight="1">
      <c r="C40" s="398" t="s">
        <v>707</v>
      </c>
      <c r="D40" s="433" t="s">
        <v>392</v>
      </c>
      <c r="E40" s="428" t="s">
        <v>690</v>
      </c>
      <c r="F40" s="898"/>
      <c r="G40" s="429">
        <v>5400000</v>
      </c>
      <c r="H40" s="424">
        <v>927500</v>
      </c>
      <c r="I40" s="424">
        <f>5902169+55552</f>
        <v>5957721</v>
      </c>
      <c r="J40" s="424"/>
      <c r="K40" s="432"/>
      <c r="L40" s="432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5">
        <f t="shared" si="0"/>
        <v>12285221</v>
      </c>
      <c r="AA40" s="430"/>
    </row>
    <row r="41" spans="3:27" ht="26.25" customHeight="1">
      <c r="C41" s="398" t="s">
        <v>66</v>
      </c>
      <c r="D41" s="433" t="s">
        <v>434</v>
      </c>
      <c r="E41" s="428" t="s">
        <v>691</v>
      </c>
      <c r="F41" s="898"/>
      <c r="G41" s="429"/>
      <c r="H41" s="424"/>
      <c r="I41" s="424"/>
      <c r="J41" s="424"/>
      <c r="K41" s="432"/>
      <c r="L41" s="432"/>
      <c r="M41" s="424"/>
      <c r="N41" s="424"/>
      <c r="O41" s="424"/>
      <c r="P41" s="424"/>
      <c r="Q41" s="424"/>
      <c r="R41" s="424"/>
      <c r="S41" s="424"/>
      <c r="T41" s="424"/>
      <c r="U41" s="424"/>
      <c r="V41" s="424">
        <v>31599998</v>
      </c>
      <c r="W41" s="424"/>
      <c r="X41" s="424"/>
      <c r="Y41" s="425">
        <f t="shared" si="0"/>
        <v>31599998</v>
      </c>
      <c r="AA41" s="430"/>
    </row>
    <row r="42" spans="3:27" ht="24.75" customHeight="1">
      <c r="C42" s="398" t="s">
        <v>708</v>
      </c>
      <c r="D42" s="433" t="s">
        <v>393</v>
      </c>
      <c r="E42" s="428" t="s">
        <v>692</v>
      </c>
      <c r="F42" s="898"/>
      <c r="G42" s="429">
        <f>8650000+5000000+575000</f>
        <v>14225000</v>
      </c>
      <c r="H42" s="424">
        <f>1409909+875000+128625</f>
        <v>2413534</v>
      </c>
      <c r="I42" s="424">
        <f>2242300+18063936-10911298</f>
        <v>9394938</v>
      </c>
      <c r="J42" s="424"/>
      <c r="K42" s="432"/>
      <c r="L42" s="432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5">
        <f t="shared" si="0"/>
        <v>26033472</v>
      </c>
      <c r="AA42" s="430"/>
    </row>
    <row r="43" spans="3:25" ht="12">
      <c r="C43" s="398" t="s">
        <v>548</v>
      </c>
      <c r="D43" s="433" t="s">
        <v>408</v>
      </c>
      <c r="E43" s="428" t="s">
        <v>549</v>
      </c>
      <c r="F43" s="898"/>
      <c r="G43" s="429">
        <v>2543600</v>
      </c>
      <c r="H43" s="424">
        <v>445130</v>
      </c>
      <c r="I43" s="424">
        <f>57876511+1012863</f>
        <v>58889374</v>
      </c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>
        <v>74930</v>
      </c>
      <c r="V43" s="424"/>
      <c r="W43" s="424"/>
      <c r="X43" s="424"/>
      <c r="Y43" s="425">
        <f t="shared" si="0"/>
        <v>61953034</v>
      </c>
    </row>
    <row r="44" spans="2:25" ht="24" customHeight="1">
      <c r="B44" s="398" t="s">
        <v>75</v>
      </c>
      <c r="C44" s="398" t="s">
        <v>545</v>
      </c>
      <c r="D44" s="433" t="s">
        <v>435</v>
      </c>
      <c r="E44" s="428" t="s">
        <v>546</v>
      </c>
      <c r="F44" s="898"/>
      <c r="G44" s="429"/>
      <c r="H44" s="424"/>
      <c r="I44" s="424">
        <f>11650000+951095</f>
        <v>12601095</v>
      </c>
      <c r="J44" s="424"/>
      <c r="K44" s="424"/>
      <c r="L44" s="424">
        <v>10000000</v>
      </c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5">
        <f t="shared" si="0"/>
        <v>22601095</v>
      </c>
    </row>
    <row r="45" spans="3:25" ht="24" customHeight="1">
      <c r="C45" s="398" t="s">
        <v>919</v>
      </c>
      <c r="D45" s="433" t="s">
        <v>436</v>
      </c>
      <c r="E45" s="428" t="s">
        <v>920</v>
      </c>
      <c r="F45" s="898"/>
      <c r="G45" s="429"/>
      <c r="H45" s="424"/>
      <c r="I45" s="424">
        <v>2563710</v>
      </c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>
        <v>135676290</v>
      </c>
      <c r="V45" s="424"/>
      <c r="W45" s="424"/>
      <c r="X45" s="424"/>
      <c r="Y45" s="425">
        <f t="shared" si="0"/>
        <v>138240000</v>
      </c>
    </row>
    <row r="46" spans="3:25" ht="12">
      <c r="C46" s="398" t="s">
        <v>550</v>
      </c>
      <c r="D46" s="433" t="s">
        <v>697</v>
      </c>
      <c r="E46" s="428" t="s">
        <v>551</v>
      </c>
      <c r="F46" s="898"/>
      <c r="G46" s="429"/>
      <c r="H46" s="424"/>
      <c r="I46" s="424">
        <f>1812600+73560+229808-63414</f>
        <v>2052554</v>
      </c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4"/>
      <c r="Y46" s="425">
        <f t="shared" si="0"/>
        <v>2052554</v>
      </c>
    </row>
    <row r="47" spans="3:27" ht="24" customHeight="1">
      <c r="C47" s="398" t="s">
        <v>75</v>
      </c>
      <c r="D47" s="433" t="s">
        <v>698</v>
      </c>
      <c r="E47" s="428" t="s">
        <v>653</v>
      </c>
      <c r="F47" s="898"/>
      <c r="G47" s="429">
        <v>24650000</v>
      </c>
      <c r="H47" s="424">
        <v>4900455</v>
      </c>
      <c r="I47" s="424">
        <f>17254444+13881090-519024</f>
        <v>30616510</v>
      </c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>
        <v>6000000</v>
      </c>
      <c r="V47" s="424"/>
      <c r="W47" s="424"/>
      <c r="X47" s="424"/>
      <c r="Y47" s="425">
        <f t="shared" si="0"/>
        <v>66166965</v>
      </c>
      <c r="AA47" s="430">
        <f>SUM(Y44:Y48)</f>
        <v>254766342</v>
      </c>
    </row>
    <row r="48" spans="2:25" ht="24" customHeight="1">
      <c r="B48" s="398" t="s">
        <v>77</v>
      </c>
      <c r="C48" s="398" t="s">
        <v>73</v>
      </c>
      <c r="D48" s="433" t="s">
        <v>699</v>
      </c>
      <c r="E48" s="428" t="s">
        <v>417</v>
      </c>
      <c r="F48" s="898"/>
      <c r="G48" s="429">
        <f>1344830+52650</f>
        <v>1397480</v>
      </c>
      <c r="H48" s="424">
        <f>208449+8161</f>
        <v>216610</v>
      </c>
      <c r="I48" s="424">
        <f>2600000+17596440+265050+328388+1500000</f>
        <v>22289878</v>
      </c>
      <c r="J48" s="424"/>
      <c r="K48" s="424"/>
      <c r="L48" s="424">
        <f>2032000-1016000</f>
        <v>1016000</v>
      </c>
      <c r="M48" s="424"/>
      <c r="N48" s="424"/>
      <c r="O48" s="424"/>
      <c r="P48" s="424"/>
      <c r="Q48" s="424"/>
      <c r="R48" s="424"/>
      <c r="S48" s="424"/>
      <c r="T48" s="424"/>
      <c r="U48" s="424">
        <f>560000+225760</f>
        <v>785760</v>
      </c>
      <c r="V48" s="424"/>
      <c r="W48" s="424"/>
      <c r="X48" s="424"/>
      <c r="Y48" s="425">
        <f t="shared" si="0"/>
        <v>25705728</v>
      </c>
    </row>
    <row r="49" spans="3:25" ht="24" customHeight="1">
      <c r="C49" s="398" t="s">
        <v>693</v>
      </c>
      <c r="D49" s="433" t="s">
        <v>700</v>
      </c>
      <c r="E49" s="428" t="s">
        <v>694</v>
      </c>
      <c r="F49" s="898"/>
      <c r="G49" s="429">
        <f>3459090+157950</f>
        <v>3617040</v>
      </c>
      <c r="H49" s="424">
        <f>536159+24483</f>
        <v>560642</v>
      </c>
      <c r="I49" s="424">
        <f>175000+31750+4600000</f>
        <v>4806750</v>
      </c>
      <c r="J49" s="424"/>
      <c r="K49" s="424"/>
      <c r="L49" s="424">
        <f>2286000-1143000</f>
        <v>1143000</v>
      </c>
      <c r="M49" s="424"/>
      <c r="N49" s="424"/>
      <c r="O49" s="424"/>
      <c r="P49" s="424"/>
      <c r="Q49" s="424"/>
      <c r="R49" s="424"/>
      <c r="S49" s="424"/>
      <c r="T49" s="424"/>
      <c r="U49" s="424">
        <f>250000-237338</f>
        <v>12662</v>
      </c>
      <c r="V49" s="424"/>
      <c r="W49" s="434"/>
      <c r="X49" s="424"/>
      <c r="Y49" s="425">
        <f t="shared" si="0"/>
        <v>10140094</v>
      </c>
    </row>
    <row r="50" spans="2:25" ht="12">
      <c r="B50" s="398" t="s">
        <v>79</v>
      </c>
      <c r="C50" s="398" t="s">
        <v>76</v>
      </c>
      <c r="D50" s="433" t="s">
        <v>701</v>
      </c>
      <c r="E50" s="428" t="s">
        <v>547</v>
      </c>
      <c r="F50" s="898"/>
      <c r="G50" s="429"/>
      <c r="H50" s="424"/>
      <c r="I50" s="424"/>
      <c r="J50" s="424">
        <f>3804900+7300000</f>
        <v>11104900</v>
      </c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34"/>
      <c r="X50" s="424"/>
      <c r="Y50" s="425">
        <f t="shared" si="0"/>
        <v>11104900</v>
      </c>
    </row>
    <row r="51" spans="3:25" ht="12">
      <c r="C51" s="398" t="s">
        <v>695</v>
      </c>
      <c r="D51" s="433" t="s">
        <v>702</v>
      </c>
      <c r="E51" s="428" t="s">
        <v>696</v>
      </c>
      <c r="F51" s="900"/>
      <c r="G51" s="435">
        <f>18342800+1350000+1125000+16410600-416917-2160000+459366+251428</f>
        <v>35362277</v>
      </c>
      <c r="H51" s="434">
        <f>3773040+236250+196875+2543643-64622-334800+76788+43772</f>
        <v>6470946</v>
      </c>
      <c r="I51" s="434">
        <f>22523810+60657486-13077629-18954243-7292340+5109584</f>
        <v>48966668</v>
      </c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>
        <v>2460790</v>
      </c>
      <c r="V51" s="434">
        <f>523290+7292340</f>
        <v>7815630</v>
      </c>
      <c r="W51" s="435"/>
      <c r="X51" s="434"/>
      <c r="Y51" s="425">
        <f t="shared" si="0"/>
        <v>101076311</v>
      </c>
    </row>
    <row r="52" spans="4:25" ht="12">
      <c r="D52" s="433" t="s">
        <v>800</v>
      </c>
      <c r="E52" s="428" t="s">
        <v>354</v>
      </c>
      <c r="F52" s="900"/>
      <c r="G52" s="435"/>
      <c r="H52" s="434"/>
      <c r="I52" s="434"/>
      <c r="J52" s="434"/>
      <c r="K52" s="434"/>
      <c r="L52" s="434"/>
      <c r="M52" s="434"/>
      <c r="N52" s="434">
        <f>1000000-1000000</f>
        <v>0</v>
      </c>
      <c r="O52" s="434">
        <f>350000+1841851</f>
        <v>2191851</v>
      </c>
      <c r="P52" s="434">
        <f>1000000-1000000</f>
        <v>0</v>
      </c>
      <c r="Q52" s="434">
        <f>121735509-9534431-1841851-33191447-2702314-8864634-558233-36263474-4615000-22387266+911000-2197500+5373648-726390-55552+519024+13077629+755546+10911298-15055017-2307500-440857-15000-200000-401078-382588-3610256-510500-7422766</f>
        <v>0</v>
      </c>
      <c r="R52" s="434">
        <f>15055017-5270000</f>
        <v>9785017</v>
      </c>
      <c r="S52" s="434">
        <v>3134972</v>
      </c>
      <c r="T52" s="434">
        <f>200000-160000</f>
        <v>40000</v>
      </c>
      <c r="U52" s="434"/>
      <c r="V52" s="434"/>
      <c r="W52" s="435"/>
      <c r="X52" s="434"/>
      <c r="Y52" s="425">
        <f t="shared" si="0"/>
        <v>15151840</v>
      </c>
    </row>
    <row r="53" spans="1:28" s="437" customFormat="1" ht="24" customHeight="1" thickBot="1">
      <c r="A53" s="437">
        <v>999997</v>
      </c>
      <c r="B53" s="436"/>
      <c r="D53" s="438" t="s">
        <v>879</v>
      </c>
      <c r="E53" s="439" t="s">
        <v>341</v>
      </c>
      <c r="F53" s="440">
        <f>SUM(F8:F50)</f>
        <v>0</v>
      </c>
      <c r="G53" s="441">
        <f aca="true" t="shared" si="1" ref="G53:Y53">SUM(G8:G52)</f>
        <v>210699494</v>
      </c>
      <c r="H53" s="441">
        <f t="shared" si="1"/>
        <v>35068705</v>
      </c>
      <c r="I53" s="441">
        <f t="shared" si="1"/>
        <v>486929714</v>
      </c>
      <c r="J53" s="441">
        <f t="shared" si="1"/>
        <v>11104900</v>
      </c>
      <c r="K53" s="441">
        <f t="shared" si="1"/>
        <v>36396241</v>
      </c>
      <c r="L53" s="441">
        <f t="shared" si="1"/>
        <v>139809302</v>
      </c>
      <c r="M53" s="441">
        <f t="shared" si="1"/>
        <v>130000</v>
      </c>
      <c r="N53" s="441">
        <f t="shared" si="1"/>
        <v>0</v>
      </c>
      <c r="O53" s="441">
        <f t="shared" si="1"/>
        <v>2191851</v>
      </c>
      <c r="P53" s="441">
        <f t="shared" si="1"/>
        <v>0</v>
      </c>
      <c r="Q53" s="441">
        <f t="shared" si="1"/>
        <v>0</v>
      </c>
      <c r="R53" s="441">
        <f t="shared" si="1"/>
        <v>9785017</v>
      </c>
      <c r="S53" s="441">
        <f t="shared" si="1"/>
        <v>3134972</v>
      </c>
      <c r="T53" s="441">
        <f t="shared" si="1"/>
        <v>40000</v>
      </c>
      <c r="U53" s="441">
        <f t="shared" si="1"/>
        <v>888162381</v>
      </c>
      <c r="V53" s="441">
        <f t="shared" si="1"/>
        <v>192685255</v>
      </c>
      <c r="W53" s="441">
        <f t="shared" si="1"/>
        <v>10513420</v>
      </c>
      <c r="X53" s="441">
        <f t="shared" si="1"/>
        <v>42367495</v>
      </c>
      <c r="Y53" s="442">
        <f t="shared" si="1"/>
        <v>2069018747</v>
      </c>
      <c r="Z53" s="443">
        <f>SUM(G53:X53)</f>
        <v>2069018747</v>
      </c>
      <c r="AA53" s="444"/>
      <c r="AB53" s="444"/>
    </row>
    <row r="54" ht="12.75">
      <c r="E54" s="445"/>
    </row>
    <row r="58" ht="12">
      <c r="F58" s="447"/>
    </row>
  </sheetData>
  <sheetProtection/>
  <mergeCells count="10">
    <mergeCell ref="D32:D35"/>
    <mergeCell ref="C1:C2"/>
    <mergeCell ref="T1:Y1"/>
    <mergeCell ref="E2:Y2"/>
    <mergeCell ref="D4:D7"/>
    <mergeCell ref="E4:E6"/>
    <mergeCell ref="F4:F6"/>
    <mergeCell ref="K5:T5"/>
    <mergeCell ref="G4:X4"/>
    <mergeCell ref="Y4:Y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53" r:id="rId1"/>
  <rowBreaks count="1" manualBreakCount="1">
    <brk id="31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42"/>
  <sheetViews>
    <sheetView zoomScalePageLayoutView="0" workbookViewId="0" topLeftCell="C1">
      <selection activeCell="L5" sqref="L5"/>
    </sheetView>
  </sheetViews>
  <sheetFormatPr defaultColWidth="8.875" defaultRowHeight="12.75"/>
  <cols>
    <col min="1" max="1" width="1.37890625" style="397" hidden="1" customWidth="1"/>
    <col min="2" max="2" width="8.00390625" style="398" hidden="1" customWidth="1"/>
    <col min="3" max="3" width="8.00390625" style="398" customWidth="1"/>
    <col min="4" max="4" width="7.625" style="399" customWidth="1"/>
    <col min="5" max="5" width="38.00390625" style="397" customWidth="1"/>
    <col min="6" max="10" width="13.125" style="397" customWidth="1"/>
    <col min="11" max="11" width="16.75390625" style="446" customWidth="1"/>
    <col min="12" max="12" width="14.375" style="397" customWidth="1"/>
    <col min="13" max="13" width="9.875" style="397" bestFit="1" customWidth="1"/>
    <col min="14" max="16384" width="8.875" style="397" customWidth="1"/>
  </cols>
  <sheetData>
    <row r="1" spans="3:11" ht="15">
      <c r="C1" s="975"/>
      <c r="I1" s="977"/>
      <c r="J1" s="977"/>
      <c r="K1" s="977"/>
    </row>
    <row r="2" spans="3:14" ht="15">
      <c r="C2" s="975"/>
      <c r="H2" s="459"/>
      <c r="I2" s="459"/>
      <c r="J2" s="460"/>
      <c r="K2" s="459" t="s">
        <v>1055</v>
      </c>
      <c r="L2" s="460"/>
      <c r="M2" s="460"/>
      <c r="N2" s="460"/>
    </row>
    <row r="3" spans="3:14" ht="15">
      <c r="C3" s="975"/>
      <c r="H3" s="459"/>
      <c r="I3" s="459"/>
      <c r="J3" s="460"/>
      <c r="K3" s="459"/>
      <c r="L3" s="460"/>
      <c r="M3" s="460"/>
      <c r="N3" s="460"/>
    </row>
    <row r="4" spans="1:11" s="516" customFormat="1" ht="39" customHeight="1">
      <c r="A4" s="401"/>
      <c r="B4" s="402"/>
      <c r="C4" s="975"/>
      <c r="D4" s="996" t="s">
        <v>732</v>
      </c>
      <c r="E4" s="996"/>
      <c r="F4" s="996"/>
      <c r="G4" s="996"/>
      <c r="H4" s="996"/>
      <c r="I4" s="996"/>
      <c r="J4" s="996"/>
      <c r="K4" s="996"/>
    </row>
    <row r="5" ht="12">
      <c r="K5" s="517"/>
    </row>
    <row r="6" ht="12">
      <c r="K6" s="517"/>
    </row>
    <row r="7" ht="12.75" thickBot="1">
      <c r="K7" s="403"/>
    </row>
    <row r="8" spans="2:11" s="404" customFormat="1" ht="12.75" customHeight="1">
      <c r="B8" s="405"/>
      <c r="C8" s="405"/>
      <c r="D8" s="979" t="s">
        <v>405</v>
      </c>
      <c r="E8" s="982" t="s">
        <v>337</v>
      </c>
      <c r="F8" s="1003" t="s">
        <v>344</v>
      </c>
      <c r="G8" s="991"/>
      <c r="H8" s="991"/>
      <c r="I8" s="991"/>
      <c r="J8" s="991"/>
      <c r="K8" s="993" t="s">
        <v>345</v>
      </c>
    </row>
    <row r="9" spans="2:11" s="406" customFormat="1" ht="12" customHeight="1">
      <c r="B9" s="407"/>
      <c r="C9" s="407"/>
      <c r="D9" s="980"/>
      <c r="E9" s="983"/>
      <c r="F9" s="408" t="s">
        <v>1</v>
      </c>
      <c r="G9" s="408" t="s">
        <v>3</v>
      </c>
      <c r="H9" s="408" t="s">
        <v>5</v>
      </c>
      <c r="I9" s="410" t="s">
        <v>110</v>
      </c>
      <c r="J9" s="410" t="s">
        <v>112</v>
      </c>
      <c r="K9" s="994"/>
    </row>
    <row r="10" spans="2:11" s="406" customFormat="1" ht="63.75" customHeight="1">
      <c r="B10" s="407"/>
      <c r="C10" s="407"/>
      <c r="D10" s="980"/>
      <c r="E10" s="984"/>
      <c r="F10" s="411" t="s">
        <v>335</v>
      </c>
      <c r="G10" s="411" t="s">
        <v>544</v>
      </c>
      <c r="H10" s="411" t="s">
        <v>339</v>
      </c>
      <c r="I10" s="409" t="s">
        <v>333</v>
      </c>
      <c r="J10" s="409" t="s">
        <v>347</v>
      </c>
      <c r="K10" s="995"/>
    </row>
    <row r="11" spans="2:11" s="468" customFormat="1" ht="12.75" thickBot="1">
      <c r="B11" s="469"/>
      <c r="C11" s="469"/>
      <c r="D11" s="980"/>
      <c r="E11" s="470" t="s">
        <v>399</v>
      </c>
      <c r="F11" s="471" t="s">
        <v>400</v>
      </c>
      <c r="G11" s="471" t="s">
        <v>401</v>
      </c>
      <c r="H11" s="472" t="s">
        <v>402</v>
      </c>
      <c r="I11" s="472" t="s">
        <v>403</v>
      </c>
      <c r="J11" s="472" t="s">
        <v>404</v>
      </c>
      <c r="K11" s="473" t="s">
        <v>406</v>
      </c>
    </row>
    <row r="12" spans="1:11" s="919" customFormat="1" ht="24.75" customHeight="1">
      <c r="A12" s="917"/>
      <c r="B12" s="918"/>
      <c r="C12" s="398"/>
      <c r="D12" s="1004" t="s">
        <v>346</v>
      </c>
      <c r="E12" s="1005"/>
      <c r="F12" s="1005"/>
      <c r="G12" s="1005"/>
      <c r="H12" s="1005"/>
      <c r="I12" s="1005"/>
      <c r="J12" s="1005"/>
      <c r="K12" s="1006"/>
    </row>
    <row r="13" spans="2:11" s="477" customFormat="1" ht="34.5" customHeight="1">
      <c r="B13" s="478" t="s">
        <v>52</v>
      </c>
      <c r="C13" s="478"/>
      <c r="D13" s="479" t="s">
        <v>368</v>
      </c>
      <c r="E13" s="480" t="s">
        <v>669</v>
      </c>
      <c r="F13" s="482">
        <f>91562414+103400+1263600-340425+513114+334626+565152-560500-4800+66078</f>
        <v>93502659</v>
      </c>
      <c r="G13" s="482">
        <f>16696818+18095+221130-59575-513114+87598-86880-1681-871860-66078</f>
        <v>15424453</v>
      </c>
      <c r="H13" s="482">
        <f>26913440+2000-200000-130000-81892-3896375</f>
        <v>22607173</v>
      </c>
      <c r="I13" s="482">
        <f>1934590-1204167+200000+130000+81892</f>
        <v>1142315</v>
      </c>
      <c r="J13" s="482">
        <f>1204167</f>
        <v>1204167</v>
      </c>
      <c r="K13" s="483">
        <f>SUM(F13:J13)</f>
        <v>133880767</v>
      </c>
    </row>
    <row r="14" spans="2:11" s="477" customFormat="1" ht="71.25">
      <c r="B14" s="478" t="s">
        <v>53</v>
      </c>
      <c r="C14" s="478"/>
      <c r="D14" s="479" t="s">
        <v>369</v>
      </c>
      <c r="E14" s="485" t="s">
        <v>733</v>
      </c>
      <c r="F14" s="482">
        <f>4740000-575000</f>
        <v>4165000</v>
      </c>
      <c r="G14" s="482">
        <f>829500-128625</f>
        <v>700875</v>
      </c>
      <c r="H14" s="482">
        <v>0</v>
      </c>
      <c r="I14" s="482">
        <v>0</v>
      </c>
      <c r="J14" s="482">
        <v>0</v>
      </c>
      <c r="K14" s="483">
        <f>SUM(F14:J14)</f>
        <v>4865875</v>
      </c>
    </row>
    <row r="15" spans="2:11" s="477" customFormat="1" ht="57.75" thickBot="1">
      <c r="B15" s="478"/>
      <c r="C15" s="478"/>
      <c r="D15" s="484" t="s">
        <v>370</v>
      </c>
      <c r="E15" s="485" t="s">
        <v>897</v>
      </c>
      <c r="F15" s="486">
        <f>2452125+416917-459366</f>
        <v>2409676</v>
      </c>
      <c r="G15" s="486">
        <f>429122+64622-76788</f>
        <v>416956</v>
      </c>
      <c r="H15" s="486">
        <v>0</v>
      </c>
      <c r="I15" s="486">
        <v>0</v>
      </c>
      <c r="J15" s="486">
        <v>0</v>
      </c>
      <c r="K15" s="487">
        <f>SUM(F15:J15)</f>
        <v>2826632</v>
      </c>
    </row>
    <row r="16" spans="1:14" s="488" customFormat="1" ht="24" customHeight="1" thickBot="1">
      <c r="A16" s="488">
        <v>999997</v>
      </c>
      <c r="B16" s="489"/>
      <c r="D16" s="490" t="s">
        <v>371</v>
      </c>
      <c r="E16" s="491" t="s">
        <v>341</v>
      </c>
      <c r="F16" s="492">
        <f aca="true" t="shared" si="0" ref="F16:K16">SUM(F10:F15)</f>
        <v>100077335</v>
      </c>
      <c r="G16" s="492">
        <f t="shared" si="0"/>
        <v>16542284</v>
      </c>
      <c r="H16" s="492">
        <f t="shared" si="0"/>
        <v>22607173</v>
      </c>
      <c r="I16" s="492">
        <f t="shared" si="0"/>
        <v>1142315</v>
      </c>
      <c r="J16" s="492">
        <f t="shared" si="0"/>
        <v>1204167</v>
      </c>
      <c r="K16" s="493">
        <f t="shared" si="0"/>
        <v>141573274</v>
      </c>
      <c r="L16" s="494">
        <f>SUM(F16:J16)</f>
        <v>141573274</v>
      </c>
      <c r="M16" s="495"/>
      <c r="N16" s="495"/>
    </row>
    <row r="17" spans="1:11" s="476" customFormat="1" ht="29.25" customHeight="1">
      <c r="A17" s="474"/>
      <c r="B17" s="475"/>
      <c r="C17" s="475"/>
      <c r="D17" s="997" t="s">
        <v>647</v>
      </c>
      <c r="E17" s="998"/>
      <c r="F17" s="998"/>
      <c r="G17" s="998"/>
      <c r="H17" s="998"/>
      <c r="I17" s="998"/>
      <c r="J17" s="998"/>
      <c r="K17" s="999"/>
    </row>
    <row r="18" spans="2:11" s="779" customFormat="1" ht="23.25" customHeight="1">
      <c r="B18" s="780" t="s">
        <v>52</v>
      </c>
      <c r="C18" s="780"/>
      <c r="D18" s="781" t="s">
        <v>368</v>
      </c>
      <c r="E18" s="782" t="s">
        <v>756</v>
      </c>
      <c r="F18" s="783">
        <v>0</v>
      </c>
      <c r="G18" s="783">
        <v>0</v>
      </c>
      <c r="H18" s="783">
        <f>31853858+544626-5600000-122358</f>
        <v>26676126</v>
      </c>
      <c r="I18" s="783">
        <v>0</v>
      </c>
      <c r="J18" s="784">
        <v>0</v>
      </c>
      <c r="K18" s="785">
        <f aca="true" t="shared" si="1" ref="K18:K30">SUM(F18:J18)</f>
        <v>26676126</v>
      </c>
    </row>
    <row r="19" spans="2:11" s="779" customFormat="1" ht="23.25" customHeight="1">
      <c r="B19" s="780" t="s">
        <v>53</v>
      </c>
      <c r="C19" s="780"/>
      <c r="D19" s="781" t="s">
        <v>369</v>
      </c>
      <c r="E19" s="782" t="s">
        <v>682</v>
      </c>
      <c r="F19" s="783">
        <f>106347224+3215520-330000-1461600+216700+7803952-9-12500000</f>
        <v>103291787</v>
      </c>
      <c r="G19" s="783">
        <f>22358469+562716-57750-255780+37923+1209613-3-1971-2400000</f>
        <v>21453217</v>
      </c>
      <c r="H19" s="783">
        <v>6623</v>
      </c>
      <c r="I19" s="783">
        <v>0</v>
      </c>
      <c r="J19" s="784">
        <v>0</v>
      </c>
      <c r="K19" s="785">
        <f t="shared" si="1"/>
        <v>124751627</v>
      </c>
    </row>
    <row r="20" spans="2:11" s="779" customFormat="1" ht="23.25" customHeight="1">
      <c r="B20" s="780"/>
      <c r="C20" s="780"/>
      <c r="D20" s="781" t="s">
        <v>370</v>
      </c>
      <c r="E20" s="782" t="s">
        <v>734</v>
      </c>
      <c r="F20" s="783">
        <v>0</v>
      </c>
      <c r="G20" s="783">
        <v>0</v>
      </c>
      <c r="H20" s="783">
        <f>10508378+550024-14000-1700000-161765-6623</f>
        <v>9176014</v>
      </c>
      <c r="I20" s="783">
        <f>309245+1130000-409984</f>
        <v>1029261</v>
      </c>
      <c r="J20" s="784">
        <f>508000+507849-310760</f>
        <v>705089</v>
      </c>
      <c r="K20" s="785">
        <f t="shared" si="1"/>
        <v>10910364</v>
      </c>
    </row>
    <row r="21" spans="2:11" s="779" customFormat="1" ht="23.25" customHeight="1">
      <c r="B21" s="780"/>
      <c r="C21" s="780"/>
      <c r="D21" s="781" t="s">
        <v>371</v>
      </c>
      <c r="E21" s="782" t="s">
        <v>471</v>
      </c>
      <c r="F21" s="783">
        <v>5287200</v>
      </c>
      <c r="G21" s="783">
        <v>925260</v>
      </c>
      <c r="H21" s="783">
        <f>1916238-781083-47925+348851+176960+424000+161765</f>
        <v>2198806</v>
      </c>
      <c r="I21" s="783">
        <f>63500+47925+248040</f>
        <v>359465</v>
      </c>
      <c r="J21" s="784">
        <v>0</v>
      </c>
      <c r="K21" s="785">
        <f t="shared" si="1"/>
        <v>8770731</v>
      </c>
    </row>
    <row r="22" spans="2:11" s="779" customFormat="1" ht="23.25" customHeight="1">
      <c r="B22" s="780"/>
      <c r="C22" s="780"/>
      <c r="D22" s="781" t="s">
        <v>372</v>
      </c>
      <c r="E22" s="782" t="s">
        <v>510</v>
      </c>
      <c r="F22" s="783">
        <f>24097710+1249875-1245375+1125000+1666667-340000</f>
        <v>26553877</v>
      </c>
      <c r="G22" s="783">
        <f>4222056+218728-217940+196875+258333-43979</f>
        <v>4634073</v>
      </c>
      <c r="H22" s="783">
        <f>4796826+91000+495000-1100000</f>
        <v>4282826</v>
      </c>
      <c r="I22" s="783">
        <f>304800+11212+68611</f>
        <v>384623</v>
      </c>
      <c r="J22" s="784">
        <v>0</v>
      </c>
      <c r="K22" s="785">
        <f t="shared" si="1"/>
        <v>35855399</v>
      </c>
    </row>
    <row r="23" spans="1:11" s="779" customFormat="1" ht="23.25" customHeight="1">
      <c r="A23" s="779">
        <v>20215</v>
      </c>
      <c r="B23" s="780" t="s">
        <v>54</v>
      </c>
      <c r="C23" s="780"/>
      <c r="D23" s="781" t="s">
        <v>373</v>
      </c>
      <c r="E23" s="782" t="s">
        <v>613</v>
      </c>
      <c r="F23" s="783">
        <f>11177496+981000-976500+1035000+304762-4500000-165410</f>
        <v>7856348</v>
      </c>
      <c r="G23" s="783">
        <f>1927326+171675-170887+181125+47238-840000</f>
        <v>1316477</v>
      </c>
      <c r="H23" s="783">
        <f>2955612+91000+355000-1450000</f>
        <v>1951612</v>
      </c>
      <c r="I23" s="783">
        <f>401320+96799-11212</f>
        <v>486907</v>
      </c>
      <c r="J23" s="784">
        <v>0</v>
      </c>
      <c r="K23" s="785">
        <f t="shared" si="1"/>
        <v>11611344</v>
      </c>
    </row>
    <row r="24" spans="2:11" s="779" customFormat="1" ht="23.25" customHeight="1">
      <c r="B24" s="780"/>
      <c r="C24" s="780"/>
      <c r="D24" s="781" t="s">
        <v>374</v>
      </c>
      <c r="E24" s="782" t="s">
        <v>614</v>
      </c>
      <c r="F24" s="783">
        <f>10053189+639450+377922</f>
        <v>11070561</v>
      </c>
      <c r="G24" s="783">
        <f>1759308+111904+58578</f>
        <v>1929790</v>
      </c>
      <c r="H24" s="783">
        <f>1190218+300000-250000</f>
        <v>1240218</v>
      </c>
      <c r="I24" s="783">
        <f>95250-80565</f>
        <v>14685</v>
      </c>
      <c r="J24" s="784">
        <v>0</v>
      </c>
      <c r="K24" s="785">
        <f t="shared" si="1"/>
        <v>14255254</v>
      </c>
    </row>
    <row r="25" spans="2:11" s="779" customFormat="1" ht="24.75" customHeight="1">
      <c r="B25" s="780"/>
      <c r="C25" s="780"/>
      <c r="D25" s="781" t="s">
        <v>375</v>
      </c>
      <c r="E25" s="782" t="s">
        <v>755</v>
      </c>
      <c r="F25" s="783">
        <v>0</v>
      </c>
      <c r="G25" s="783">
        <v>0</v>
      </c>
      <c r="H25" s="783">
        <f>2677147+40591+122358</f>
        <v>2840096</v>
      </c>
      <c r="I25" s="783">
        <v>0</v>
      </c>
      <c r="J25" s="784">
        <v>0</v>
      </c>
      <c r="K25" s="785">
        <f t="shared" si="1"/>
        <v>2840096</v>
      </c>
    </row>
    <row r="26" spans="2:11" s="779" customFormat="1" ht="24.75" customHeight="1">
      <c r="B26" s="780"/>
      <c r="C26" s="780"/>
      <c r="D26" s="781" t="s">
        <v>376</v>
      </c>
      <c r="E26" s="782" t="s">
        <v>881</v>
      </c>
      <c r="F26" s="783">
        <f>1690500+9</f>
        <v>1690509</v>
      </c>
      <c r="G26" s="783">
        <f>262078-54+3</f>
        <v>262027</v>
      </c>
      <c r="H26" s="783">
        <f>14000</f>
        <v>14000</v>
      </c>
      <c r="I26" s="783">
        <v>0</v>
      </c>
      <c r="J26" s="784">
        <v>0</v>
      </c>
      <c r="K26" s="785">
        <f t="shared" si="1"/>
        <v>1966536</v>
      </c>
    </row>
    <row r="27" spans="2:11" s="779" customFormat="1" ht="46.5" customHeight="1">
      <c r="B27" s="780"/>
      <c r="C27" s="780"/>
      <c r="D27" s="781" t="s">
        <v>377</v>
      </c>
      <c r="E27" s="782" t="s">
        <v>1036</v>
      </c>
      <c r="F27" s="783">
        <v>307692</v>
      </c>
      <c r="G27" s="783">
        <v>47692</v>
      </c>
      <c r="H27" s="783">
        <v>364616</v>
      </c>
      <c r="I27" s="783">
        <v>180000</v>
      </c>
      <c r="J27" s="784">
        <v>0</v>
      </c>
      <c r="K27" s="785">
        <f t="shared" si="1"/>
        <v>900000</v>
      </c>
    </row>
    <row r="28" spans="2:11" s="779" customFormat="1" ht="71.25">
      <c r="B28" s="780"/>
      <c r="C28" s="780"/>
      <c r="D28" s="781" t="s">
        <v>378</v>
      </c>
      <c r="E28" s="782" t="s">
        <v>684</v>
      </c>
      <c r="F28" s="783">
        <f>3600000+2160000</f>
        <v>5760000</v>
      </c>
      <c r="G28" s="783">
        <f>630000+334800</f>
        <v>964800</v>
      </c>
      <c r="H28" s="783">
        <v>0</v>
      </c>
      <c r="I28" s="783">
        <v>0</v>
      </c>
      <c r="J28" s="784">
        <v>0</v>
      </c>
      <c r="K28" s="785">
        <f t="shared" si="1"/>
        <v>6724800</v>
      </c>
    </row>
    <row r="29" spans="2:11" s="779" customFormat="1" ht="57">
      <c r="B29" s="780"/>
      <c r="C29" s="780"/>
      <c r="D29" s="781" t="s">
        <v>379</v>
      </c>
      <c r="E29" s="782" t="s">
        <v>683</v>
      </c>
      <c r="F29" s="783">
        <f>6562063+2756937+6060606</f>
        <v>15379606</v>
      </c>
      <c r="G29" s="783">
        <f>1148361+482464+939394</f>
        <v>2570219</v>
      </c>
      <c r="H29" s="783">
        <f>50000+2114762+10500000</f>
        <v>12664762</v>
      </c>
      <c r="I29" s="783">
        <v>0</v>
      </c>
      <c r="J29" s="784">
        <v>0</v>
      </c>
      <c r="K29" s="785">
        <f t="shared" si="1"/>
        <v>30614587</v>
      </c>
    </row>
    <row r="30" spans="2:12" s="779" customFormat="1" ht="29.25" thickBot="1">
      <c r="B30" s="780"/>
      <c r="C30" s="780"/>
      <c r="D30" s="786" t="s">
        <v>380</v>
      </c>
      <c r="E30" s="782" t="s">
        <v>880</v>
      </c>
      <c r="F30" s="787">
        <v>0</v>
      </c>
      <c r="G30" s="787">
        <v>0</v>
      </c>
      <c r="H30" s="787">
        <v>31954</v>
      </c>
      <c r="I30" s="787">
        <v>0</v>
      </c>
      <c r="J30" s="787">
        <v>0</v>
      </c>
      <c r="K30" s="785">
        <f t="shared" si="1"/>
        <v>31954</v>
      </c>
      <c r="L30" s="788"/>
    </row>
    <row r="31" spans="1:14" s="789" customFormat="1" ht="24" customHeight="1" thickBot="1">
      <c r="A31" s="789">
        <v>999997</v>
      </c>
      <c r="B31" s="790"/>
      <c r="D31" s="791" t="s">
        <v>381</v>
      </c>
      <c r="E31" s="792" t="s">
        <v>341</v>
      </c>
      <c r="F31" s="793">
        <f aca="true" t="shared" si="2" ref="F31:K31">SUM(F17:F30)</f>
        <v>177197580</v>
      </c>
      <c r="G31" s="793">
        <f t="shared" si="2"/>
        <v>34103555</v>
      </c>
      <c r="H31" s="793">
        <f t="shared" si="2"/>
        <v>61447653</v>
      </c>
      <c r="I31" s="793">
        <f t="shared" si="2"/>
        <v>2454941</v>
      </c>
      <c r="J31" s="793">
        <f t="shared" si="2"/>
        <v>705089</v>
      </c>
      <c r="K31" s="798">
        <f t="shared" si="2"/>
        <v>275908818</v>
      </c>
      <c r="L31" s="788">
        <f>SUM(F31:J31)</f>
        <v>275908818</v>
      </c>
      <c r="M31" s="794"/>
      <c r="N31" s="794"/>
    </row>
    <row r="32" spans="1:11" s="426" customFormat="1" ht="25.5" customHeight="1">
      <c r="A32" s="397"/>
      <c r="B32" s="398"/>
      <c r="C32" s="398"/>
      <c r="D32" s="1000" t="s">
        <v>670</v>
      </c>
      <c r="E32" s="1001"/>
      <c r="F32" s="1001"/>
      <c r="G32" s="1001"/>
      <c r="H32" s="1001"/>
      <c r="I32" s="1001"/>
      <c r="J32" s="1001"/>
      <c r="K32" s="1002"/>
    </row>
    <row r="33" spans="2:11" s="477" customFormat="1" ht="31.5" customHeight="1">
      <c r="B33" s="478" t="s">
        <v>52</v>
      </c>
      <c r="C33" s="478"/>
      <c r="D33" s="479" t="s">
        <v>368</v>
      </c>
      <c r="E33" s="480" t="s">
        <v>470</v>
      </c>
      <c r="F33" s="482">
        <v>0</v>
      </c>
      <c r="G33" s="482">
        <v>0</v>
      </c>
      <c r="H33" s="482">
        <f>1082115-800000</f>
        <v>282115</v>
      </c>
      <c r="I33" s="482">
        <f>800000+145000</f>
        <v>945000</v>
      </c>
      <c r="J33" s="482">
        <v>0</v>
      </c>
      <c r="K33" s="483">
        <f aca="true" t="shared" si="3" ref="K33:K38">SUM(F33:J33)</f>
        <v>1227115</v>
      </c>
    </row>
    <row r="34" spans="2:11" s="477" customFormat="1" ht="23.25" customHeight="1">
      <c r="B34" s="478" t="s">
        <v>53</v>
      </c>
      <c r="C34" s="478"/>
      <c r="D34" s="479" t="s">
        <v>369</v>
      </c>
      <c r="E34" s="480" t="s">
        <v>358</v>
      </c>
      <c r="F34" s="482">
        <f>2802000+805087-500000</f>
        <v>3107087</v>
      </c>
      <c r="G34" s="482">
        <f>490350+124788-2317-77500</f>
        <v>535321</v>
      </c>
      <c r="H34" s="482">
        <v>290700</v>
      </c>
      <c r="I34" s="482">
        <v>0</v>
      </c>
      <c r="J34" s="482">
        <v>0</v>
      </c>
      <c r="K34" s="483">
        <f t="shared" si="3"/>
        <v>3933108</v>
      </c>
    </row>
    <row r="35" spans="2:11" s="477" customFormat="1" ht="33" customHeight="1">
      <c r="B35" s="478"/>
      <c r="C35" s="478"/>
      <c r="D35" s="479" t="s">
        <v>370</v>
      </c>
      <c r="E35" s="480" t="s">
        <v>656</v>
      </c>
      <c r="F35" s="482">
        <f>11931088+300000+2415261-3-5896-2800000</f>
        <v>11840450</v>
      </c>
      <c r="G35" s="482">
        <f>2122958+367133+374364-1-4730-434000</f>
        <v>2425724</v>
      </c>
      <c r="H35" s="482">
        <f>14446890-317500+144779+2954117-8000-500000-100000-2816535</f>
        <v>13803751</v>
      </c>
      <c r="I35" s="482">
        <f>304800-177800+700000+500000+100000</f>
        <v>1427000</v>
      </c>
      <c r="J35" s="482">
        <f>578000-578000</f>
        <v>0</v>
      </c>
      <c r="K35" s="483">
        <f t="shared" si="3"/>
        <v>29496925</v>
      </c>
    </row>
    <row r="36" spans="2:11" s="477" customFormat="1" ht="33" customHeight="1">
      <c r="B36" s="478"/>
      <c r="C36" s="478"/>
      <c r="D36" s="484" t="s">
        <v>371</v>
      </c>
      <c r="E36" s="485" t="s">
        <v>735</v>
      </c>
      <c r="F36" s="486">
        <f>1980314-775591</f>
        <v>1204723</v>
      </c>
      <c r="G36" s="486">
        <f>964502-377745</f>
        <v>586757</v>
      </c>
      <c r="H36" s="486">
        <f>7003586-2575544-21844</f>
        <v>4406198</v>
      </c>
      <c r="I36" s="486">
        <v>0</v>
      </c>
      <c r="J36" s="486">
        <v>0</v>
      </c>
      <c r="K36" s="487">
        <f t="shared" si="3"/>
        <v>6197678</v>
      </c>
    </row>
    <row r="37" spans="2:11" s="477" customFormat="1" ht="24.75" customHeight="1">
      <c r="B37" s="478"/>
      <c r="C37" s="478"/>
      <c r="D37" s="479" t="s">
        <v>372</v>
      </c>
      <c r="E37" s="480" t="s">
        <v>881</v>
      </c>
      <c r="F37" s="481">
        <f>241500+3</f>
        <v>241503</v>
      </c>
      <c r="G37" s="481">
        <f>37432+1</f>
        <v>37433</v>
      </c>
      <c r="H37" s="481">
        <f>8000</f>
        <v>8000</v>
      </c>
      <c r="I37" s="481">
        <v>0</v>
      </c>
      <c r="J37" s="482">
        <v>0</v>
      </c>
      <c r="K37" s="483">
        <f t="shared" si="3"/>
        <v>286936</v>
      </c>
    </row>
    <row r="38" spans="2:11" s="477" customFormat="1" ht="44.25" customHeight="1" thickBot="1">
      <c r="B38" s="478"/>
      <c r="C38" s="478"/>
      <c r="D38" s="484" t="s">
        <v>373</v>
      </c>
      <c r="E38" s="485" t="s">
        <v>681</v>
      </c>
      <c r="F38" s="486">
        <f>1800000+1000000</f>
        <v>2800000</v>
      </c>
      <c r="G38" s="486">
        <f>315000+13166+175000</f>
        <v>503166</v>
      </c>
      <c r="H38" s="486">
        <f>3527681-13166-1175000</f>
        <v>2339515</v>
      </c>
      <c r="I38" s="486">
        <v>0</v>
      </c>
      <c r="J38" s="486">
        <v>0</v>
      </c>
      <c r="K38" s="487">
        <f t="shared" si="3"/>
        <v>5642681</v>
      </c>
    </row>
    <row r="39" spans="1:14" s="488" customFormat="1" ht="24" customHeight="1" thickBot="1">
      <c r="A39" s="488">
        <v>999997</v>
      </c>
      <c r="B39" s="489"/>
      <c r="D39" s="490" t="s">
        <v>374</v>
      </c>
      <c r="E39" s="491" t="s">
        <v>341</v>
      </c>
      <c r="F39" s="492">
        <f aca="true" t="shared" si="4" ref="F39:K39">SUM(F32:F38)</f>
        <v>19193763</v>
      </c>
      <c r="G39" s="492">
        <f t="shared" si="4"/>
        <v>4088401</v>
      </c>
      <c r="H39" s="492">
        <f t="shared" si="4"/>
        <v>21130279</v>
      </c>
      <c r="I39" s="492">
        <f t="shared" si="4"/>
        <v>2372000</v>
      </c>
      <c r="J39" s="492">
        <f t="shared" si="4"/>
        <v>0</v>
      </c>
      <c r="K39" s="558">
        <f t="shared" si="4"/>
        <v>46784443</v>
      </c>
      <c r="L39" s="494">
        <f>SUM(F39:J39)</f>
        <v>46784443</v>
      </c>
      <c r="M39" s="495"/>
      <c r="N39" s="495"/>
    </row>
    <row r="42" ht="12">
      <c r="L42" s="430"/>
    </row>
  </sheetData>
  <sheetProtection/>
  <mergeCells count="10">
    <mergeCell ref="D4:K4"/>
    <mergeCell ref="D17:K17"/>
    <mergeCell ref="D32:K32"/>
    <mergeCell ref="C1:C4"/>
    <mergeCell ref="I1:K1"/>
    <mergeCell ref="D8:D11"/>
    <mergeCell ref="E8:E10"/>
    <mergeCell ref="F8:J8"/>
    <mergeCell ref="K8:K10"/>
    <mergeCell ref="D12:K1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A88"/>
  <sheetViews>
    <sheetView workbookViewId="0" topLeftCell="A1">
      <selection activeCell="G1" sqref="G1:M1"/>
    </sheetView>
  </sheetViews>
  <sheetFormatPr defaultColWidth="9.00390625" defaultRowHeight="12.75"/>
  <cols>
    <col min="1" max="1" width="7.75390625" style="92" customWidth="1"/>
    <col min="2" max="2" width="31.75390625" style="92" customWidth="1"/>
    <col min="3" max="3" width="14.375" style="92" customWidth="1"/>
    <col min="4" max="4" width="16.25390625" style="92" bestFit="1" customWidth="1"/>
    <col min="5" max="5" width="14.625" style="92" bestFit="1" customWidth="1"/>
    <col min="6" max="6" width="16.375" style="92" bestFit="1" customWidth="1"/>
    <col min="7" max="8" width="14.75390625" style="92" bestFit="1" customWidth="1"/>
    <col min="9" max="9" width="16.375" style="92" bestFit="1" customWidth="1"/>
    <col min="10" max="11" width="12.875" style="92" customWidth="1"/>
    <col min="12" max="12" width="15.00390625" style="92" customWidth="1"/>
    <col min="13" max="13" width="17.125" style="92" bestFit="1" customWidth="1"/>
    <col min="14" max="15" width="9.125" style="92" customWidth="1"/>
    <col min="16" max="16" width="13.00390625" style="92" bestFit="1" customWidth="1"/>
    <col min="17" max="16384" width="9.125" style="92" customWidth="1"/>
  </cols>
  <sheetData>
    <row r="1" spans="1:21" ht="12.75">
      <c r="A1" s="158"/>
      <c r="B1" s="159"/>
      <c r="C1" s="160"/>
      <c r="D1" s="160"/>
      <c r="E1" s="160"/>
      <c r="F1" s="160"/>
      <c r="G1" s="1032" t="s">
        <v>1056</v>
      </c>
      <c r="H1" s="1032"/>
      <c r="I1" s="1033"/>
      <c r="J1" s="1033"/>
      <c r="K1" s="1033"/>
      <c r="L1" s="1033"/>
      <c r="M1" s="1033"/>
      <c r="N1" s="159"/>
      <c r="O1" s="159"/>
      <c r="P1" s="159"/>
      <c r="Q1" s="159"/>
      <c r="R1" s="161"/>
      <c r="S1" s="161"/>
      <c r="T1" s="161"/>
      <c r="U1" s="159"/>
    </row>
    <row r="2" spans="1:21" ht="12.75">
      <c r="A2" s="158"/>
      <c r="B2" s="159"/>
      <c r="C2" s="160"/>
      <c r="D2" s="160"/>
      <c r="E2" s="160"/>
      <c r="F2" s="160"/>
      <c r="G2" s="162"/>
      <c r="H2" s="162"/>
      <c r="I2" s="163"/>
      <c r="J2" s="163"/>
      <c r="K2" s="163"/>
      <c r="L2" s="163"/>
      <c r="M2" s="163"/>
      <c r="N2" s="159"/>
      <c r="O2" s="159"/>
      <c r="P2" s="159"/>
      <c r="Q2" s="159"/>
      <c r="R2" s="161"/>
      <c r="S2" s="161"/>
      <c r="T2" s="161"/>
      <c r="U2" s="159"/>
    </row>
    <row r="3" spans="1:27" ht="15.75" customHeight="1">
      <c r="A3" s="1037" t="s">
        <v>744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</row>
    <row r="4" spans="1:27" ht="13.5" thickBot="1">
      <c r="A4" s="1037"/>
      <c r="B4" s="1037"/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</row>
    <row r="5" spans="1:27" ht="16.5" thickBot="1">
      <c r="A5" s="1025" t="s">
        <v>405</v>
      </c>
      <c r="B5" s="1022" t="s">
        <v>337</v>
      </c>
      <c r="C5" s="1028" t="s">
        <v>425</v>
      </c>
      <c r="D5" s="1028"/>
      <c r="E5" s="1028"/>
      <c r="F5" s="1028"/>
      <c r="G5" s="1028"/>
      <c r="H5" s="1028"/>
      <c r="I5" s="1028"/>
      <c r="J5" s="1028"/>
      <c r="K5" s="1028"/>
      <c r="L5" s="1028"/>
      <c r="M5" s="102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66"/>
    </row>
    <row r="6" spans="1:13" ht="12.75" customHeight="1">
      <c r="A6" s="1026"/>
      <c r="B6" s="1023"/>
      <c r="C6" s="1038" t="s">
        <v>426</v>
      </c>
      <c r="D6" s="1013" t="s">
        <v>427</v>
      </c>
      <c r="E6" s="1014"/>
      <c r="F6" s="1015"/>
      <c r="G6" s="1013" t="s">
        <v>428</v>
      </c>
      <c r="H6" s="1014"/>
      <c r="I6" s="1015"/>
      <c r="J6" s="1013" t="s">
        <v>429</v>
      </c>
      <c r="K6" s="1014"/>
      <c r="L6" s="1015"/>
      <c r="M6" s="1034" t="s">
        <v>345</v>
      </c>
    </row>
    <row r="7" spans="1:13" ht="12.75" customHeight="1">
      <c r="A7" s="1026"/>
      <c r="B7" s="1023"/>
      <c r="C7" s="1039"/>
      <c r="D7" s="1016"/>
      <c r="E7" s="1017"/>
      <c r="F7" s="1018"/>
      <c r="G7" s="1016"/>
      <c r="H7" s="1017"/>
      <c r="I7" s="1018"/>
      <c r="J7" s="1016"/>
      <c r="K7" s="1017"/>
      <c r="L7" s="1018"/>
      <c r="M7" s="1035"/>
    </row>
    <row r="8" spans="1:13" ht="24" customHeight="1" thickBot="1">
      <c r="A8" s="1027"/>
      <c r="B8" s="1024"/>
      <c r="C8" s="1040"/>
      <c r="D8" s="167" t="s">
        <v>83</v>
      </c>
      <c r="E8" s="168" t="s">
        <v>84</v>
      </c>
      <c r="F8" s="169" t="s">
        <v>88</v>
      </c>
      <c r="G8" s="170" t="s">
        <v>83</v>
      </c>
      <c r="H8" s="168" t="s">
        <v>84</v>
      </c>
      <c r="I8" s="169" t="s">
        <v>88</v>
      </c>
      <c r="J8" s="170" t="s">
        <v>83</v>
      </c>
      <c r="K8" s="168" t="s">
        <v>84</v>
      </c>
      <c r="L8" s="169" t="s">
        <v>88</v>
      </c>
      <c r="M8" s="1036"/>
    </row>
    <row r="9" spans="1:13" ht="29.25" customHeight="1">
      <c r="A9" s="171" t="s">
        <v>368</v>
      </c>
      <c r="B9" s="172" t="s">
        <v>58</v>
      </c>
      <c r="C9" s="173" t="s">
        <v>626</v>
      </c>
      <c r="D9" s="174">
        <f>80745240-70000+6600+1155+16823647+92377+6500+347826+52174+45939-45939+4615000+44564+30000+36836+710550+12040142-100000-4-2-20000+7744917+315900+48966-1400000-60+65000-65000+100000-100000</f>
        <v>122072328</v>
      </c>
      <c r="E9" s="175">
        <f>20000</f>
        <v>20000</v>
      </c>
      <c r="F9" s="176">
        <f>SUM(D9:E9)</f>
        <v>122092328</v>
      </c>
      <c r="G9" s="177"/>
      <c r="H9" s="497"/>
      <c r="I9" s="176">
        <f>SUM(G9:H9)</f>
        <v>0</v>
      </c>
      <c r="J9" s="178"/>
      <c r="K9" s="179"/>
      <c r="L9" s="176">
        <f>SUM(J9:K9)</f>
        <v>0</v>
      </c>
      <c r="M9" s="180">
        <f aca="true" t="shared" si="0" ref="M9:M53">SUM(F9+I9+L9)</f>
        <v>122092328</v>
      </c>
    </row>
    <row r="10" spans="1:13" ht="29.25" customHeight="1">
      <c r="A10" s="181" t="s">
        <v>369</v>
      </c>
      <c r="B10" s="795" t="s">
        <v>881</v>
      </c>
      <c r="C10" s="182"/>
      <c r="D10" s="174"/>
      <c r="E10" s="497"/>
      <c r="F10" s="176">
        <f>SUM(D10:E10)</f>
        <v>0</v>
      </c>
      <c r="G10" s="177">
        <f>278932+120750+18716+4+2</f>
        <v>418404</v>
      </c>
      <c r="H10" s="497"/>
      <c r="I10" s="176">
        <f>SUM(G10:H10)</f>
        <v>418404</v>
      </c>
      <c r="J10" s="178"/>
      <c r="K10" s="179"/>
      <c r="L10" s="176"/>
      <c r="M10" s="180">
        <f t="shared" si="0"/>
        <v>418404</v>
      </c>
    </row>
    <row r="11" spans="1:13" ht="29.25" customHeight="1">
      <c r="A11" s="181" t="s">
        <v>370</v>
      </c>
      <c r="B11" s="183" t="s">
        <v>55</v>
      </c>
      <c r="C11" s="182" t="s">
        <v>616</v>
      </c>
      <c r="D11" s="174">
        <f>69965834-4779000+308085+1143000+9534431+200000+1505094+306250+77000-77000</f>
        <v>78183694</v>
      </c>
      <c r="E11" s="175">
        <f>5000000+449520+8794813+4790554-5098639+4700000+63900+79700-79700-5000000</f>
        <v>13700148</v>
      </c>
      <c r="F11" s="176">
        <f aca="true" t="shared" si="1" ref="F11:F53">SUM(D11:E11)</f>
        <v>91883842</v>
      </c>
      <c r="G11" s="177">
        <f>12645870-54000+500000+123000</f>
        <v>13214870</v>
      </c>
      <c r="H11" s="175">
        <f>447341169-13005804+22387266+2197500+5000000-5000000</f>
        <v>458920131</v>
      </c>
      <c r="I11" s="176">
        <f aca="true" t="shared" si="2" ref="I11:I53">SUM(G11:H11)</f>
        <v>472135001</v>
      </c>
      <c r="J11" s="178"/>
      <c r="K11" s="179"/>
      <c r="L11" s="176">
        <f aca="true" t="shared" si="3" ref="L11:L53">SUM(J11:K11)</f>
        <v>0</v>
      </c>
      <c r="M11" s="180">
        <f t="shared" si="0"/>
        <v>564018843</v>
      </c>
    </row>
    <row r="12" spans="1:13" ht="29.25" customHeight="1">
      <c r="A12" s="181" t="s">
        <v>371</v>
      </c>
      <c r="B12" s="428" t="s">
        <v>352</v>
      </c>
      <c r="C12" s="182"/>
      <c r="D12" s="174"/>
      <c r="E12" s="175"/>
      <c r="F12" s="176">
        <f t="shared" si="1"/>
        <v>0</v>
      </c>
      <c r="G12" s="177">
        <f>311347+21844</f>
        <v>333191</v>
      </c>
      <c r="H12" s="175"/>
      <c r="I12" s="176">
        <f t="shared" si="2"/>
        <v>333191</v>
      </c>
      <c r="J12" s="178"/>
      <c r="K12" s="179"/>
      <c r="L12" s="176">
        <f t="shared" si="3"/>
        <v>0</v>
      </c>
      <c r="M12" s="180">
        <f t="shared" si="0"/>
        <v>333191</v>
      </c>
    </row>
    <row r="13" spans="1:13" ht="29.25" customHeight="1">
      <c r="A13" s="181" t="s">
        <v>372</v>
      </c>
      <c r="B13" s="428" t="s">
        <v>874</v>
      </c>
      <c r="C13" s="176" t="s">
        <v>657</v>
      </c>
      <c r="D13" s="174">
        <f>36263474+132767</f>
        <v>36396241</v>
      </c>
      <c r="E13" s="175"/>
      <c r="F13" s="176">
        <f t="shared" si="1"/>
        <v>36396241</v>
      </c>
      <c r="G13" s="177"/>
      <c r="H13" s="175"/>
      <c r="I13" s="176">
        <f t="shared" si="2"/>
        <v>0</v>
      </c>
      <c r="J13" s="178"/>
      <c r="K13" s="179"/>
      <c r="L13" s="176">
        <f t="shared" si="3"/>
        <v>0</v>
      </c>
      <c r="M13" s="180">
        <f t="shared" si="0"/>
        <v>36396241</v>
      </c>
    </row>
    <row r="14" spans="1:13" ht="21.75" customHeight="1">
      <c r="A14" s="181" t="s">
        <v>373</v>
      </c>
      <c r="B14" s="198" t="s">
        <v>543</v>
      </c>
      <c r="C14" s="176" t="s">
        <v>657</v>
      </c>
      <c r="D14" s="185">
        <f>19299537+558233+13208+23067958</f>
        <v>42938936</v>
      </c>
      <c r="E14" s="499"/>
      <c r="F14" s="176">
        <f t="shared" si="1"/>
        <v>42938936</v>
      </c>
      <c r="G14" s="503"/>
      <c r="H14" s="499"/>
      <c r="I14" s="176">
        <f t="shared" si="2"/>
        <v>0</v>
      </c>
      <c r="J14" s="188"/>
      <c r="K14" s="189"/>
      <c r="L14" s="176">
        <f t="shared" si="3"/>
        <v>0</v>
      </c>
      <c r="M14" s="180">
        <f t="shared" si="0"/>
        <v>42938936</v>
      </c>
    </row>
    <row r="15" spans="1:13" ht="21.75" customHeight="1">
      <c r="A15" s="181" t="s">
        <v>374</v>
      </c>
      <c r="B15" s="428" t="s">
        <v>878</v>
      </c>
      <c r="C15" s="176"/>
      <c r="D15" s="174">
        <f>100000</f>
        <v>100000</v>
      </c>
      <c r="E15" s="497"/>
      <c r="F15" s="176">
        <f t="shared" si="1"/>
        <v>100000</v>
      </c>
      <c r="G15" s="177">
        <f>15000+15000</f>
        <v>30000</v>
      </c>
      <c r="H15" s="497"/>
      <c r="I15" s="176">
        <f t="shared" si="2"/>
        <v>30000</v>
      </c>
      <c r="J15" s="178"/>
      <c r="K15" s="179"/>
      <c r="L15" s="176">
        <f t="shared" si="3"/>
        <v>0</v>
      </c>
      <c r="M15" s="180">
        <f t="shared" si="0"/>
        <v>130000</v>
      </c>
    </row>
    <row r="16" spans="1:13" ht="29.25" customHeight="1">
      <c r="A16" s="181" t="s">
        <v>375</v>
      </c>
      <c r="B16" s="183" t="s">
        <v>63</v>
      </c>
      <c r="C16" s="176" t="s">
        <v>757</v>
      </c>
      <c r="D16" s="496"/>
      <c r="E16" s="497"/>
      <c r="F16" s="176">
        <f t="shared" si="1"/>
        <v>0</v>
      </c>
      <c r="G16" s="502"/>
      <c r="H16" s="497"/>
      <c r="I16" s="176">
        <f t="shared" si="2"/>
        <v>0</v>
      </c>
      <c r="J16" s="178">
        <f>12311385-3606983</f>
        <v>8704402</v>
      </c>
      <c r="K16" s="179"/>
      <c r="L16" s="176">
        <f t="shared" si="3"/>
        <v>8704402</v>
      </c>
      <c r="M16" s="180">
        <f t="shared" si="0"/>
        <v>8704402</v>
      </c>
    </row>
    <row r="17" spans="1:13" ht="29.25" customHeight="1">
      <c r="A17" s="181" t="s">
        <v>376</v>
      </c>
      <c r="B17" s="183" t="s">
        <v>649</v>
      </c>
      <c r="C17" s="182" t="s">
        <v>758</v>
      </c>
      <c r="D17" s="174">
        <f>4016545+11080125+969525+4441343+3163+61586+55947+352049</f>
        <v>20980283</v>
      </c>
      <c r="E17" s="175">
        <f>190500</f>
        <v>190500</v>
      </c>
      <c r="F17" s="176">
        <f t="shared" si="1"/>
        <v>21170783</v>
      </c>
      <c r="G17" s="502"/>
      <c r="H17" s="497"/>
      <c r="I17" s="176">
        <f t="shared" si="2"/>
        <v>0</v>
      </c>
      <c r="J17" s="178"/>
      <c r="K17" s="179"/>
      <c r="L17" s="176">
        <f t="shared" si="3"/>
        <v>0</v>
      </c>
      <c r="M17" s="180">
        <f t="shared" si="0"/>
        <v>21170783</v>
      </c>
    </row>
    <row r="18" spans="1:13" ht="29.25" customHeight="1">
      <c r="A18" s="181" t="s">
        <v>377</v>
      </c>
      <c r="B18" s="183" t="s">
        <v>650</v>
      </c>
      <c r="C18" s="182" t="s">
        <v>758</v>
      </c>
      <c r="D18" s="174">
        <f>13227888+23197320+2029806+1310301+81181+4891800+428040+267157+57150+570710+44233+61267+34000+5270+149896</f>
        <v>46356019</v>
      </c>
      <c r="E18" s="175">
        <f>74295-57150</f>
        <v>17145</v>
      </c>
      <c r="F18" s="176">
        <f t="shared" si="1"/>
        <v>46373164</v>
      </c>
      <c r="G18" s="502"/>
      <c r="H18" s="497"/>
      <c r="I18" s="176">
        <f t="shared" si="2"/>
        <v>0</v>
      </c>
      <c r="J18" s="178"/>
      <c r="K18" s="179"/>
      <c r="L18" s="176">
        <f t="shared" si="3"/>
        <v>0</v>
      </c>
      <c r="M18" s="180">
        <f t="shared" si="0"/>
        <v>46373164</v>
      </c>
    </row>
    <row r="19" spans="1:13" ht="29.25" customHeight="1">
      <c r="A19" s="181" t="s">
        <v>378</v>
      </c>
      <c r="B19" s="428" t="s">
        <v>922</v>
      </c>
      <c r="C19" s="182"/>
      <c r="D19" s="174"/>
      <c r="E19" s="175"/>
      <c r="F19" s="176">
        <f t="shared" si="1"/>
        <v>0</v>
      </c>
      <c r="G19" s="177">
        <f>8285000+2265477</f>
        <v>10550477</v>
      </c>
      <c r="H19" s="497"/>
      <c r="I19" s="176">
        <f t="shared" si="2"/>
        <v>10550477</v>
      </c>
      <c r="J19" s="178"/>
      <c r="K19" s="179"/>
      <c r="L19" s="176">
        <f t="shared" si="3"/>
        <v>0</v>
      </c>
      <c r="M19" s="180">
        <f t="shared" si="0"/>
        <v>10550477</v>
      </c>
    </row>
    <row r="20" spans="1:13" ht="29.25" customHeight="1">
      <c r="A20" s="184" t="s">
        <v>379</v>
      </c>
      <c r="B20" s="183" t="s">
        <v>334</v>
      </c>
      <c r="C20" s="182" t="s">
        <v>617</v>
      </c>
      <c r="D20" s="174">
        <f>15377340-436880</f>
        <v>14940460</v>
      </c>
      <c r="E20" s="175">
        <f>363120+436880+19846252</f>
        <v>20646252</v>
      </c>
      <c r="F20" s="176">
        <f t="shared" si="1"/>
        <v>35586712</v>
      </c>
      <c r="G20" s="502"/>
      <c r="H20" s="497"/>
      <c r="I20" s="176">
        <f t="shared" si="2"/>
        <v>0</v>
      </c>
      <c r="J20" s="178"/>
      <c r="K20" s="179"/>
      <c r="L20" s="176">
        <f t="shared" si="3"/>
        <v>0</v>
      </c>
      <c r="M20" s="180">
        <f t="shared" si="0"/>
        <v>35586712</v>
      </c>
    </row>
    <row r="21" spans="1:13" ht="29.25" customHeight="1">
      <c r="A21" s="181" t="s">
        <v>380</v>
      </c>
      <c r="B21" s="183" t="s">
        <v>65</v>
      </c>
      <c r="C21" s="182" t="s">
        <v>618</v>
      </c>
      <c r="D21" s="174">
        <f>5249710+366000</f>
        <v>5615710</v>
      </c>
      <c r="E21" s="175">
        <f>101682090-3817843-5373648-366000+6795254-12040142</f>
        <v>86879711</v>
      </c>
      <c r="F21" s="176">
        <f t="shared" si="1"/>
        <v>92495421</v>
      </c>
      <c r="G21" s="502"/>
      <c r="H21" s="497"/>
      <c r="I21" s="176">
        <f t="shared" si="2"/>
        <v>0</v>
      </c>
      <c r="J21" s="178"/>
      <c r="K21" s="179"/>
      <c r="L21" s="176">
        <f t="shared" si="3"/>
        <v>0</v>
      </c>
      <c r="M21" s="180">
        <f t="shared" si="0"/>
        <v>92495421</v>
      </c>
    </row>
    <row r="22" spans="1:13" ht="29.25" customHeight="1">
      <c r="A22" s="181" t="s">
        <v>381</v>
      </c>
      <c r="B22" s="183" t="s">
        <v>686</v>
      </c>
      <c r="C22" s="182"/>
      <c r="D22" s="174"/>
      <c r="E22" s="175"/>
      <c r="F22" s="176">
        <f t="shared" si="1"/>
        <v>0</v>
      </c>
      <c r="G22" s="177">
        <f>4571244+40000</f>
        <v>4611244</v>
      </c>
      <c r="H22" s="175">
        <f>187978206-911000-7744917</f>
        <v>179322289</v>
      </c>
      <c r="I22" s="176">
        <f t="shared" si="2"/>
        <v>183933533</v>
      </c>
      <c r="J22" s="178"/>
      <c r="K22" s="179"/>
      <c r="L22" s="176">
        <f t="shared" si="3"/>
        <v>0</v>
      </c>
      <c r="M22" s="180">
        <f t="shared" si="0"/>
        <v>183933533</v>
      </c>
    </row>
    <row r="23" spans="1:13" ht="30.75" customHeight="1">
      <c r="A23" s="181" t="s">
        <v>382</v>
      </c>
      <c r="B23" s="183" t="s">
        <v>50</v>
      </c>
      <c r="C23" s="182" t="s">
        <v>619</v>
      </c>
      <c r="D23" s="185">
        <v>3416864</v>
      </c>
      <c r="E23" s="499"/>
      <c r="F23" s="176">
        <f t="shared" si="1"/>
        <v>3416864</v>
      </c>
      <c r="G23" s="503"/>
      <c r="H23" s="499"/>
      <c r="I23" s="176">
        <f t="shared" si="2"/>
        <v>0</v>
      </c>
      <c r="J23" s="188"/>
      <c r="K23" s="189"/>
      <c r="L23" s="176">
        <f t="shared" si="3"/>
        <v>0</v>
      </c>
      <c r="M23" s="180">
        <f t="shared" si="0"/>
        <v>3416864</v>
      </c>
    </row>
    <row r="24" spans="1:13" ht="31.5" customHeight="1">
      <c r="A24" s="181" t="s">
        <v>383</v>
      </c>
      <c r="B24" s="183" t="s">
        <v>350</v>
      </c>
      <c r="C24" s="182" t="s">
        <v>620</v>
      </c>
      <c r="D24" s="185">
        <f>9798424+736851</f>
        <v>10535275</v>
      </c>
      <c r="E24" s="186">
        <f>1000000-736851</f>
        <v>263149</v>
      </c>
      <c r="F24" s="176">
        <f t="shared" si="1"/>
        <v>10798424</v>
      </c>
      <c r="G24" s="503"/>
      <c r="H24" s="499"/>
      <c r="I24" s="176">
        <f t="shared" si="2"/>
        <v>0</v>
      </c>
      <c r="J24" s="188"/>
      <c r="K24" s="189"/>
      <c r="L24" s="176">
        <f t="shared" si="3"/>
        <v>0</v>
      </c>
      <c r="M24" s="180">
        <f t="shared" si="0"/>
        <v>10798424</v>
      </c>
    </row>
    <row r="25" spans="1:13" ht="31.5" customHeight="1">
      <c r="A25" s="181" t="s">
        <v>384</v>
      </c>
      <c r="B25" s="183" t="s">
        <v>687</v>
      </c>
      <c r="C25" s="182" t="s">
        <v>759</v>
      </c>
      <c r="D25" s="185">
        <f>4276480+33191447+110-3261523-27230-1638300</f>
        <v>32540984</v>
      </c>
      <c r="E25" s="186">
        <f>1940000+5000000+27230+1638300</f>
        <v>8605530</v>
      </c>
      <c r="F25" s="176">
        <f t="shared" si="1"/>
        <v>41146514</v>
      </c>
      <c r="G25" s="503"/>
      <c r="H25" s="499"/>
      <c r="I25" s="176">
        <f t="shared" si="2"/>
        <v>0</v>
      </c>
      <c r="J25" s="188"/>
      <c r="K25" s="189"/>
      <c r="L25" s="176">
        <f t="shared" si="3"/>
        <v>0</v>
      </c>
      <c r="M25" s="180">
        <f t="shared" si="0"/>
        <v>41146514</v>
      </c>
    </row>
    <row r="26" spans="1:13" ht="31.5" customHeight="1">
      <c r="A26" s="181" t="s">
        <v>385</v>
      </c>
      <c r="B26" s="183" t="s">
        <v>688</v>
      </c>
      <c r="C26" s="182" t="s">
        <v>618</v>
      </c>
      <c r="D26" s="185">
        <f>1377000+726390-726390</f>
        <v>1377000</v>
      </c>
      <c r="E26" s="186">
        <f>21830061+829010</f>
        <v>22659071</v>
      </c>
      <c r="F26" s="176">
        <f t="shared" si="1"/>
        <v>24036071</v>
      </c>
      <c r="G26" s="503"/>
      <c r="H26" s="499"/>
      <c r="I26" s="176">
        <f t="shared" si="2"/>
        <v>0</v>
      </c>
      <c r="J26" s="188"/>
      <c r="K26" s="189"/>
      <c r="L26" s="176">
        <f t="shared" si="3"/>
        <v>0</v>
      </c>
      <c r="M26" s="180">
        <f t="shared" si="0"/>
        <v>24036071</v>
      </c>
    </row>
    <row r="27" spans="1:13" ht="31.5" customHeight="1">
      <c r="A27" s="181" t="s">
        <v>386</v>
      </c>
      <c r="B27" s="183" t="s">
        <v>731</v>
      </c>
      <c r="C27" s="182"/>
      <c r="D27" s="185"/>
      <c r="E27" s="186"/>
      <c r="F27" s="176">
        <f t="shared" si="1"/>
        <v>0</v>
      </c>
      <c r="G27" s="187">
        <f>1044000+164430+640554-254000+9570-9570</f>
        <v>1594984</v>
      </c>
      <c r="H27" s="186">
        <f>973100-755546</f>
        <v>217554</v>
      </c>
      <c r="I27" s="176">
        <f t="shared" si="2"/>
        <v>1812538</v>
      </c>
      <c r="J27" s="188"/>
      <c r="K27" s="189"/>
      <c r="L27" s="176">
        <f t="shared" si="3"/>
        <v>0</v>
      </c>
      <c r="M27" s="180">
        <f t="shared" si="0"/>
        <v>1812538</v>
      </c>
    </row>
    <row r="28" spans="1:13" ht="31.5" customHeight="1">
      <c r="A28" s="181" t="s">
        <v>387</v>
      </c>
      <c r="B28" s="183" t="s">
        <v>689</v>
      </c>
      <c r="C28" s="193" t="s">
        <v>760</v>
      </c>
      <c r="D28" s="185">
        <f>609406+143206+4667808</f>
        <v>5420420</v>
      </c>
      <c r="E28" s="186">
        <f>19510500+91442680+863600-1730500-17780000+28000+5270000</f>
        <v>97604280</v>
      </c>
      <c r="F28" s="176">
        <f t="shared" si="1"/>
        <v>103024700</v>
      </c>
      <c r="G28" s="503"/>
      <c r="H28" s="186"/>
      <c r="I28" s="176">
        <f t="shared" si="2"/>
        <v>0</v>
      </c>
      <c r="J28" s="188"/>
      <c r="K28" s="189"/>
      <c r="L28" s="176">
        <f t="shared" si="3"/>
        <v>0</v>
      </c>
      <c r="M28" s="180">
        <f t="shared" si="0"/>
        <v>103024700</v>
      </c>
    </row>
    <row r="29" spans="1:13" ht="21.75" customHeight="1">
      <c r="A29" s="181" t="s">
        <v>388</v>
      </c>
      <c r="B29" s="198" t="s">
        <v>652</v>
      </c>
      <c r="C29" s="193" t="s">
        <v>761</v>
      </c>
      <c r="D29" s="185">
        <v>416194</v>
      </c>
      <c r="E29" s="186">
        <f>6759599-3134972+66600-66600</f>
        <v>3624627</v>
      </c>
      <c r="F29" s="176">
        <f t="shared" si="1"/>
        <v>4040821</v>
      </c>
      <c r="G29" s="503"/>
      <c r="H29" s="499"/>
      <c r="I29" s="176">
        <f t="shared" si="2"/>
        <v>0</v>
      </c>
      <c r="J29" s="188"/>
      <c r="K29" s="189"/>
      <c r="L29" s="176">
        <f t="shared" si="3"/>
        <v>0</v>
      </c>
      <c r="M29" s="180">
        <f t="shared" si="0"/>
        <v>4040821</v>
      </c>
    </row>
    <row r="30" spans="1:13" ht="21.75" customHeight="1">
      <c r="A30" s="181" t="s">
        <v>389</v>
      </c>
      <c r="B30" s="198" t="s">
        <v>353</v>
      </c>
      <c r="C30" s="193" t="s">
        <v>617</v>
      </c>
      <c r="D30" s="185">
        <f>24094440+414268</f>
        <v>24508708</v>
      </c>
      <c r="E30" s="186">
        <v>2794000</v>
      </c>
      <c r="F30" s="176">
        <f t="shared" si="1"/>
        <v>27302708</v>
      </c>
      <c r="G30" s="503"/>
      <c r="H30" s="499"/>
      <c r="I30" s="176">
        <f t="shared" si="2"/>
        <v>0</v>
      </c>
      <c r="J30" s="188"/>
      <c r="K30" s="189"/>
      <c r="L30" s="176">
        <f t="shared" si="3"/>
        <v>0</v>
      </c>
      <c r="M30" s="180">
        <f t="shared" si="0"/>
        <v>27302708</v>
      </c>
    </row>
    <row r="31" spans="1:13" ht="21.75" customHeight="1">
      <c r="A31" s="181" t="s">
        <v>430</v>
      </c>
      <c r="B31" s="198" t="s">
        <v>351</v>
      </c>
      <c r="C31" s="193" t="s">
        <v>617</v>
      </c>
      <c r="D31" s="185">
        <f>34917000-1444000+325148</f>
        <v>33798148</v>
      </c>
      <c r="E31" s="186"/>
      <c r="F31" s="176">
        <f t="shared" si="1"/>
        <v>33798148</v>
      </c>
      <c r="G31" s="503"/>
      <c r="H31" s="499"/>
      <c r="I31" s="176">
        <f t="shared" si="2"/>
        <v>0</v>
      </c>
      <c r="J31" s="188"/>
      <c r="K31" s="189"/>
      <c r="L31" s="176">
        <f t="shared" si="3"/>
        <v>0</v>
      </c>
      <c r="M31" s="180">
        <f t="shared" si="0"/>
        <v>33798148</v>
      </c>
    </row>
    <row r="32" spans="1:13" ht="22.5" customHeight="1">
      <c r="A32" s="181" t="s">
        <v>431</v>
      </c>
      <c r="B32" s="198" t="s">
        <v>81</v>
      </c>
      <c r="C32" s="588" t="s">
        <v>762</v>
      </c>
      <c r="D32" s="185">
        <f>25000+3938+14028933-1454446+14018000-6364000-3280000+38197+401078+382588+349267-3000+998220+210000-369750+5000000</f>
        <v>23984025</v>
      </c>
      <c r="E32" s="186">
        <f>3348220+2000000-998220+3261523+668586</f>
        <v>8280109</v>
      </c>
      <c r="F32" s="176">
        <f t="shared" si="1"/>
        <v>32264134</v>
      </c>
      <c r="G32" s="187">
        <f>1454446</f>
        <v>1454446</v>
      </c>
      <c r="H32" s="186">
        <v>2500000</v>
      </c>
      <c r="I32" s="176">
        <f t="shared" si="2"/>
        <v>3954446</v>
      </c>
      <c r="J32" s="188"/>
      <c r="K32" s="189"/>
      <c r="L32" s="176">
        <f t="shared" si="3"/>
        <v>0</v>
      </c>
      <c r="M32" s="180">
        <f t="shared" si="0"/>
        <v>36218580</v>
      </c>
    </row>
    <row r="33" spans="1:13" ht="23.25" customHeight="1">
      <c r="A33" s="181" t="s">
        <v>432</v>
      </c>
      <c r="B33" s="198" t="s">
        <v>355</v>
      </c>
      <c r="C33" s="193" t="s">
        <v>763</v>
      </c>
      <c r="D33" s="185">
        <v>360000</v>
      </c>
      <c r="E33" s="499"/>
      <c r="F33" s="176">
        <f t="shared" si="1"/>
        <v>360000</v>
      </c>
      <c r="G33" s="503"/>
      <c r="H33" s="499"/>
      <c r="I33" s="176">
        <f t="shared" si="2"/>
        <v>0</v>
      </c>
      <c r="J33" s="188"/>
      <c r="K33" s="189"/>
      <c r="L33" s="176">
        <f t="shared" si="3"/>
        <v>0</v>
      </c>
      <c r="M33" s="180">
        <f t="shared" si="0"/>
        <v>360000</v>
      </c>
    </row>
    <row r="34" spans="1:13" ht="22.5" customHeight="1">
      <c r="A34" s="181" t="s">
        <v>421</v>
      </c>
      <c r="B34" s="198" t="s">
        <v>356</v>
      </c>
      <c r="C34" s="193" t="s">
        <v>763</v>
      </c>
      <c r="D34" s="185">
        <f>27644450+492+2513</f>
        <v>27647455</v>
      </c>
      <c r="E34" s="186"/>
      <c r="F34" s="176">
        <f t="shared" si="1"/>
        <v>27647455</v>
      </c>
      <c r="G34" s="503"/>
      <c r="H34" s="499"/>
      <c r="I34" s="176">
        <f t="shared" si="2"/>
        <v>0</v>
      </c>
      <c r="J34" s="188"/>
      <c r="K34" s="189"/>
      <c r="L34" s="176">
        <f t="shared" si="3"/>
        <v>0</v>
      </c>
      <c r="M34" s="180">
        <f t="shared" si="0"/>
        <v>27647455</v>
      </c>
    </row>
    <row r="35" spans="1:13" ht="22.5" customHeight="1">
      <c r="A35" s="181" t="s">
        <v>433</v>
      </c>
      <c r="B35" s="198" t="s">
        <v>357</v>
      </c>
      <c r="C35" s="193" t="s">
        <v>621</v>
      </c>
      <c r="D35" s="185">
        <f>120000+2626200+2307500+2324200</f>
        <v>7377900</v>
      </c>
      <c r="E35" s="499"/>
      <c r="F35" s="176">
        <f t="shared" si="1"/>
        <v>7377900</v>
      </c>
      <c r="G35" s="503"/>
      <c r="H35" s="499"/>
      <c r="I35" s="176">
        <f t="shared" si="2"/>
        <v>0</v>
      </c>
      <c r="J35" s="188"/>
      <c r="K35" s="189"/>
      <c r="L35" s="176">
        <f t="shared" si="3"/>
        <v>0</v>
      </c>
      <c r="M35" s="180">
        <f t="shared" si="0"/>
        <v>7377900</v>
      </c>
    </row>
    <row r="36" spans="1:13" ht="29.25" customHeight="1">
      <c r="A36" s="181" t="s">
        <v>390</v>
      </c>
      <c r="B36" s="183" t="s">
        <v>628</v>
      </c>
      <c r="C36" s="182" t="s">
        <v>763</v>
      </c>
      <c r="D36" s="185">
        <f>27396716+4793101+2949420+2500000+387500+50000</f>
        <v>38076737</v>
      </c>
      <c r="E36" s="186">
        <v>190500</v>
      </c>
      <c r="F36" s="176">
        <f t="shared" si="1"/>
        <v>38267237</v>
      </c>
      <c r="G36" s="503"/>
      <c r="H36" s="499"/>
      <c r="I36" s="176">
        <f t="shared" si="2"/>
        <v>0</v>
      </c>
      <c r="J36" s="188"/>
      <c r="K36" s="189"/>
      <c r="L36" s="176">
        <f t="shared" si="3"/>
        <v>0</v>
      </c>
      <c r="M36" s="180">
        <f t="shared" si="0"/>
        <v>38267237</v>
      </c>
    </row>
    <row r="37" spans="1:13" ht="29.25" customHeight="1">
      <c r="A37" s="181" t="s">
        <v>391</v>
      </c>
      <c r="B37" s="428" t="s">
        <v>799</v>
      </c>
      <c r="C37" s="176" t="s">
        <v>801</v>
      </c>
      <c r="D37" s="185">
        <f>600000+1275000+17500</f>
        <v>1892500</v>
      </c>
      <c r="E37" s="186">
        <f>400000+100000</f>
        <v>500000</v>
      </c>
      <c r="F37" s="176">
        <f t="shared" si="1"/>
        <v>2392500</v>
      </c>
      <c r="G37" s="503"/>
      <c r="H37" s="499"/>
      <c r="I37" s="176">
        <f t="shared" si="2"/>
        <v>0</v>
      </c>
      <c r="J37" s="188"/>
      <c r="K37" s="189"/>
      <c r="L37" s="176">
        <f t="shared" si="3"/>
        <v>0</v>
      </c>
      <c r="M37" s="180">
        <f t="shared" si="0"/>
        <v>2392500</v>
      </c>
    </row>
    <row r="38" spans="1:13" ht="29.25" customHeight="1">
      <c r="A38" s="181" t="s">
        <v>392</v>
      </c>
      <c r="B38" s="190" t="s">
        <v>80</v>
      </c>
      <c r="C38" s="176" t="s">
        <v>622</v>
      </c>
      <c r="D38" s="185">
        <f>16949000+1500000-1500000</f>
        <v>16949000</v>
      </c>
      <c r="E38" s="499"/>
      <c r="F38" s="176">
        <f t="shared" si="1"/>
        <v>16949000</v>
      </c>
      <c r="G38" s="504"/>
      <c r="H38" s="186"/>
      <c r="I38" s="176">
        <f t="shared" si="2"/>
        <v>0</v>
      </c>
      <c r="J38" s="188"/>
      <c r="K38" s="189"/>
      <c r="L38" s="176">
        <f t="shared" si="3"/>
        <v>0</v>
      </c>
      <c r="M38" s="180">
        <f t="shared" si="0"/>
        <v>16949000</v>
      </c>
    </row>
    <row r="39" spans="1:13" ht="30.75" customHeight="1">
      <c r="A39" s="181" t="s">
        <v>434</v>
      </c>
      <c r="B39" s="204" t="s">
        <v>531</v>
      </c>
      <c r="C39" s="176"/>
      <c r="D39" s="498"/>
      <c r="E39" s="499"/>
      <c r="F39" s="176">
        <f t="shared" si="1"/>
        <v>0</v>
      </c>
      <c r="G39" s="192">
        <f>80000+38963+1830220+31383-878586</f>
        <v>1101980</v>
      </c>
      <c r="H39" s="186">
        <f>730250-730250</f>
        <v>0</v>
      </c>
      <c r="I39" s="176">
        <f t="shared" si="2"/>
        <v>1101980</v>
      </c>
      <c r="J39" s="188"/>
      <c r="K39" s="189"/>
      <c r="L39" s="176">
        <f t="shared" si="3"/>
        <v>0</v>
      </c>
      <c r="M39" s="180">
        <f t="shared" si="0"/>
        <v>1101980</v>
      </c>
    </row>
    <row r="40" spans="1:13" ht="23.25" customHeight="1">
      <c r="A40" s="181" t="s">
        <v>393</v>
      </c>
      <c r="B40" s="183" t="s">
        <v>82</v>
      </c>
      <c r="C40" s="197"/>
      <c r="D40" s="500"/>
      <c r="E40" s="501"/>
      <c r="F40" s="176">
        <f t="shared" si="1"/>
        <v>0</v>
      </c>
      <c r="G40" s="196">
        <v>73660</v>
      </c>
      <c r="H40" s="501"/>
      <c r="I40" s="176">
        <f t="shared" si="2"/>
        <v>73660</v>
      </c>
      <c r="J40" s="188"/>
      <c r="K40" s="189"/>
      <c r="L40" s="176">
        <f t="shared" si="3"/>
        <v>0</v>
      </c>
      <c r="M40" s="180">
        <f t="shared" si="0"/>
        <v>73660</v>
      </c>
    </row>
    <row r="41" spans="1:13" ht="23.25" customHeight="1">
      <c r="A41" s="181" t="s">
        <v>408</v>
      </c>
      <c r="B41" s="183" t="s">
        <v>717</v>
      </c>
      <c r="C41" s="197"/>
      <c r="D41" s="500"/>
      <c r="E41" s="501"/>
      <c r="F41" s="176">
        <f t="shared" si="1"/>
        <v>0</v>
      </c>
      <c r="G41" s="196">
        <f>12229669+55552</f>
        <v>12285221</v>
      </c>
      <c r="H41" s="195"/>
      <c r="I41" s="176">
        <f t="shared" si="2"/>
        <v>12285221</v>
      </c>
      <c r="J41" s="188"/>
      <c r="K41" s="189"/>
      <c r="L41" s="176">
        <f t="shared" si="3"/>
        <v>0</v>
      </c>
      <c r="M41" s="180">
        <f t="shared" si="0"/>
        <v>12285221</v>
      </c>
    </row>
    <row r="42" spans="1:13" ht="23.25" customHeight="1">
      <c r="A42" s="181" t="s">
        <v>435</v>
      </c>
      <c r="B42" s="183" t="s">
        <v>691</v>
      </c>
      <c r="C42" s="176" t="s">
        <v>627</v>
      </c>
      <c r="D42" s="500"/>
      <c r="E42" s="195">
        <v>31599998</v>
      </c>
      <c r="F42" s="176">
        <f t="shared" si="1"/>
        <v>31599998</v>
      </c>
      <c r="G42" s="196"/>
      <c r="H42" s="501"/>
      <c r="I42" s="176">
        <f t="shared" si="2"/>
        <v>0</v>
      </c>
      <c r="J42" s="188"/>
      <c r="K42" s="189"/>
      <c r="L42" s="176">
        <f t="shared" si="3"/>
        <v>0</v>
      </c>
      <c r="M42" s="180">
        <f t="shared" si="0"/>
        <v>31599998</v>
      </c>
    </row>
    <row r="43" spans="1:13" ht="23.25" customHeight="1">
      <c r="A43" s="181" t="s">
        <v>436</v>
      </c>
      <c r="B43" s="183" t="s">
        <v>692</v>
      </c>
      <c r="C43" s="197"/>
      <c r="D43" s="500"/>
      <c r="E43" s="195"/>
      <c r="F43" s="176">
        <f t="shared" si="1"/>
        <v>0</v>
      </c>
      <c r="G43" s="196">
        <f>12302209+5000000+875000+18063936-10911298+575000+128625</f>
        <v>26033472</v>
      </c>
      <c r="H43" s="501"/>
      <c r="I43" s="176">
        <f t="shared" si="2"/>
        <v>26033472</v>
      </c>
      <c r="J43" s="188"/>
      <c r="K43" s="189"/>
      <c r="L43" s="176">
        <f t="shared" si="3"/>
        <v>0</v>
      </c>
      <c r="M43" s="180">
        <f t="shared" si="0"/>
        <v>26033472</v>
      </c>
    </row>
    <row r="44" spans="1:13" ht="24" customHeight="1">
      <c r="A44" s="181" t="s">
        <v>697</v>
      </c>
      <c r="B44" s="183" t="s">
        <v>549</v>
      </c>
      <c r="C44" s="191" t="s">
        <v>764</v>
      </c>
      <c r="D44" s="194">
        <f>2543600+445130+57876511+1012863</f>
        <v>61878104</v>
      </c>
      <c r="E44" s="195">
        <v>74930</v>
      </c>
      <c r="F44" s="176">
        <f t="shared" si="1"/>
        <v>61953034</v>
      </c>
      <c r="G44" s="505"/>
      <c r="H44" s="501"/>
      <c r="I44" s="176">
        <f t="shared" si="2"/>
        <v>0</v>
      </c>
      <c r="J44" s="188"/>
      <c r="K44" s="189"/>
      <c r="L44" s="176">
        <f t="shared" si="3"/>
        <v>0</v>
      </c>
      <c r="M44" s="180">
        <f t="shared" si="0"/>
        <v>61953034</v>
      </c>
    </row>
    <row r="45" spans="1:13" ht="21.75" customHeight="1">
      <c r="A45" s="181" t="s">
        <v>698</v>
      </c>
      <c r="B45" s="198" t="s">
        <v>611</v>
      </c>
      <c r="C45" s="193"/>
      <c r="D45" s="498"/>
      <c r="E45" s="499"/>
      <c r="F45" s="176">
        <f t="shared" si="1"/>
        <v>0</v>
      </c>
      <c r="G45" s="187">
        <f>21650000+951095</f>
        <v>22601095</v>
      </c>
      <c r="H45" s="499"/>
      <c r="I45" s="176">
        <f t="shared" si="2"/>
        <v>22601095</v>
      </c>
      <c r="J45" s="188"/>
      <c r="K45" s="189"/>
      <c r="L45" s="176">
        <f t="shared" si="3"/>
        <v>0</v>
      </c>
      <c r="M45" s="180">
        <f t="shared" si="0"/>
        <v>22601095</v>
      </c>
    </row>
    <row r="46" spans="1:13" ht="24.75" customHeight="1">
      <c r="A46" s="181" t="s">
        <v>699</v>
      </c>
      <c r="B46" s="428" t="s">
        <v>920</v>
      </c>
      <c r="C46" s="191" t="s">
        <v>926</v>
      </c>
      <c r="D46" s="185">
        <v>2563710</v>
      </c>
      <c r="E46" s="186">
        <v>135676290</v>
      </c>
      <c r="F46" s="176">
        <f t="shared" si="1"/>
        <v>138240000</v>
      </c>
      <c r="G46" s="187"/>
      <c r="H46" s="499"/>
      <c r="I46" s="176"/>
      <c r="J46" s="188"/>
      <c r="K46" s="189"/>
      <c r="L46" s="176"/>
      <c r="M46" s="180">
        <f t="shared" si="0"/>
        <v>138240000</v>
      </c>
    </row>
    <row r="47" spans="1:13" ht="24" customHeight="1">
      <c r="A47" s="181" t="s">
        <v>700</v>
      </c>
      <c r="B47" s="183" t="s">
        <v>551</v>
      </c>
      <c r="C47" s="191" t="s">
        <v>636</v>
      </c>
      <c r="D47" s="194">
        <f>1812600+73560+229808-63414</f>
        <v>2052554</v>
      </c>
      <c r="E47" s="501"/>
      <c r="F47" s="176">
        <f t="shared" si="1"/>
        <v>2052554</v>
      </c>
      <c r="G47" s="505"/>
      <c r="H47" s="501"/>
      <c r="I47" s="176">
        <f t="shared" si="2"/>
        <v>0</v>
      </c>
      <c r="J47" s="188"/>
      <c r="K47" s="189"/>
      <c r="L47" s="176">
        <f t="shared" si="3"/>
        <v>0</v>
      </c>
      <c r="M47" s="180">
        <f>SUM(F47+I47+L47)</f>
        <v>2052554</v>
      </c>
    </row>
    <row r="48" spans="1:13" ht="29.25" customHeight="1">
      <c r="A48" s="181" t="s">
        <v>701</v>
      </c>
      <c r="B48" s="198" t="s">
        <v>653</v>
      </c>
      <c r="C48" s="193"/>
      <c r="D48" s="498"/>
      <c r="E48" s="499"/>
      <c r="F48" s="176">
        <f t="shared" si="1"/>
        <v>0</v>
      </c>
      <c r="G48" s="187">
        <f>46804899+13881090-519024</f>
        <v>60166965</v>
      </c>
      <c r="H48" s="186">
        <f>6000000</f>
        <v>6000000</v>
      </c>
      <c r="I48" s="176">
        <f t="shared" si="2"/>
        <v>66166965</v>
      </c>
      <c r="J48" s="188"/>
      <c r="K48" s="189"/>
      <c r="L48" s="176">
        <f t="shared" si="3"/>
        <v>0</v>
      </c>
      <c r="M48" s="180">
        <f t="shared" si="0"/>
        <v>66166965</v>
      </c>
    </row>
    <row r="49" spans="1:13" ht="21.75" customHeight="1">
      <c r="A49" s="181" t="s">
        <v>702</v>
      </c>
      <c r="B49" s="198" t="s">
        <v>417</v>
      </c>
      <c r="C49" s="193" t="s">
        <v>625</v>
      </c>
      <c r="D49" s="185">
        <f>4632000-1016000+1344830+208449+17596440+265050+328388+1500000+52650+8161</f>
        <v>24919968</v>
      </c>
      <c r="E49" s="186">
        <f>560000+225760</f>
        <v>785760</v>
      </c>
      <c r="F49" s="176">
        <f t="shared" si="1"/>
        <v>25705728</v>
      </c>
      <c r="G49" s="503"/>
      <c r="H49" s="499"/>
      <c r="I49" s="176">
        <f t="shared" si="2"/>
        <v>0</v>
      </c>
      <c r="J49" s="188"/>
      <c r="K49" s="189"/>
      <c r="L49" s="176">
        <f t="shared" si="3"/>
        <v>0</v>
      </c>
      <c r="M49" s="180">
        <f t="shared" si="0"/>
        <v>25705728</v>
      </c>
    </row>
    <row r="50" spans="1:13" ht="21.75" customHeight="1">
      <c r="A50" s="181" t="s">
        <v>800</v>
      </c>
      <c r="B50" s="198" t="s">
        <v>694</v>
      </c>
      <c r="C50" s="193" t="s">
        <v>718</v>
      </c>
      <c r="D50" s="185">
        <f>2286000-1143000+3459090+536159+175000+31750+4600000+157950+24483</f>
        <v>10127432</v>
      </c>
      <c r="E50" s="186">
        <f>250000-237338</f>
        <v>12662</v>
      </c>
      <c r="F50" s="176">
        <f t="shared" si="1"/>
        <v>10140094</v>
      </c>
      <c r="G50" s="503"/>
      <c r="H50" s="499"/>
      <c r="I50" s="176">
        <f t="shared" si="2"/>
        <v>0</v>
      </c>
      <c r="J50" s="188"/>
      <c r="K50" s="189"/>
      <c r="L50" s="176">
        <f t="shared" si="3"/>
        <v>0</v>
      </c>
      <c r="M50" s="180">
        <f t="shared" si="0"/>
        <v>10140094</v>
      </c>
    </row>
    <row r="51" spans="1:13" ht="26.25" customHeight="1">
      <c r="A51" s="181" t="s">
        <v>879</v>
      </c>
      <c r="B51" s="183" t="s">
        <v>532</v>
      </c>
      <c r="C51" s="176" t="s">
        <v>632</v>
      </c>
      <c r="D51" s="185">
        <f>3804900+7300000</f>
        <v>11104900</v>
      </c>
      <c r="E51" s="499"/>
      <c r="F51" s="176">
        <f t="shared" si="1"/>
        <v>11104900</v>
      </c>
      <c r="G51" s="503"/>
      <c r="H51" s="499"/>
      <c r="I51" s="176">
        <f t="shared" si="2"/>
        <v>0</v>
      </c>
      <c r="J51" s="188"/>
      <c r="K51" s="189"/>
      <c r="L51" s="176">
        <f t="shared" si="3"/>
        <v>0</v>
      </c>
      <c r="M51" s="180">
        <f t="shared" si="0"/>
        <v>11104900</v>
      </c>
    </row>
    <row r="52" spans="1:13" ht="26.25" customHeight="1">
      <c r="A52" s="181" t="s">
        <v>882</v>
      </c>
      <c r="B52" s="183" t="s">
        <v>696</v>
      </c>
      <c r="C52" s="182"/>
      <c r="D52" s="185"/>
      <c r="E52" s="499"/>
      <c r="F52" s="176">
        <f t="shared" si="1"/>
        <v>0</v>
      </c>
      <c r="G52" s="187">
        <f>18342800+3773040+22523810+1586250+1321875+60657486-13077629+16410600+2543643-18954243-416917-64622-2160000-334800-7292340+5109584+459366+76788+251428+43772</f>
        <v>90799891</v>
      </c>
      <c r="H52" s="186">
        <f>2460790+523290+7292340</f>
        <v>10276420</v>
      </c>
      <c r="I52" s="176">
        <f t="shared" si="2"/>
        <v>101076311</v>
      </c>
      <c r="J52" s="188"/>
      <c r="K52" s="188"/>
      <c r="L52" s="176">
        <f t="shared" si="3"/>
        <v>0</v>
      </c>
      <c r="M52" s="180">
        <f t="shared" si="0"/>
        <v>101076311</v>
      </c>
    </row>
    <row r="53" spans="1:13" s="152" customFormat="1" ht="27.75" customHeight="1" thickBot="1">
      <c r="A53" s="181" t="s">
        <v>927</v>
      </c>
      <c r="B53" s="183" t="s">
        <v>354</v>
      </c>
      <c r="C53" s="182" t="s">
        <v>626</v>
      </c>
      <c r="D53" s="185">
        <f>2350000-1000000+121735509-9534431-33191447-2702314-8864634-558233-36263474-4615000-22387266+911000-2197500+5373648-726390-55552+519024+13077629+755546+10911298-15055017-2307500-440857-15000-200000-401078-382588-3610256-510500-7422766-160000-1000000</f>
        <v>2031851</v>
      </c>
      <c r="E53" s="186">
        <f>15055017-5270000+3134972</f>
        <v>12919989</v>
      </c>
      <c r="F53" s="176">
        <f t="shared" si="1"/>
        <v>14951840</v>
      </c>
      <c r="G53" s="185">
        <v>200000</v>
      </c>
      <c r="H53" s="499"/>
      <c r="I53" s="176">
        <f t="shared" si="2"/>
        <v>200000</v>
      </c>
      <c r="J53" s="200"/>
      <c r="K53" s="200"/>
      <c r="L53" s="176">
        <f t="shared" si="3"/>
        <v>0</v>
      </c>
      <c r="M53" s="180">
        <f t="shared" si="0"/>
        <v>15151840</v>
      </c>
    </row>
    <row r="54" spans="1:16" s="593" customFormat="1" ht="23.25" customHeight="1" thickBot="1">
      <c r="A54" s="1010" t="s">
        <v>612</v>
      </c>
      <c r="B54" s="1011"/>
      <c r="C54" s="1012"/>
      <c r="D54" s="590">
        <f aca="true" t="shared" si="4" ref="D54:M54">SUM(D9:D53)</f>
        <v>710563400</v>
      </c>
      <c r="E54" s="591">
        <f t="shared" si="4"/>
        <v>447044651</v>
      </c>
      <c r="F54" s="592">
        <f t="shared" si="4"/>
        <v>1157608051</v>
      </c>
      <c r="G54" s="591">
        <f t="shared" si="4"/>
        <v>245469900</v>
      </c>
      <c r="H54" s="591">
        <f t="shared" si="4"/>
        <v>657236394</v>
      </c>
      <c r="I54" s="592">
        <f t="shared" si="4"/>
        <v>902706294</v>
      </c>
      <c r="J54" s="591">
        <f t="shared" si="4"/>
        <v>8704402</v>
      </c>
      <c r="K54" s="591">
        <f t="shared" si="4"/>
        <v>0</v>
      </c>
      <c r="L54" s="592">
        <f t="shared" si="4"/>
        <v>8704402</v>
      </c>
      <c r="M54" s="592">
        <f t="shared" si="4"/>
        <v>2069018747</v>
      </c>
      <c r="P54" s="600">
        <f>SUM(L54,I54,F54)</f>
        <v>2069018747</v>
      </c>
    </row>
    <row r="55" spans="1:16" ht="30.75" customHeight="1">
      <c r="A55" s="184" t="s">
        <v>368</v>
      </c>
      <c r="B55" s="183" t="s">
        <v>58</v>
      </c>
      <c r="C55" s="173" t="s">
        <v>626</v>
      </c>
      <c r="D55" s="202">
        <f>91562414+16696818+26913440+103400+18095+1263600+221130-340425-59575-513114+513114+334626+2000+565152+87598-200000-130000-81892-560500-86880-4800-1681-871860-3896375-66078+66078</f>
        <v>131534285</v>
      </c>
      <c r="E55" s="203">
        <f>1934590+1204167-1204167+200000+130000+81892</f>
        <v>2346482</v>
      </c>
      <c r="F55" s="176">
        <f>SUM(D55:E55)</f>
        <v>133880767</v>
      </c>
      <c r="G55" s="202"/>
      <c r="H55" s="203"/>
      <c r="I55" s="173">
        <f>SUM(G55:H55)</f>
        <v>0</v>
      </c>
      <c r="J55" s="202"/>
      <c r="K55" s="203"/>
      <c r="L55" s="173">
        <f>SUM(J55:K55)</f>
        <v>0</v>
      </c>
      <c r="M55" s="180">
        <f>SUM(L55,I55,F55)</f>
        <v>133880767</v>
      </c>
      <c r="P55" s="594"/>
    </row>
    <row r="56" spans="1:16" ht="30.75" customHeight="1">
      <c r="A56" s="184" t="s">
        <v>369</v>
      </c>
      <c r="B56" s="183" t="s">
        <v>765</v>
      </c>
      <c r="C56" s="182"/>
      <c r="D56" s="174"/>
      <c r="E56" s="175"/>
      <c r="F56" s="176">
        <f>SUM(D56:E56)</f>
        <v>0</v>
      </c>
      <c r="G56" s="174">
        <f>5569500-575000-128625</f>
        <v>4865875</v>
      </c>
      <c r="H56" s="175"/>
      <c r="I56" s="176">
        <f>SUM(G56:H56)</f>
        <v>4865875</v>
      </c>
      <c r="J56" s="174"/>
      <c r="K56" s="175"/>
      <c r="L56" s="176">
        <f>SUM(J56:K56)</f>
        <v>0</v>
      </c>
      <c r="M56" s="180">
        <f>SUM(L56,I56,F56)</f>
        <v>4865875</v>
      </c>
      <c r="P56" s="594"/>
    </row>
    <row r="57" spans="1:16" ht="36.75" thickBot="1">
      <c r="A57" s="184" t="s">
        <v>370</v>
      </c>
      <c r="B57" s="589" t="s">
        <v>766</v>
      </c>
      <c r="C57" s="205"/>
      <c r="D57" s="185"/>
      <c r="E57" s="186"/>
      <c r="F57" s="176">
        <f>SUM(D57:E57)</f>
        <v>0</v>
      </c>
      <c r="G57" s="185">
        <f>2881247+416917+64622-459366-76788</f>
        <v>2826632</v>
      </c>
      <c r="H57" s="186"/>
      <c r="I57" s="176">
        <f>SUM(G57:H57)</f>
        <v>2826632</v>
      </c>
      <c r="J57" s="185"/>
      <c r="K57" s="186"/>
      <c r="L57" s="176">
        <f>SUM(J57:K57)</f>
        <v>0</v>
      </c>
      <c r="M57" s="180">
        <f>SUM(L57,I57,F57)</f>
        <v>2826632</v>
      </c>
      <c r="P57" s="594"/>
    </row>
    <row r="58" spans="1:16" s="593" customFormat="1" ht="23.25" customHeight="1" thickBot="1">
      <c r="A58" s="1010" t="s">
        <v>437</v>
      </c>
      <c r="B58" s="1011"/>
      <c r="C58" s="1012"/>
      <c r="D58" s="590">
        <f aca="true" t="shared" si="5" ref="D58:M58">SUM(D55:D57)</f>
        <v>131534285</v>
      </c>
      <c r="E58" s="591">
        <f t="shared" si="5"/>
        <v>2346482</v>
      </c>
      <c r="F58" s="592">
        <f t="shared" si="5"/>
        <v>133880767</v>
      </c>
      <c r="G58" s="591">
        <f t="shared" si="5"/>
        <v>7692507</v>
      </c>
      <c r="H58" s="591">
        <f t="shared" si="5"/>
        <v>0</v>
      </c>
      <c r="I58" s="592">
        <f t="shared" si="5"/>
        <v>7692507</v>
      </c>
      <c r="J58" s="591">
        <f t="shared" si="5"/>
        <v>0</v>
      </c>
      <c r="K58" s="591">
        <f t="shared" si="5"/>
        <v>0</v>
      </c>
      <c r="L58" s="592">
        <f t="shared" si="5"/>
        <v>0</v>
      </c>
      <c r="M58" s="592">
        <f t="shared" si="5"/>
        <v>141573274</v>
      </c>
      <c r="P58" s="600">
        <f>SUM(L58,I58,F58)</f>
        <v>141573274</v>
      </c>
    </row>
    <row r="59" spans="1:16" ht="23.25" customHeight="1">
      <c r="A59" s="171" t="s">
        <v>368</v>
      </c>
      <c r="B59" s="207" t="s">
        <v>438</v>
      </c>
      <c r="C59" s="191" t="s">
        <v>631</v>
      </c>
      <c r="D59" s="208">
        <f>31853858+544626-5600000-122358</f>
        <v>26676126</v>
      </c>
      <c r="E59" s="209"/>
      <c r="F59" s="206">
        <f aca="true" t="shared" si="6" ref="F59:F71">SUM(D59:E59)</f>
        <v>26676126</v>
      </c>
      <c r="G59" s="208"/>
      <c r="H59" s="209"/>
      <c r="I59" s="206">
        <f aca="true" t="shared" si="7" ref="I59:I71">SUM(G59:H59)</f>
        <v>0</v>
      </c>
      <c r="J59" s="208"/>
      <c r="K59" s="209"/>
      <c r="L59" s="206">
        <f aca="true" t="shared" si="8" ref="L59:L71">SUM(J59:K59)</f>
        <v>0</v>
      </c>
      <c r="M59" s="180">
        <f aca="true" t="shared" si="9" ref="M59:M71">SUM(L59,I59,F59)</f>
        <v>26676126</v>
      </c>
      <c r="P59" s="594"/>
    </row>
    <row r="60" spans="1:16" ht="23.25" customHeight="1">
      <c r="A60" s="184" t="s">
        <v>369</v>
      </c>
      <c r="B60" s="183" t="s">
        <v>719</v>
      </c>
      <c r="C60" s="1030" t="s">
        <v>627</v>
      </c>
      <c r="D60" s="194">
        <f>128705693+3215520+562716-330000-57750-1461600-255780+216700+37923+7803952+1209613-9-3-1971-12500000-2400000</f>
        <v>124745004</v>
      </c>
      <c r="E60" s="195"/>
      <c r="F60" s="176">
        <f t="shared" si="6"/>
        <v>124745004</v>
      </c>
      <c r="G60" s="201"/>
      <c r="H60" s="199"/>
      <c r="I60" s="176">
        <f t="shared" si="7"/>
        <v>0</v>
      </c>
      <c r="J60" s="188"/>
      <c r="K60" s="188"/>
      <c r="L60" s="176">
        <f t="shared" si="8"/>
        <v>0</v>
      </c>
      <c r="M60" s="180">
        <f t="shared" si="9"/>
        <v>124745004</v>
      </c>
      <c r="P60" s="594"/>
    </row>
    <row r="61" spans="1:16" ht="23.25" customHeight="1">
      <c r="A61" s="181" t="s">
        <v>370</v>
      </c>
      <c r="B61" s="183" t="s">
        <v>734</v>
      </c>
      <c r="C61" s="1031"/>
      <c r="D61" s="194">
        <f>10508378+550024-14000-1700000-161765</f>
        <v>9182637</v>
      </c>
      <c r="E61" s="195">
        <f>309245+508000+1130000+507849-409984-310760</f>
        <v>1734350</v>
      </c>
      <c r="F61" s="176">
        <f t="shared" si="6"/>
        <v>10916987</v>
      </c>
      <c r="G61" s="201"/>
      <c r="H61" s="199"/>
      <c r="I61" s="176">
        <f t="shared" si="7"/>
        <v>0</v>
      </c>
      <c r="J61" s="188"/>
      <c r="K61" s="188"/>
      <c r="L61" s="176">
        <f t="shared" si="8"/>
        <v>0</v>
      </c>
      <c r="M61" s="180">
        <f t="shared" si="9"/>
        <v>10916987</v>
      </c>
      <c r="P61" s="594"/>
    </row>
    <row r="62" spans="1:16" ht="23.25" customHeight="1">
      <c r="A62" s="181" t="s">
        <v>371</v>
      </c>
      <c r="B62" s="183" t="s">
        <v>510</v>
      </c>
      <c r="C62" s="220" t="s">
        <v>535</v>
      </c>
      <c r="D62" s="194">
        <f>24097710+1249875+4222056+218728+4796826+91000+1125000-1245375+196875-217940+1666667+258333+495000-340000-43979-1100000</f>
        <v>35470776</v>
      </c>
      <c r="E62" s="195">
        <f>304800+11212+68611</f>
        <v>384623</v>
      </c>
      <c r="F62" s="176">
        <f t="shared" si="6"/>
        <v>35855399</v>
      </c>
      <c r="G62" s="201"/>
      <c r="H62" s="199"/>
      <c r="I62" s="176">
        <f t="shared" si="7"/>
        <v>0</v>
      </c>
      <c r="J62" s="188"/>
      <c r="K62" s="188"/>
      <c r="L62" s="176">
        <f t="shared" si="8"/>
        <v>0</v>
      </c>
      <c r="M62" s="180">
        <f t="shared" si="9"/>
        <v>35855399</v>
      </c>
      <c r="P62" s="594"/>
    </row>
    <row r="63" spans="1:16" ht="23.25" customHeight="1">
      <c r="A63" s="181" t="s">
        <v>372</v>
      </c>
      <c r="B63" s="183" t="s">
        <v>613</v>
      </c>
      <c r="C63" s="220" t="s">
        <v>633</v>
      </c>
      <c r="D63" s="194">
        <f>11177496+981000+1927326+171675+2955612+91000+1035000-976500+181125-170887+304762+47238+355000-1450000-4500000-840000-165410</f>
        <v>11124437</v>
      </c>
      <c r="E63" s="195">
        <f>401320+96799-11212</f>
        <v>486907</v>
      </c>
      <c r="F63" s="176">
        <f t="shared" si="6"/>
        <v>11611344</v>
      </c>
      <c r="G63" s="201"/>
      <c r="H63" s="199"/>
      <c r="I63" s="176">
        <f t="shared" si="7"/>
        <v>0</v>
      </c>
      <c r="J63" s="188"/>
      <c r="K63" s="188"/>
      <c r="L63" s="176">
        <f t="shared" si="8"/>
        <v>0</v>
      </c>
      <c r="M63" s="180">
        <f t="shared" si="9"/>
        <v>11611344</v>
      </c>
      <c r="P63" s="594"/>
    </row>
    <row r="64" spans="1:16" ht="23.25" customHeight="1">
      <c r="A64" s="181" t="s">
        <v>373</v>
      </c>
      <c r="B64" s="183" t="s">
        <v>614</v>
      </c>
      <c r="C64" s="220" t="s">
        <v>634</v>
      </c>
      <c r="D64" s="196">
        <f>10053189+1759308+1190218+639450+111904+377922+58578+300000-250000</f>
        <v>14240569</v>
      </c>
      <c r="E64" s="195">
        <f>95250-80565</f>
        <v>14685</v>
      </c>
      <c r="F64" s="176">
        <f t="shared" si="6"/>
        <v>14255254</v>
      </c>
      <c r="G64" s="196"/>
      <c r="H64" s="195"/>
      <c r="I64" s="176">
        <f t="shared" si="7"/>
        <v>0</v>
      </c>
      <c r="J64" s="188"/>
      <c r="K64" s="188"/>
      <c r="L64" s="176">
        <f t="shared" si="8"/>
        <v>0</v>
      </c>
      <c r="M64" s="180">
        <f t="shared" si="9"/>
        <v>14255254</v>
      </c>
      <c r="P64" s="594"/>
    </row>
    <row r="65" spans="1:16" ht="23.25" customHeight="1">
      <c r="A65" s="181" t="s">
        <v>374</v>
      </c>
      <c r="B65" s="183" t="s">
        <v>615</v>
      </c>
      <c r="C65" s="191" t="s">
        <v>631</v>
      </c>
      <c r="D65" s="196">
        <f>2677147+40591+122358</f>
        <v>2840096</v>
      </c>
      <c r="E65" s="195"/>
      <c r="F65" s="176">
        <f t="shared" si="6"/>
        <v>2840096</v>
      </c>
      <c r="G65" s="196"/>
      <c r="H65" s="195"/>
      <c r="I65" s="176">
        <f t="shared" si="7"/>
        <v>0</v>
      </c>
      <c r="J65" s="188"/>
      <c r="K65" s="188"/>
      <c r="L65" s="176">
        <f t="shared" si="8"/>
        <v>0</v>
      </c>
      <c r="M65" s="180">
        <f t="shared" si="9"/>
        <v>2840096</v>
      </c>
      <c r="P65" s="594"/>
    </row>
    <row r="66" spans="1:16" ht="23.25" customHeight="1">
      <c r="A66" s="184" t="s">
        <v>375</v>
      </c>
      <c r="B66" s="207" t="s">
        <v>471</v>
      </c>
      <c r="C66" s="191" t="s">
        <v>635</v>
      </c>
      <c r="D66" s="560"/>
      <c r="E66" s="561"/>
      <c r="F66" s="176">
        <f t="shared" si="6"/>
        <v>0</v>
      </c>
      <c r="G66" s="803">
        <f>5287200+925260+1916238-781083-47925+348851+176960+424000+161765</f>
        <v>8411266</v>
      </c>
      <c r="H66" s="561">
        <f>63500+47925+248040</f>
        <v>359465</v>
      </c>
      <c r="I66" s="176">
        <f t="shared" si="7"/>
        <v>8770731</v>
      </c>
      <c r="J66" s="510"/>
      <c r="K66" s="510"/>
      <c r="L66" s="176">
        <f t="shared" si="8"/>
        <v>0</v>
      </c>
      <c r="M66" s="180">
        <f t="shared" si="9"/>
        <v>8770731</v>
      </c>
      <c r="P66" s="594"/>
    </row>
    <row r="67" spans="1:16" ht="23.25" customHeight="1">
      <c r="A67" s="184" t="s">
        <v>376</v>
      </c>
      <c r="B67" s="183" t="s">
        <v>881</v>
      </c>
      <c r="C67" s="191"/>
      <c r="D67" s="560"/>
      <c r="E67" s="561"/>
      <c r="F67" s="176">
        <f t="shared" si="6"/>
        <v>0</v>
      </c>
      <c r="G67" s="509">
        <f>1952578-54+9+3+14000</f>
        <v>1966536</v>
      </c>
      <c r="H67" s="561"/>
      <c r="I67" s="176">
        <f t="shared" si="7"/>
        <v>1966536</v>
      </c>
      <c r="J67" s="510"/>
      <c r="K67" s="510"/>
      <c r="L67" s="176">
        <f t="shared" si="8"/>
        <v>0</v>
      </c>
      <c r="M67" s="180">
        <f t="shared" si="9"/>
        <v>1966536</v>
      </c>
      <c r="P67" s="594"/>
    </row>
    <row r="68" spans="1:16" ht="36">
      <c r="A68" s="184"/>
      <c r="B68" s="183" t="s">
        <v>1036</v>
      </c>
      <c r="C68" s="191"/>
      <c r="D68" s="560"/>
      <c r="E68" s="561"/>
      <c r="F68" s="176">
        <f t="shared" si="6"/>
        <v>0</v>
      </c>
      <c r="G68" s="509">
        <f>307692+47692+364616</f>
        <v>720000</v>
      </c>
      <c r="H68" s="561">
        <v>180000</v>
      </c>
      <c r="I68" s="176">
        <f t="shared" si="7"/>
        <v>900000</v>
      </c>
      <c r="J68" s="510"/>
      <c r="K68" s="510"/>
      <c r="L68" s="176">
        <f t="shared" si="8"/>
        <v>0</v>
      </c>
      <c r="M68" s="180">
        <f t="shared" si="9"/>
        <v>900000</v>
      </c>
      <c r="P68" s="594"/>
    </row>
    <row r="69" spans="1:16" ht="23.25" customHeight="1">
      <c r="A69" s="184" t="s">
        <v>377</v>
      </c>
      <c r="B69" s="183" t="s">
        <v>880</v>
      </c>
      <c r="C69" s="191"/>
      <c r="D69" s="560"/>
      <c r="E69" s="561"/>
      <c r="F69" s="176">
        <f t="shared" si="6"/>
        <v>0</v>
      </c>
      <c r="G69" s="509">
        <v>31954</v>
      </c>
      <c r="H69" s="561"/>
      <c r="I69" s="176">
        <f t="shared" si="7"/>
        <v>31954</v>
      </c>
      <c r="J69" s="510"/>
      <c r="K69" s="510"/>
      <c r="L69" s="176">
        <f t="shared" si="8"/>
        <v>0</v>
      </c>
      <c r="M69" s="180">
        <f t="shared" si="9"/>
        <v>31954</v>
      </c>
      <c r="P69" s="594"/>
    </row>
    <row r="70" spans="1:16" ht="38.25" customHeight="1">
      <c r="A70" s="184" t="s">
        <v>378</v>
      </c>
      <c r="B70" s="183" t="s">
        <v>767</v>
      </c>
      <c r="C70" s="191"/>
      <c r="D70" s="560"/>
      <c r="E70" s="561"/>
      <c r="F70" s="176">
        <f t="shared" si="6"/>
        <v>0</v>
      </c>
      <c r="G70" s="509">
        <f>3600000+630000+2160000+334800</f>
        <v>6724800</v>
      </c>
      <c r="H70" s="561"/>
      <c r="I70" s="176">
        <f t="shared" si="7"/>
        <v>6724800</v>
      </c>
      <c r="J70" s="510"/>
      <c r="K70" s="510"/>
      <c r="L70" s="176">
        <f t="shared" si="8"/>
        <v>0</v>
      </c>
      <c r="M70" s="180">
        <f t="shared" si="9"/>
        <v>6724800</v>
      </c>
      <c r="P70" s="594"/>
    </row>
    <row r="71" spans="1:16" ht="27" customHeight="1" thickBot="1">
      <c r="A71" s="562" t="s">
        <v>379</v>
      </c>
      <c r="B71" s="183" t="s">
        <v>768</v>
      </c>
      <c r="C71" s="191"/>
      <c r="D71" s="208"/>
      <c r="E71" s="209"/>
      <c r="F71" s="206">
        <f t="shared" si="6"/>
        <v>0</v>
      </c>
      <c r="G71" s="208">
        <f>6562063+1148361+50000+2756937+482464+2114762+10500000+6060606+939394</f>
        <v>30614587</v>
      </c>
      <c r="H71" s="209"/>
      <c r="I71" s="206">
        <f t="shared" si="7"/>
        <v>30614587</v>
      </c>
      <c r="J71" s="208"/>
      <c r="K71" s="209"/>
      <c r="L71" s="206">
        <f t="shared" si="8"/>
        <v>0</v>
      </c>
      <c r="M71" s="180">
        <f t="shared" si="9"/>
        <v>30614587</v>
      </c>
      <c r="P71" s="594"/>
    </row>
    <row r="72" spans="1:16" s="599" customFormat="1" ht="27.75" customHeight="1" thickBot="1">
      <c r="A72" s="1019" t="s">
        <v>660</v>
      </c>
      <c r="B72" s="1020"/>
      <c r="C72" s="1021"/>
      <c r="D72" s="595">
        <f aca="true" t="shared" si="10" ref="D72:M72">SUM(D59:D71)</f>
        <v>224279645</v>
      </c>
      <c r="E72" s="596">
        <f t="shared" si="10"/>
        <v>2620565</v>
      </c>
      <c r="F72" s="597">
        <f t="shared" si="10"/>
        <v>226900210</v>
      </c>
      <c r="G72" s="595">
        <f t="shared" si="10"/>
        <v>48469143</v>
      </c>
      <c r="H72" s="596">
        <f t="shared" si="10"/>
        <v>539465</v>
      </c>
      <c r="I72" s="597">
        <f t="shared" si="10"/>
        <v>49008608</v>
      </c>
      <c r="J72" s="595">
        <f t="shared" si="10"/>
        <v>0</v>
      </c>
      <c r="K72" s="596">
        <f t="shared" si="10"/>
        <v>0</v>
      </c>
      <c r="L72" s="597">
        <f t="shared" si="10"/>
        <v>0</v>
      </c>
      <c r="M72" s="598">
        <f t="shared" si="10"/>
        <v>275908818</v>
      </c>
      <c r="P72" s="600">
        <f>SUM(L72,I72,F72)</f>
        <v>275908818</v>
      </c>
    </row>
    <row r="73" spans="1:16" ht="32.25" customHeight="1">
      <c r="A73" s="181" t="s">
        <v>368</v>
      </c>
      <c r="B73" s="190" t="s">
        <v>470</v>
      </c>
      <c r="C73" s="182" t="s">
        <v>623</v>
      </c>
      <c r="D73" s="185">
        <f>1082115-800000</f>
        <v>282115</v>
      </c>
      <c r="E73" s="186">
        <f>800000+145000</f>
        <v>945000</v>
      </c>
      <c r="F73" s="176">
        <f aca="true" t="shared" si="11" ref="F73:F78">SUM(D73:E73)</f>
        <v>1227115</v>
      </c>
      <c r="G73" s="187"/>
      <c r="H73" s="186"/>
      <c r="I73" s="176">
        <f aca="true" t="shared" si="12" ref="I73:I78">SUM(G73:H73)</f>
        <v>0</v>
      </c>
      <c r="J73" s="188"/>
      <c r="K73" s="189"/>
      <c r="L73" s="176">
        <f>SUM(J73:K73)</f>
        <v>0</v>
      </c>
      <c r="M73" s="180">
        <f>SUM(F73+I73+L73)</f>
        <v>1227115</v>
      </c>
      <c r="P73" s="594"/>
    </row>
    <row r="74" spans="1:16" ht="22.5" customHeight="1">
      <c r="A74" s="181" t="s">
        <v>369</v>
      </c>
      <c r="B74" s="198" t="s">
        <v>358</v>
      </c>
      <c r="C74" s="193" t="s">
        <v>623</v>
      </c>
      <c r="D74" s="185">
        <f>3583050+805087+124788-2317-500000-77500</f>
        <v>3933108</v>
      </c>
      <c r="E74" s="186"/>
      <c r="F74" s="176">
        <f t="shared" si="11"/>
        <v>3933108</v>
      </c>
      <c r="G74" s="187"/>
      <c r="H74" s="186"/>
      <c r="I74" s="176">
        <f t="shared" si="12"/>
        <v>0</v>
      </c>
      <c r="J74" s="188"/>
      <c r="K74" s="189"/>
      <c r="L74" s="176">
        <f>SUM(J74:K74)</f>
        <v>0</v>
      </c>
      <c r="M74" s="180">
        <f>SUM(F74+I74+L74)</f>
        <v>3933108</v>
      </c>
      <c r="P74" s="594"/>
    </row>
    <row r="75" spans="1:16" ht="33.75" customHeight="1">
      <c r="A75" s="181" t="s">
        <v>370</v>
      </c>
      <c r="B75" s="183" t="s">
        <v>78</v>
      </c>
      <c r="C75" s="197" t="s">
        <v>624</v>
      </c>
      <c r="D75" s="194">
        <f>11931088+2122958+14446890-317500+144779+300000+367133+2954117+2415261+374364-3-1-8000-500000-100000-5896-4730-2800000-434000-2816535</f>
        <v>28069925</v>
      </c>
      <c r="E75" s="195">
        <f>304800-177800+578000+700000-578000+500000+100000</f>
        <v>1427000</v>
      </c>
      <c r="F75" s="176">
        <f t="shared" si="11"/>
        <v>29496925</v>
      </c>
      <c r="G75" s="196"/>
      <c r="H75" s="195"/>
      <c r="I75" s="176">
        <f t="shared" si="12"/>
        <v>0</v>
      </c>
      <c r="J75" s="188"/>
      <c r="K75" s="189"/>
      <c r="L75" s="176">
        <f>SUM(J75:K75)</f>
        <v>0</v>
      </c>
      <c r="M75" s="180">
        <f>SUM(F75+I75+L75)</f>
        <v>29496925</v>
      </c>
      <c r="P75" s="594"/>
    </row>
    <row r="76" spans="1:16" ht="33.75" customHeight="1">
      <c r="A76" s="181" t="s">
        <v>371</v>
      </c>
      <c r="B76" s="183" t="s">
        <v>352</v>
      </c>
      <c r="C76" s="197"/>
      <c r="D76" s="194"/>
      <c r="E76" s="195"/>
      <c r="F76" s="176">
        <f t="shared" si="11"/>
        <v>0</v>
      </c>
      <c r="G76" s="196">
        <f>1980314+964502+7003586-775591-377745-2575544-21844</f>
        <v>6197678</v>
      </c>
      <c r="H76" s="195"/>
      <c r="I76" s="176">
        <f t="shared" si="12"/>
        <v>6197678</v>
      </c>
      <c r="J76" s="188"/>
      <c r="K76" s="189"/>
      <c r="L76" s="176">
        <f>SUM(J76:K76)</f>
        <v>0</v>
      </c>
      <c r="M76" s="180">
        <f>SUM(F76+I76+L76)</f>
        <v>6197678</v>
      </c>
      <c r="P76" s="594"/>
    </row>
    <row r="77" spans="1:16" ht="23.25" customHeight="1">
      <c r="A77" s="184" t="s">
        <v>372</v>
      </c>
      <c r="B77" s="183" t="s">
        <v>881</v>
      </c>
      <c r="C77" s="191"/>
      <c r="D77" s="560"/>
      <c r="E77" s="561"/>
      <c r="F77" s="176">
        <f t="shared" si="11"/>
        <v>0</v>
      </c>
      <c r="G77" s="509">
        <f>278932+3+1+8000</f>
        <v>286936</v>
      </c>
      <c r="H77" s="561"/>
      <c r="I77" s="176">
        <f t="shared" si="12"/>
        <v>286936</v>
      </c>
      <c r="J77" s="510"/>
      <c r="K77" s="510"/>
      <c r="L77" s="176"/>
      <c r="M77" s="180">
        <f>SUM(L77,I77,F77)</f>
        <v>286936</v>
      </c>
      <c r="P77" s="594"/>
    </row>
    <row r="78" spans="1:16" ht="33.75" customHeight="1" thickBot="1">
      <c r="A78" s="181" t="s">
        <v>373</v>
      </c>
      <c r="B78" s="183" t="s">
        <v>745</v>
      </c>
      <c r="C78" s="197"/>
      <c r="D78" s="194"/>
      <c r="E78" s="195"/>
      <c r="F78" s="176">
        <f t="shared" si="11"/>
        <v>0</v>
      </c>
      <c r="G78" s="196">
        <f>1800000+315000+3527681+13166-13166+1000000+175000-1175000</f>
        <v>5642681</v>
      </c>
      <c r="H78" s="195"/>
      <c r="I78" s="176">
        <f t="shared" si="12"/>
        <v>5642681</v>
      </c>
      <c r="J78" s="188"/>
      <c r="K78" s="189"/>
      <c r="L78" s="176">
        <f>SUM(J78:K78)</f>
        <v>0</v>
      </c>
      <c r="M78" s="180">
        <f>SUM(F78+I78+L78)</f>
        <v>5642681</v>
      </c>
      <c r="P78" s="594"/>
    </row>
    <row r="79" spans="1:16" s="599" customFormat="1" ht="27.75" customHeight="1" thickBot="1">
      <c r="A79" s="1019" t="s">
        <v>671</v>
      </c>
      <c r="B79" s="1020"/>
      <c r="C79" s="1021"/>
      <c r="D79" s="595">
        <f>SUM(D73:D78)</f>
        <v>32285148</v>
      </c>
      <c r="E79" s="596">
        <f aca="true" t="shared" si="13" ref="E79:K79">SUM(E73:E78)</f>
        <v>2372000</v>
      </c>
      <c r="F79" s="597">
        <f t="shared" si="13"/>
        <v>34657148</v>
      </c>
      <c r="G79" s="595">
        <f t="shared" si="13"/>
        <v>12127295</v>
      </c>
      <c r="H79" s="596">
        <f t="shared" si="13"/>
        <v>0</v>
      </c>
      <c r="I79" s="597">
        <f t="shared" si="13"/>
        <v>12127295</v>
      </c>
      <c r="J79" s="595">
        <f t="shared" si="13"/>
        <v>0</v>
      </c>
      <c r="K79" s="596">
        <f t="shared" si="13"/>
        <v>0</v>
      </c>
      <c r="L79" s="597">
        <f>SUM(L73:L78)</f>
        <v>0</v>
      </c>
      <c r="M79" s="598">
        <f>SUM(M73:M78)</f>
        <v>46784443</v>
      </c>
      <c r="P79" s="600">
        <f>SUM(L79,I79,F79)</f>
        <v>46784443</v>
      </c>
    </row>
    <row r="80" spans="1:16" s="156" customFormat="1" ht="16.5" thickBot="1">
      <c r="A80" s="1007" t="s">
        <v>439</v>
      </c>
      <c r="B80" s="1008"/>
      <c r="C80" s="1009"/>
      <c r="D80" s="210">
        <f aca="true" t="shared" si="14" ref="D80:M80">D54+D58+D72+D79</f>
        <v>1098662478</v>
      </c>
      <c r="E80" s="210">
        <f t="shared" si="14"/>
        <v>454383698</v>
      </c>
      <c r="F80" s="506">
        <f t="shared" si="14"/>
        <v>1553046176</v>
      </c>
      <c r="G80" s="210">
        <f t="shared" si="14"/>
        <v>313758845</v>
      </c>
      <c r="H80" s="210">
        <f t="shared" si="14"/>
        <v>657775859</v>
      </c>
      <c r="I80" s="211">
        <f t="shared" si="14"/>
        <v>971534704</v>
      </c>
      <c r="J80" s="396">
        <f t="shared" si="14"/>
        <v>8704402</v>
      </c>
      <c r="K80" s="507">
        <f t="shared" si="14"/>
        <v>0</v>
      </c>
      <c r="L80" s="508">
        <f t="shared" si="14"/>
        <v>8704402</v>
      </c>
      <c r="M80" s="212">
        <f t="shared" si="14"/>
        <v>2533285282</v>
      </c>
      <c r="P80" s="594">
        <f>SUM(L80,I80,F80)</f>
        <v>2533285282</v>
      </c>
    </row>
    <row r="82" spans="1:2" ht="12.75">
      <c r="A82" s="92" t="s">
        <v>440</v>
      </c>
      <c r="B82" s="92" t="s">
        <v>441</v>
      </c>
    </row>
    <row r="83" spans="1:2" ht="12.75">
      <c r="A83" s="92" t="s">
        <v>442</v>
      </c>
      <c r="B83" s="92" t="s">
        <v>443</v>
      </c>
    </row>
    <row r="84" spans="1:2" ht="12.75">
      <c r="A84" s="92" t="s">
        <v>444</v>
      </c>
      <c r="B84" s="92" t="s">
        <v>445</v>
      </c>
    </row>
    <row r="85" spans="1:2" ht="12.75">
      <c r="A85" s="92" t="s">
        <v>446</v>
      </c>
      <c r="B85" s="92" t="s">
        <v>447</v>
      </c>
    </row>
    <row r="86" spans="1:2" ht="12.75">
      <c r="A86" s="92" t="s">
        <v>658</v>
      </c>
      <c r="B86" s="92" t="s">
        <v>659</v>
      </c>
    </row>
    <row r="87" spans="1:2" ht="12.75">
      <c r="A87" s="92" t="s">
        <v>534</v>
      </c>
      <c r="B87" s="92" t="s">
        <v>533</v>
      </c>
    </row>
    <row r="88" spans="1:2" ht="12.75">
      <c r="A88" s="92" t="s">
        <v>925</v>
      </c>
      <c r="B88" s="92" t="s">
        <v>924</v>
      </c>
    </row>
  </sheetData>
  <sheetProtection/>
  <mergeCells count="16">
    <mergeCell ref="G1:M1"/>
    <mergeCell ref="M6:M8"/>
    <mergeCell ref="A3:M4"/>
    <mergeCell ref="C6:C8"/>
    <mergeCell ref="G6:I7"/>
    <mergeCell ref="J6:L7"/>
    <mergeCell ref="A80:C80"/>
    <mergeCell ref="A58:C58"/>
    <mergeCell ref="D6:F7"/>
    <mergeCell ref="A72:C72"/>
    <mergeCell ref="B5:B8"/>
    <mergeCell ref="A5:A8"/>
    <mergeCell ref="C5:M5"/>
    <mergeCell ref="A54:C54"/>
    <mergeCell ref="A79:C79"/>
    <mergeCell ref="C60:C61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58" r:id="rId1"/>
  <rowBreaks count="2" manualBreakCount="2">
    <brk id="33" max="12" man="1"/>
    <brk id="5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O96"/>
  <sheetViews>
    <sheetView zoomScalePageLayoutView="0" workbookViewId="0" topLeftCell="Q1">
      <pane ySplit="7" topLeftCell="A58" activePane="bottomLeft" state="frozen"/>
      <selection pane="topLeft" activeCell="A1" sqref="A1"/>
      <selection pane="bottomLeft" activeCell="T1" sqref="T1:AB1"/>
    </sheetView>
  </sheetViews>
  <sheetFormatPr defaultColWidth="9.00390625" defaultRowHeight="12.75"/>
  <cols>
    <col min="1" max="2" width="9.125" style="92" customWidth="1"/>
    <col min="3" max="3" width="19.125" style="92" customWidth="1"/>
    <col min="4" max="6" width="18.00390625" style="92" bestFit="1" customWidth="1"/>
    <col min="7" max="7" width="12.625" style="92" customWidth="1"/>
    <col min="8" max="8" width="18.875" style="92" customWidth="1"/>
    <col min="9" max="9" width="9.25390625" style="92" bestFit="1" customWidth="1"/>
    <col min="10" max="10" width="11.375" style="92" bestFit="1" customWidth="1"/>
    <col min="11" max="11" width="19.25390625" style="92" customWidth="1"/>
    <col min="12" max="12" width="9.75390625" style="92" customWidth="1"/>
    <col min="13" max="13" width="9.125" style="92" customWidth="1"/>
    <col min="14" max="14" width="12.625" style="92" customWidth="1"/>
    <col min="15" max="15" width="8.125" style="92" customWidth="1"/>
    <col min="16" max="16" width="11.375" style="92" bestFit="1" customWidth="1"/>
    <col min="17" max="17" width="14.00390625" style="92" bestFit="1" customWidth="1"/>
    <col min="18" max="20" width="9.125" style="92" customWidth="1"/>
    <col min="21" max="21" width="9.875" style="92" customWidth="1"/>
    <col min="22" max="22" width="13.125" style="92" customWidth="1"/>
    <col min="23" max="23" width="16.625" style="92" bestFit="1" customWidth="1"/>
    <col min="24" max="24" width="18.00390625" style="221" bestFit="1" customWidth="1"/>
    <col min="25" max="25" width="18.25390625" style="221" customWidth="1"/>
    <col min="26" max="26" width="18.75390625" style="221" customWidth="1"/>
    <col min="27" max="27" width="19.75390625" style="221" bestFit="1" customWidth="1"/>
    <col min="28" max="28" width="17.375" style="221" bestFit="1" customWidth="1"/>
    <col min="29" max="29" width="19.75390625" style="221" bestFit="1" customWidth="1"/>
    <col min="30" max="223" width="9.125" style="221" customWidth="1"/>
    <col min="224" max="16384" width="9.125" style="92" customWidth="1"/>
  </cols>
  <sheetData>
    <row r="1" spans="1:28" ht="15">
      <c r="A1" s="158"/>
      <c r="B1" s="159"/>
      <c r="C1" s="160"/>
      <c r="H1" s="159"/>
      <c r="I1" s="159"/>
      <c r="J1" s="159"/>
      <c r="K1" s="161"/>
      <c r="L1" s="161"/>
      <c r="M1" s="161"/>
      <c r="N1" s="159"/>
      <c r="T1" s="1087" t="s">
        <v>1057</v>
      </c>
      <c r="U1" s="1088"/>
      <c r="V1" s="1088"/>
      <c r="W1" s="1088"/>
      <c r="X1" s="1089"/>
      <c r="Y1" s="1089"/>
      <c r="Z1" s="1089"/>
      <c r="AA1" s="1089"/>
      <c r="AB1" s="1089"/>
    </row>
    <row r="2" spans="1:14" ht="12.75">
      <c r="A2" s="158"/>
      <c r="B2" s="159"/>
      <c r="C2" s="160"/>
      <c r="D2" s="162"/>
      <c r="E2" s="163"/>
      <c r="F2" s="163"/>
      <c r="G2" s="163"/>
      <c r="H2" s="159"/>
      <c r="I2" s="159"/>
      <c r="J2" s="159"/>
      <c r="K2" s="161"/>
      <c r="L2" s="161"/>
      <c r="M2" s="161"/>
      <c r="N2" s="159"/>
    </row>
    <row r="3" spans="1:29" ht="15.75" customHeight="1">
      <c r="A3" s="1095" t="s">
        <v>746</v>
      </c>
      <c r="B3" s="1095"/>
      <c r="C3" s="1095"/>
      <c r="D3" s="1095"/>
      <c r="E3" s="1095"/>
      <c r="F3" s="1095"/>
      <c r="G3" s="1095"/>
      <c r="H3" s="1095"/>
      <c r="I3" s="1095"/>
      <c r="J3" s="1095"/>
      <c r="K3" s="1095"/>
      <c r="L3" s="1095"/>
      <c r="M3" s="1095"/>
      <c r="N3" s="1095"/>
      <c r="O3" s="1095"/>
      <c r="P3" s="1095"/>
      <c r="Q3" s="1095"/>
      <c r="R3" s="1095"/>
      <c r="S3" s="1095"/>
      <c r="T3" s="1095"/>
      <c r="U3" s="1095"/>
      <c r="V3" s="1095"/>
      <c r="W3" s="1095"/>
      <c r="X3" s="1095"/>
      <c r="Y3" s="1095"/>
      <c r="Z3" s="1095"/>
      <c r="AA3" s="1095"/>
      <c r="AB3" s="1095"/>
      <c r="AC3" s="1095"/>
    </row>
    <row r="4" spans="1:29" ht="15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</row>
    <row r="5" spans="1:29" ht="13.5" customHeight="1" thickBot="1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</row>
    <row r="6" spans="1:223" s="222" customFormat="1" ht="15" customHeight="1" thickBot="1" thickTop="1">
      <c r="A6" s="1083" t="s">
        <v>85</v>
      </c>
      <c r="B6" s="1084"/>
      <c r="C6" s="1084"/>
      <c r="D6" s="1102" t="s">
        <v>338</v>
      </c>
      <c r="E6" s="1057"/>
      <c r="F6" s="1058"/>
      <c r="G6" s="1103" t="s">
        <v>448</v>
      </c>
      <c r="H6" s="1104"/>
      <c r="I6" s="1104"/>
      <c r="J6" s="1104"/>
      <c r="K6" s="1105"/>
      <c r="L6" s="1056" t="s">
        <v>449</v>
      </c>
      <c r="M6" s="1113"/>
      <c r="N6" s="1113"/>
      <c r="O6" s="1113"/>
      <c r="P6" s="1113"/>
      <c r="Q6" s="1114"/>
      <c r="R6" s="1056" t="s">
        <v>450</v>
      </c>
      <c r="S6" s="1113"/>
      <c r="T6" s="1113"/>
      <c r="U6" s="1113"/>
      <c r="V6" s="1113"/>
      <c r="W6" s="1113"/>
      <c r="X6" s="1090" t="s">
        <v>451</v>
      </c>
      <c r="Y6" s="1091"/>
      <c r="Z6" s="1091"/>
      <c r="AA6" s="1092" t="s">
        <v>86</v>
      </c>
      <c r="AB6" s="1093"/>
      <c r="AC6" s="1094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</row>
    <row r="7" spans="1:29" s="221" customFormat="1" ht="16.5" customHeight="1" thickBot="1">
      <c r="A7" s="1085"/>
      <c r="B7" s="1086"/>
      <c r="C7" s="1086"/>
      <c r="D7" s="366" t="s">
        <v>87</v>
      </c>
      <c r="E7" s="554" t="s">
        <v>84</v>
      </c>
      <c r="F7" s="224" t="s">
        <v>88</v>
      </c>
      <c r="G7" s="1106"/>
      <c r="H7" s="1107"/>
      <c r="I7" s="1107"/>
      <c r="J7" s="1107"/>
      <c r="K7" s="1108"/>
      <c r="L7" s="1115"/>
      <c r="M7" s="1116"/>
      <c r="N7" s="1116"/>
      <c r="O7" s="1116"/>
      <c r="P7" s="1116"/>
      <c r="Q7" s="1117"/>
      <c r="R7" s="1115"/>
      <c r="S7" s="1116"/>
      <c r="T7" s="1116"/>
      <c r="U7" s="1116"/>
      <c r="V7" s="1116"/>
      <c r="W7" s="1116"/>
      <c r="X7" s="223" t="s">
        <v>87</v>
      </c>
      <c r="Y7" s="366" t="s">
        <v>84</v>
      </c>
      <c r="Z7" s="541" t="s">
        <v>88</v>
      </c>
      <c r="AA7" s="223" t="s">
        <v>87</v>
      </c>
      <c r="AB7" s="366" t="s">
        <v>84</v>
      </c>
      <c r="AC7" s="224" t="s">
        <v>88</v>
      </c>
    </row>
    <row r="8" spans="1:29" s="239" customFormat="1" ht="26.25" customHeight="1">
      <c r="A8" s="225"/>
      <c r="B8" s="226"/>
      <c r="C8" s="227"/>
      <c r="D8" s="228"/>
      <c r="E8" s="226"/>
      <c r="F8" s="229"/>
      <c r="G8" s="1074" t="s">
        <v>452</v>
      </c>
      <c r="H8" s="1062"/>
      <c r="I8" s="1062"/>
      <c r="J8" s="390">
        <f>186857281-119812800+1038000+426173+10068391+848820-11343384+652750+9987-60-89517</f>
        <v>68655641</v>
      </c>
      <c r="K8" s="1045">
        <f>SUM(J8:J18)</f>
        <v>198229087</v>
      </c>
      <c r="L8" s="1111"/>
      <c r="M8" s="1112"/>
      <c r="N8" s="1112"/>
      <c r="O8" s="1112"/>
      <c r="P8" s="231"/>
      <c r="Q8" s="1109">
        <f>SUM(P8:P18)</f>
        <v>100868163</v>
      </c>
      <c r="R8" s="1041" t="s">
        <v>223</v>
      </c>
      <c r="S8" s="1042"/>
      <c r="T8" s="1042"/>
      <c r="U8" s="1042"/>
      <c r="V8" s="390">
        <f>261700000-10269500-11730500</f>
        <v>239700000</v>
      </c>
      <c r="W8" s="1064">
        <f>SUM(V8:V18)</f>
        <v>417410737</v>
      </c>
      <c r="X8" s="233"/>
      <c r="Y8" s="234"/>
      <c r="Z8" s="235"/>
      <c r="AA8" s="236"/>
      <c r="AB8" s="237"/>
      <c r="AC8" s="238"/>
    </row>
    <row r="9" spans="1:29" s="239" customFormat="1" ht="27" customHeight="1">
      <c r="A9" s="225"/>
      <c r="B9" s="226"/>
      <c r="C9" s="228"/>
      <c r="D9" s="228"/>
      <c r="E9" s="226"/>
      <c r="F9" s="229"/>
      <c r="G9" s="1096" t="s">
        <v>537</v>
      </c>
      <c r="H9" s="1055"/>
      <c r="I9" s="1055"/>
      <c r="J9" s="390">
        <v>1889954</v>
      </c>
      <c r="K9" s="1046"/>
      <c r="L9" s="1049" t="s">
        <v>453</v>
      </c>
      <c r="M9" s="1050"/>
      <c r="N9" s="1050"/>
      <c r="O9" s="1050"/>
      <c r="P9" s="390">
        <v>4572392</v>
      </c>
      <c r="Q9" s="1110"/>
      <c r="R9" s="1041" t="s">
        <v>106</v>
      </c>
      <c r="S9" s="1042"/>
      <c r="T9" s="1042"/>
      <c r="U9" s="1042"/>
      <c r="V9" s="390">
        <f>10142978+129870</f>
        <v>10272848</v>
      </c>
      <c r="W9" s="1065"/>
      <c r="X9" s="240"/>
      <c r="Y9" s="234"/>
      <c r="Z9" s="241"/>
      <c r="AA9" s="225"/>
      <c r="AB9" s="242"/>
      <c r="AC9" s="243"/>
    </row>
    <row r="10" spans="1:29" s="239" customFormat="1" ht="24.75" customHeight="1">
      <c r="A10" s="244"/>
      <c r="B10" s="245"/>
      <c r="C10" s="246" t="s">
        <v>427</v>
      </c>
      <c r="D10" s="247">
        <f>SUM('6. kiadások megbontása'!D54)</f>
        <v>710563400</v>
      </c>
      <c r="E10" s="248">
        <f>SUM('6. kiadások megbontása'!E54)</f>
        <v>447044651</v>
      </c>
      <c r="F10" s="249">
        <f>SUM(D10:E10)</f>
        <v>1157608051</v>
      </c>
      <c r="G10" s="1096" t="s">
        <v>643</v>
      </c>
      <c r="H10" s="1055"/>
      <c r="I10" s="1055"/>
      <c r="J10" s="577">
        <v>42697611</v>
      </c>
      <c r="K10" s="1046"/>
      <c r="L10" s="1049" t="s">
        <v>750</v>
      </c>
      <c r="M10" s="1050"/>
      <c r="N10" s="1050"/>
      <c r="O10" s="1050"/>
      <c r="P10" s="390">
        <v>29559000</v>
      </c>
      <c r="Q10" s="1110"/>
      <c r="R10" s="556" t="s">
        <v>663</v>
      </c>
      <c r="S10" s="559"/>
      <c r="T10" s="559"/>
      <c r="U10" s="559"/>
      <c r="V10" s="390">
        <v>80000</v>
      </c>
      <c r="W10" s="1065"/>
      <c r="X10" s="250"/>
      <c r="Y10" s="251"/>
      <c r="Z10" s="241"/>
      <c r="AA10" s="252"/>
      <c r="AB10" s="253"/>
      <c r="AC10" s="254"/>
    </row>
    <row r="11" spans="1:29" s="239" customFormat="1" ht="16.5" customHeight="1">
      <c r="A11" s="255"/>
      <c r="B11" s="256"/>
      <c r="C11" s="257"/>
      <c r="D11" s="257"/>
      <c r="E11" s="226"/>
      <c r="F11" s="229"/>
      <c r="G11" s="1082" t="s">
        <v>472</v>
      </c>
      <c r="H11" s="1082"/>
      <c r="I11" s="1082"/>
      <c r="J11" s="390">
        <v>48822917</v>
      </c>
      <c r="K11" s="1046"/>
      <c r="L11" s="556" t="s">
        <v>721</v>
      </c>
      <c r="M11" s="557"/>
      <c r="N11" s="557"/>
      <c r="O11" s="557"/>
      <c r="P11" s="390">
        <f>4016545+16490993-2702314+352049</f>
        <v>18157273</v>
      </c>
      <c r="Q11" s="1110"/>
      <c r="R11" s="556" t="s">
        <v>264</v>
      </c>
      <c r="S11" s="559"/>
      <c r="T11" s="559"/>
      <c r="U11" s="559"/>
      <c r="V11" s="390">
        <f>731000+15000</f>
        <v>746000</v>
      </c>
      <c r="W11" s="1065"/>
      <c r="X11" s="250"/>
      <c r="Y11" s="251"/>
      <c r="Z11" s="241"/>
      <c r="AA11" s="252"/>
      <c r="AB11" s="253"/>
      <c r="AC11" s="254"/>
    </row>
    <row r="12" spans="1:29" s="239" customFormat="1" ht="24.75" customHeight="1">
      <c r="A12" s="255"/>
      <c r="B12" s="256"/>
      <c r="C12" s="257"/>
      <c r="D12" s="257"/>
      <c r="E12" s="226"/>
      <c r="F12" s="229"/>
      <c r="G12" s="1096" t="s">
        <v>1039</v>
      </c>
      <c r="H12" s="1055"/>
      <c r="I12" s="1055"/>
      <c r="J12" s="230">
        <v>5000000</v>
      </c>
      <c r="K12" s="1046"/>
      <c r="L12" s="1041" t="s">
        <v>722</v>
      </c>
      <c r="M12" s="1042"/>
      <c r="N12" s="1042"/>
      <c r="O12" s="1042"/>
      <c r="P12" s="387">
        <f>13227888+26537427-8864634+5586997+676210</f>
        <v>37163888</v>
      </c>
      <c r="Q12" s="1110"/>
      <c r="R12" s="556" t="s">
        <v>640</v>
      </c>
      <c r="S12" s="559"/>
      <c r="T12" s="559"/>
      <c r="U12" s="559"/>
      <c r="V12" s="390">
        <f>2666578+556176+599440</f>
        <v>3822194</v>
      </c>
      <c r="W12" s="1065"/>
      <c r="X12" s="250"/>
      <c r="Y12" s="251"/>
      <c r="Z12" s="241"/>
      <c r="AA12" s="252"/>
      <c r="AB12" s="253"/>
      <c r="AC12" s="254"/>
    </row>
    <row r="13" spans="1:29" s="239" customFormat="1" ht="15.75" customHeight="1">
      <c r="A13" s="255"/>
      <c r="B13" s="256"/>
      <c r="C13" s="257"/>
      <c r="D13" s="257"/>
      <c r="E13" s="226"/>
      <c r="F13" s="229"/>
      <c r="G13" s="1082" t="s">
        <v>864</v>
      </c>
      <c r="H13" s="1082"/>
      <c r="I13" s="1082"/>
      <c r="J13" s="230">
        <v>8095006</v>
      </c>
      <c r="K13" s="1046"/>
      <c r="L13" s="1049" t="s">
        <v>806</v>
      </c>
      <c r="M13" s="1050"/>
      <c r="N13" s="1050"/>
      <c r="O13" s="1050"/>
      <c r="P13" s="1044">
        <f>2626200+2324200</f>
        <v>4950400</v>
      </c>
      <c r="Q13" s="1110"/>
      <c r="R13" s="556" t="s">
        <v>863</v>
      </c>
      <c r="S13" s="557"/>
      <c r="T13" s="557"/>
      <c r="U13" s="557"/>
      <c r="V13" s="521">
        <f>7524890+12898200+635625-2742137+2742137</f>
        <v>21058715</v>
      </c>
      <c r="W13" s="1065"/>
      <c r="X13" s="250"/>
      <c r="Y13" s="251"/>
      <c r="Z13" s="241"/>
      <c r="AA13" s="252"/>
      <c r="AB13" s="253"/>
      <c r="AC13" s="254"/>
    </row>
    <row r="14" spans="1:29" s="239" customFormat="1" ht="15.75" customHeight="1">
      <c r="A14" s="255"/>
      <c r="B14" s="256"/>
      <c r="C14" s="257"/>
      <c r="D14" s="257"/>
      <c r="E14" s="226"/>
      <c r="F14" s="229"/>
      <c r="G14" s="1180" t="s">
        <v>1040</v>
      </c>
      <c r="H14" s="1082"/>
      <c r="I14" s="1082"/>
      <c r="J14" s="230">
        <v>23067958</v>
      </c>
      <c r="K14" s="1046"/>
      <c r="L14" s="1049"/>
      <c r="M14" s="1050"/>
      <c r="N14" s="1050"/>
      <c r="O14" s="1050"/>
      <c r="P14" s="1044"/>
      <c r="Q14" s="1110"/>
      <c r="R14" s="1041" t="s">
        <v>749</v>
      </c>
      <c r="S14" s="1042"/>
      <c r="T14" s="1042"/>
      <c r="U14" s="1042"/>
      <c r="V14" s="521">
        <f>635000+162081+43762</f>
        <v>840843</v>
      </c>
      <c r="W14" s="1065"/>
      <c r="X14" s="250"/>
      <c r="Y14" s="251"/>
      <c r="Z14" s="241"/>
      <c r="AA14" s="252"/>
      <c r="AB14" s="253"/>
      <c r="AC14" s="254"/>
    </row>
    <row r="15" spans="1:29" s="239" customFormat="1" ht="16.5" customHeight="1">
      <c r="A15" s="255"/>
      <c r="B15" s="256"/>
      <c r="C15" s="257"/>
      <c r="D15" s="257"/>
      <c r="E15" s="226"/>
      <c r="F15" s="258"/>
      <c r="G15" s="1082"/>
      <c r="H15" s="1082"/>
      <c r="I15" s="1082"/>
      <c r="J15" s="230"/>
      <c r="K15" s="1046"/>
      <c r="L15" s="1081" t="s">
        <v>866</v>
      </c>
      <c r="M15" s="1082"/>
      <c r="N15" s="1082"/>
      <c r="O15" s="1082"/>
      <c r="P15" s="390">
        <v>571500</v>
      </c>
      <c r="Q15" s="1110"/>
      <c r="R15" s="1041" t="s">
        <v>641</v>
      </c>
      <c r="S15" s="1042"/>
      <c r="T15" s="1042"/>
      <c r="U15" s="1042"/>
      <c r="V15" s="521">
        <v>500</v>
      </c>
      <c r="W15" s="1065"/>
      <c r="X15" s="260">
        <f>SUM(W8,Q8,K8)</f>
        <v>716507987</v>
      </c>
      <c r="Y15" s="261">
        <f>SUM(W19+Q19+K19)</f>
        <v>446102607</v>
      </c>
      <c r="Z15" s="262">
        <f>SUM(Y15,X15)</f>
        <v>1162610594</v>
      </c>
      <c r="AA15" s="260">
        <f>X15-D10</f>
        <v>5944587</v>
      </c>
      <c r="AB15" s="261">
        <f>Y15-E10</f>
        <v>-942044</v>
      </c>
      <c r="AC15" s="263">
        <f>SUM(AA15:AB15)</f>
        <v>5002543</v>
      </c>
    </row>
    <row r="16" spans="1:29" s="239" customFormat="1" ht="24.75" customHeight="1">
      <c r="A16" s="255"/>
      <c r="B16" s="256"/>
      <c r="C16" s="257"/>
      <c r="D16" s="257"/>
      <c r="E16" s="226"/>
      <c r="F16" s="258"/>
      <c r="G16" s="232"/>
      <c r="H16" s="232"/>
      <c r="I16" s="232"/>
      <c r="J16" s="230"/>
      <c r="K16" s="1046"/>
      <c r="L16" s="1054" t="s">
        <v>928</v>
      </c>
      <c r="M16" s="1055"/>
      <c r="N16" s="1055"/>
      <c r="O16" s="1055"/>
      <c r="P16" s="387">
        <f>2563710</f>
        <v>2563710</v>
      </c>
      <c r="Q16" s="1110"/>
      <c r="R16" s="1041" t="s">
        <v>898</v>
      </c>
      <c r="S16" s="1042"/>
      <c r="T16" s="1042"/>
      <c r="U16" s="1042"/>
      <c r="V16" s="521">
        <f>73560+212129+102620+28000+13208+63900+550901+132767</f>
        <v>1177085</v>
      </c>
      <c r="W16" s="1065"/>
      <c r="X16" s="260"/>
      <c r="Y16" s="261"/>
      <c r="Z16" s="262"/>
      <c r="AA16" s="260"/>
      <c r="AB16" s="261"/>
      <c r="AC16" s="263"/>
    </row>
    <row r="17" spans="1:29" s="221" customFormat="1" ht="17.25" customHeight="1">
      <c r="A17" s="264"/>
      <c r="B17" s="265"/>
      <c r="C17" s="266"/>
      <c r="D17" s="266"/>
      <c r="E17" s="267"/>
      <c r="F17" s="268"/>
      <c r="G17" s="1096"/>
      <c r="H17" s="1055"/>
      <c r="I17" s="1055"/>
      <c r="J17" s="230"/>
      <c r="K17" s="1046"/>
      <c r="L17" s="1081" t="s">
        <v>867</v>
      </c>
      <c r="M17" s="1082"/>
      <c r="N17" s="1082"/>
      <c r="O17" s="1082"/>
      <c r="P17" s="390">
        <f>2887500+50000</f>
        <v>2937500</v>
      </c>
      <c r="Q17" s="1110"/>
      <c r="R17" s="1041" t="s">
        <v>642</v>
      </c>
      <c r="S17" s="1042"/>
      <c r="T17" s="1042"/>
      <c r="U17" s="1042"/>
      <c r="V17" s="521">
        <f>39431147+100281405</f>
        <v>139712552</v>
      </c>
      <c r="W17" s="1065"/>
      <c r="X17" s="250"/>
      <c r="Y17" s="251"/>
      <c r="Z17" s="241"/>
      <c r="AA17" s="252"/>
      <c r="AB17" s="253"/>
      <c r="AC17" s="254"/>
    </row>
    <row r="18" spans="1:29" s="221" customFormat="1" ht="16.5" customHeight="1" thickBot="1">
      <c r="A18" s="264"/>
      <c r="B18" s="265"/>
      <c r="C18" s="266"/>
      <c r="D18" s="266"/>
      <c r="E18" s="267"/>
      <c r="F18" s="268"/>
      <c r="G18" s="1096"/>
      <c r="H18" s="1055"/>
      <c r="I18" s="1055"/>
      <c r="J18" s="230"/>
      <c r="K18" s="1046"/>
      <c r="L18" s="1041" t="s">
        <v>802</v>
      </c>
      <c r="M18" s="1042"/>
      <c r="N18" s="1042"/>
      <c r="O18" s="1042"/>
      <c r="P18" s="577">
        <f>375000+17500</f>
        <v>392500</v>
      </c>
      <c r="Q18" s="1110"/>
      <c r="W18" s="1065"/>
      <c r="X18" s="250"/>
      <c r="Y18" s="251"/>
      <c r="Z18" s="241"/>
      <c r="AA18" s="252"/>
      <c r="AB18" s="253"/>
      <c r="AC18" s="254"/>
    </row>
    <row r="19" spans="1:29" s="221" customFormat="1" ht="24" customHeight="1">
      <c r="A19" s="264"/>
      <c r="B19" s="265"/>
      <c r="C19" s="266"/>
      <c r="D19" s="266"/>
      <c r="E19" s="267"/>
      <c r="F19" s="268"/>
      <c r="G19" s="1074" t="s">
        <v>913</v>
      </c>
      <c r="H19" s="1062"/>
      <c r="I19" s="1062"/>
      <c r="J19" s="272">
        <v>19846252</v>
      </c>
      <c r="K19" s="1045">
        <f>SUM(J19:J23)</f>
        <v>19846252</v>
      </c>
      <c r="L19" s="1070" t="s">
        <v>790</v>
      </c>
      <c r="M19" s="1071"/>
      <c r="N19" s="1071"/>
      <c r="O19" s="1071"/>
      <c r="P19" s="518">
        <v>74295</v>
      </c>
      <c r="Q19" s="1099">
        <f>SUM(P19:P23)</f>
        <v>143003799</v>
      </c>
      <c r="R19" s="1070" t="s">
        <v>89</v>
      </c>
      <c r="S19" s="1071"/>
      <c r="T19" s="1071"/>
      <c r="U19" s="1071"/>
      <c r="V19" s="391">
        <f>44406964+1500000+1000000+11730500-1038000-510500-7422766-3606983+8314422-2570647-1717174-4768235-31230088-6628035-4536506</f>
        <v>2922952</v>
      </c>
      <c r="W19" s="1064">
        <f>SUM(V19:V23)</f>
        <v>283252556</v>
      </c>
      <c r="X19" s="250"/>
      <c r="Y19" s="251"/>
      <c r="Z19" s="241"/>
      <c r="AA19" s="252"/>
      <c r="AB19" s="253"/>
      <c r="AC19" s="254"/>
    </row>
    <row r="20" spans="1:29" s="221" customFormat="1" ht="16.5" customHeight="1">
      <c r="A20" s="264"/>
      <c r="B20" s="265"/>
      <c r="C20" s="266"/>
      <c r="D20" s="266"/>
      <c r="E20" s="267"/>
      <c r="F20" s="268"/>
      <c r="G20" s="270"/>
      <c r="H20" s="271"/>
      <c r="I20" s="271"/>
      <c r="J20" s="273"/>
      <c r="K20" s="1046"/>
      <c r="L20" s="556" t="s">
        <v>791</v>
      </c>
      <c r="M20" s="557"/>
      <c r="N20" s="557"/>
      <c r="O20" s="557"/>
      <c r="P20" s="387">
        <v>190500</v>
      </c>
      <c r="Q20" s="1063"/>
      <c r="R20" s="556"/>
      <c r="S20" s="557"/>
      <c r="T20" s="557"/>
      <c r="U20" s="557"/>
      <c r="V20" s="389"/>
      <c r="W20" s="1065"/>
      <c r="X20" s="250"/>
      <c r="Y20" s="251"/>
      <c r="Z20" s="241"/>
      <c r="AA20" s="252"/>
      <c r="AB20" s="253"/>
      <c r="AC20" s="254"/>
    </row>
    <row r="21" spans="1:29" s="221" customFormat="1" ht="24" customHeight="1">
      <c r="A21" s="264"/>
      <c r="B21" s="265"/>
      <c r="C21" s="266"/>
      <c r="D21" s="266"/>
      <c r="E21" s="267"/>
      <c r="F21" s="268"/>
      <c r="G21" s="270"/>
      <c r="H21" s="271"/>
      <c r="I21" s="271"/>
      <c r="J21" s="273"/>
      <c r="K21" s="1046"/>
      <c r="L21" s="1054" t="s">
        <v>900</v>
      </c>
      <c r="M21" s="1055"/>
      <c r="N21" s="1055"/>
      <c r="O21" s="1055"/>
      <c r="P21" s="387">
        <v>6795254</v>
      </c>
      <c r="Q21" s="1063"/>
      <c r="R21" s="556"/>
      <c r="S21" s="557"/>
      <c r="T21" s="557"/>
      <c r="U21" s="557"/>
      <c r="V21" s="389"/>
      <c r="W21" s="1065"/>
      <c r="X21" s="250"/>
      <c r="Y21" s="251"/>
      <c r="Z21" s="241"/>
      <c r="AA21" s="252"/>
      <c r="AB21" s="253"/>
      <c r="AC21" s="254"/>
    </row>
    <row r="22" spans="1:29" s="221" customFormat="1" ht="24" customHeight="1">
      <c r="A22" s="264"/>
      <c r="B22" s="265"/>
      <c r="C22" s="266"/>
      <c r="D22" s="266"/>
      <c r="E22" s="267"/>
      <c r="F22" s="268"/>
      <c r="G22" s="270"/>
      <c r="H22" s="271"/>
      <c r="I22" s="271"/>
      <c r="J22" s="273"/>
      <c r="K22" s="1046"/>
      <c r="L22" s="1054" t="s">
        <v>928</v>
      </c>
      <c r="M22" s="1055"/>
      <c r="N22" s="1055"/>
      <c r="O22" s="1055"/>
      <c r="P22" s="387">
        <v>135676290</v>
      </c>
      <c r="Q22" s="1063"/>
      <c r="R22" s="556"/>
      <c r="S22" s="557"/>
      <c r="T22" s="557"/>
      <c r="U22" s="557"/>
      <c r="V22" s="389"/>
      <c r="W22" s="1065"/>
      <c r="X22" s="250"/>
      <c r="Y22" s="251"/>
      <c r="Z22" s="241"/>
      <c r="AA22" s="252"/>
      <c r="AB22" s="253"/>
      <c r="AC22" s="254"/>
    </row>
    <row r="23" spans="1:29" s="221" customFormat="1" ht="18.75" customHeight="1" thickBot="1">
      <c r="A23" s="264"/>
      <c r="B23" s="265"/>
      <c r="C23" s="266"/>
      <c r="D23" s="266"/>
      <c r="E23" s="267"/>
      <c r="F23" s="268"/>
      <c r="G23" s="270"/>
      <c r="H23" s="271"/>
      <c r="I23" s="271"/>
      <c r="J23" s="273"/>
      <c r="K23" s="1046"/>
      <c r="L23" s="1081" t="s">
        <v>747</v>
      </c>
      <c r="M23" s="1082"/>
      <c r="N23" s="1082"/>
      <c r="O23" s="1082"/>
      <c r="P23" s="259">
        <v>267460</v>
      </c>
      <c r="Q23" s="1063"/>
      <c r="R23" s="1049" t="s">
        <v>637</v>
      </c>
      <c r="S23" s="1050"/>
      <c r="T23" s="1050"/>
      <c r="U23" s="1050"/>
      <c r="V23" s="389">
        <f>257341321+22988283</f>
        <v>280329604</v>
      </c>
      <c r="W23" s="1065"/>
      <c r="X23" s="250"/>
      <c r="Y23" s="251"/>
      <c r="Z23" s="241"/>
      <c r="AA23" s="252"/>
      <c r="AB23" s="253"/>
      <c r="AC23" s="254"/>
    </row>
    <row r="24" spans="1:29" s="221" customFormat="1" ht="18" customHeight="1" thickTop="1">
      <c r="A24" s="394"/>
      <c r="B24" s="274"/>
      <c r="C24" s="275"/>
      <c r="D24" s="275"/>
      <c r="E24" s="276"/>
      <c r="F24" s="277"/>
      <c r="G24" s="1124"/>
      <c r="H24" s="1125"/>
      <c r="I24" s="1125"/>
      <c r="J24" s="395"/>
      <c r="K24" s="1068">
        <f>SUM(J24:J25)</f>
        <v>0</v>
      </c>
      <c r="L24" s="1100" t="s">
        <v>454</v>
      </c>
      <c r="M24" s="1101"/>
      <c r="N24" s="1101"/>
      <c r="O24" s="1101"/>
      <c r="P24" s="519"/>
      <c r="Q24" s="1068">
        <f>SUM(P24:P25)</f>
        <v>0</v>
      </c>
      <c r="R24" s="279"/>
      <c r="S24" s="280"/>
      <c r="T24" s="280"/>
      <c r="U24" s="280"/>
      <c r="V24" s="281"/>
      <c r="W24" s="282"/>
      <c r="X24" s="283"/>
      <c r="Y24" s="284"/>
      <c r="Z24" s="285"/>
      <c r="AA24" s="286"/>
      <c r="AB24" s="287"/>
      <c r="AC24" s="288"/>
    </row>
    <row r="25" spans="1:223" s="369" customFormat="1" ht="19.5" customHeight="1" thickBot="1">
      <c r="A25" s="544"/>
      <c r="B25" s="1133" t="s">
        <v>90</v>
      </c>
      <c r="C25" s="1134"/>
      <c r="D25" s="545">
        <f>SUM('6. kiadások megbontása'!J54)</f>
        <v>8704402</v>
      </c>
      <c r="E25" s="546">
        <f>SUM('6. kiadások megbontása'!K54)</f>
        <v>0</v>
      </c>
      <c r="F25" s="547">
        <f>SUM(D25:E25)</f>
        <v>8704402</v>
      </c>
      <c r="G25" s="1126"/>
      <c r="H25" s="1127"/>
      <c r="I25" s="1127"/>
      <c r="J25" s="548"/>
      <c r="K25" s="1128"/>
      <c r="L25" s="1079" t="s">
        <v>538</v>
      </c>
      <c r="M25" s="1080"/>
      <c r="N25" s="1080"/>
      <c r="O25" s="1080"/>
      <c r="P25" s="520"/>
      <c r="Q25" s="1128"/>
      <c r="R25" s="1079"/>
      <c r="S25" s="1080"/>
      <c r="T25" s="1080"/>
      <c r="U25" s="1080"/>
      <c r="V25" s="549"/>
      <c r="W25" s="550">
        <f>SUM(V25)</f>
        <v>0</v>
      </c>
      <c r="X25" s="551">
        <f>SUM(W25,Q24,K24)</f>
        <v>0</v>
      </c>
      <c r="Y25" s="552">
        <v>0</v>
      </c>
      <c r="Z25" s="553">
        <f>SUM(X25:Y25)</f>
        <v>0</v>
      </c>
      <c r="AA25" s="551">
        <f>X25-D25</f>
        <v>-8704402</v>
      </c>
      <c r="AB25" s="552">
        <f>Y25-E25</f>
        <v>0</v>
      </c>
      <c r="AC25" s="289">
        <f>SUM(AA25:AB25)</f>
        <v>-8704402</v>
      </c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4"/>
      <c r="CX25" s="384"/>
      <c r="CY25" s="384"/>
      <c r="CZ25" s="384"/>
      <c r="DA25" s="384"/>
      <c r="DB25" s="384"/>
      <c r="DC25" s="384"/>
      <c r="DD25" s="384"/>
      <c r="DE25" s="384"/>
      <c r="DF25" s="384"/>
      <c r="DG25" s="384"/>
      <c r="DH25" s="384"/>
      <c r="DI25" s="384"/>
      <c r="DJ25" s="384"/>
      <c r="DK25" s="384"/>
      <c r="DL25" s="384"/>
      <c r="DM25" s="384"/>
      <c r="DN25" s="384"/>
      <c r="DO25" s="384"/>
      <c r="DP25" s="384"/>
      <c r="DQ25" s="384"/>
      <c r="DR25" s="384"/>
      <c r="DS25" s="384"/>
      <c r="DT25" s="384"/>
      <c r="DU25" s="384"/>
      <c r="DV25" s="384"/>
      <c r="DW25" s="384"/>
      <c r="DX25" s="384"/>
      <c r="DY25" s="384"/>
      <c r="DZ25" s="384"/>
      <c r="EA25" s="384"/>
      <c r="EB25" s="384"/>
      <c r="EC25" s="384"/>
      <c r="ED25" s="384"/>
      <c r="EE25" s="384"/>
      <c r="EF25" s="384"/>
      <c r="EG25" s="384"/>
      <c r="EH25" s="384"/>
      <c r="EI25" s="384"/>
      <c r="EJ25" s="384"/>
      <c r="EK25" s="384"/>
      <c r="EL25" s="384"/>
      <c r="EM25" s="384"/>
      <c r="EN25" s="384"/>
      <c r="EO25" s="384"/>
      <c r="EP25" s="384"/>
      <c r="EQ25" s="384"/>
      <c r="ER25" s="384"/>
      <c r="ES25" s="384"/>
      <c r="ET25" s="384"/>
      <c r="EU25" s="384"/>
      <c r="EV25" s="384"/>
      <c r="EW25" s="384"/>
      <c r="EX25" s="384"/>
      <c r="EY25" s="384"/>
      <c r="EZ25" s="384"/>
      <c r="FA25" s="384"/>
      <c r="FB25" s="384"/>
      <c r="FC25" s="384"/>
      <c r="FD25" s="384"/>
      <c r="FE25" s="384"/>
      <c r="FF25" s="384"/>
      <c r="FG25" s="384"/>
      <c r="FH25" s="384"/>
      <c r="FI25" s="384"/>
      <c r="FJ25" s="384"/>
      <c r="FK25" s="384"/>
      <c r="FL25" s="384"/>
      <c r="FM25" s="384"/>
      <c r="FN25" s="384"/>
      <c r="FO25" s="384"/>
      <c r="FP25" s="384"/>
      <c r="FQ25" s="384"/>
      <c r="FR25" s="384"/>
      <c r="FS25" s="384"/>
      <c r="FT25" s="384"/>
      <c r="FU25" s="384"/>
      <c r="FV25" s="384"/>
      <c r="FW25" s="384"/>
      <c r="FX25" s="384"/>
      <c r="FY25" s="384"/>
      <c r="FZ25" s="384"/>
      <c r="GA25" s="384"/>
      <c r="GB25" s="384"/>
      <c r="GC25" s="384"/>
      <c r="GD25" s="384"/>
      <c r="GE25" s="384"/>
      <c r="GF25" s="384"/>
      <c r="GG25" s="384"/>
      <c r="GH25" s="384"/>
      <c r="GI25" s="384"/>
      <c r="GJ25" s="384"/>
      <c r="GK25" s="384"/>
      <c r="GL25" s="384"/>
      <c r="GM25" s="384"/>
      <c r="GN25" s="384"/>
      <c r="GO25" s="384"/>
      <c r="GP25" s="384"/>
      <c r="GQ25" s="384"/>
      <c r="GR25" s="384"/>
      <c r="GS25" s="384"/>
      <c r="GT25" s="384"/>
      <c r="GU25" s="384"/>
      <c r="GV25" s="384"/>
      <c r="GW25" s="384"/>
      <c r="GX25" s="384"/>
      <c r="GY25" s="384"/>
      <c r="GZ25" s="384"/>
      <c r="HA25" s="384"/>
      <c r="HB25" s="384"/>
      <c r="HC25" s="384"/>
      <c r="HD25" s="384"/>
      <c r="HE25" s="384"/>
      <c r="HF25" s="384"/>
      <c r="HG25" s="384"/>
      <c r="HH25" s="384"/>
      <c r="HI25" s="384"/>
      <c r="HJ25" s="384"/>
      <c r="HK25" s="384"/>
      <c r="HL25" s="384"/>
      <c r="HM25" s="384"/>
      <c r="HN25" s="384"/>
      <c r="HO25" s="384"/>
    </row>
    <row r="26" spans="1:29" ht="24.75" customHeight="1" thickTop="1">
      <c r="A26" s="305"/>
      <c r="B26" s="267"/>
      <c r="C26" s="291"/>
      <c r="D26" s="292"/>
      <c r="E26" s="292"/>
      <c r="F26" s="268"/>
      <c r="G26" s="270"/>
      <c r="H26" s="271"/>
      <c r="I26" s="271"/>
      <c r="J26" s="293"/>
      <c r="K26" s="1068">
        <f>SUM(J26:J31)</f>
        <v>0</v>
      </c>
      <c r="L26" s="1041" t="s">
        <v>105</v>
      </c>
      <c r="M26" s="1042"/>
      <c r="N26" s="1042"/>
      <c r="O26" s="1042"/>
      <c r="P26" s="230">
        <v>2100000</v>
      </c>
      <c r="Q26" s="1068">
        <f>SUM(P26:P31)</f>
        <v>153105843</v>
      </c>
      <c r="R26" s="1049" t="s">
        <v>638</v>
      </c>
      <c r="S26" s="1050"/>
      <c r="T26" s="1050"/>
      <c r="U26" s="1050"/>
      <c r="V26" s="389">
        <f>9000000+1370149-1370149+1370149+2265477</f>
        <v>12635626</v>
      </c>
      <c r="W26" s="1135">
        <f>SUM(V26:V31)</f>
        <v>98615148</v>
      </c>
      <c r="X26" s="294"/>
      <c r="Y26" s="295"/>
      <c r="Z26" s="296"/>
      <c r="AA26" s="294"/>
      <c r="AB26" s="295"/>
      <c r="AC26" s="277"/>
    </row>
    <row r="27" spans="1:29" ht="24.75" customHeight="1">
      <c r="A27" s="305"/>
      <c r="B27" s="267"/>
      <c r="C27" s="291"/>
      <c r="D27" s="292"/>
      <c r="E27" s="267"/>
      <c r="F27" s="268"/>
      <c r="G27" s="270"/>
      <c r="H27" s="271"/>
      <c r="I27" s="271"/>
      <c r="J27" s="293"/>
      <c r="K27" s="1046"/>
      <c r="L27" s="1054" t="s">
        <v>803</v>
      </c>
      <c r="M27" s="1055"/>
      <c r="N27" s="1055"/>
      <c r="O27" s="1055"/>
      <c r="P27" s="230">
        <f>40118910+13881090</f>
        <v>54000000</v>
      </c>
      <c r="Q27" s="1046"/>
      <c r="R27" s="1049" t="s">
        <v>640</v>
      </c>
      <c r="S27" s="1050"/>
      <c r="T27" s="1050"/>
      <c r="U27" s="1050"/>
      <c r="V27" s="389"/>
      <c r="W27" s="1063"/>
      <c r="X27" s="563"/>
      <c r="Y27" s="292"/>
      <c r="Z27" s="267"/>
      <c r="AA27" s="305"/>
      <c r="AB27" s="292"/>
      <c r="AC27" s="268"/>
    </row>
    <row r="28" spans="1:29" ht="24.75" customHeight="1">
      <c r="A28" s="305"/>
      <c r="B28" s="267"/>
      <c r="C28" s="291"/>
      <c r="D28" s="292"/>
      <c r="E28" s="267"/>
      <c r="F28" s="268"/>
      <c r="G28" s="270"/>
      <c r="H28" s="271"/>
      <c r="I28" s="271"/>
      <c r="J28" s="293"/>
      <c r="K28" s="1046"/>
      <c r="L28" s="1054" t="s">
        <v>805</v>
      </c>
      <c r="M28" s="1055"/>
      <c r="N28" s="1055"/>
      <c r="O28" s="1055"/>
      <c r="P28" s="230">
        <f>60657486+5109584</f>
        <v>65767070</v>
      </c>
      <c r="Q28" s="1046"/>
      <c r="R28" s="1049" t="s">
        <v>865</v>
      </c>
      <c r="S28" s="1050"/>
      <c r="T28" s="1050"/>
      <c r="U28" s="1050"/>
      <c r="V28" s="389">
        <f>434514+136431+36836+2631668+710550</f>
        <v>3949999</v>
      </c>
      <c r="W28" s="1063"/>
      <c r="X28" s="563"/>
      <c r="Y28" s="292"/>
      <c r="Z28" s="267"/>
      <c r="AA28" s="305"/>
      <c r="AB28" s="292"/>
      <c r="AC28" s="268"/>
    </row>
    <row r="29" spans="1:29" ht="24.75" customHeight="1">
      <c r="A29" s="305"/>
      <c r="B29" s="267"/>
      <c r="C29" s="291"/>
      <c r="D29" s="292"/>
      <c r="E29" s="267"/>
      <c r="F29" s="268"/>
      <c r="G29" s="270"/>
      <c r="H29" s="271"/>
      <c r="I29" s="271"/>
      <c r="J29" s="293"/>
      <c r="K29" s="1046"/>
      <c r="L29" s="1054" t="s">
        <v>748</v>
      </c>
      <c r="M29" s="1055"/>
      <c r="N29" s="1055"/>
      <c r="O29" s="1055"/>
      <c r="P29" s="230">
        <v>1092680</v>
      </c>
      <c r="Q29" s="1046"/>
      <c r="R29" s="1041" t="s">
        <v>642</v>
      </c>
      <c r="S29" s="1042"/>
      <c r="T29" s="1042"/>
      <c r="U29" s="1042"/>
      <c r="V29" s="573">
        <f>92795675+2881248+4230000-24452399-1370149</f>
        <v>74084375</v>
      </c>
      <c r="W29" s="1063"/>
      <c r="X29" s="563"/>
      <c r="Y29" s="292"/>
      <c r="Z29" s="267"/>
      <c r="AA29" s="305"/>
      <c r="AB29" s="292"/>
      <c r="AC29" s="268"/>
    </row>
    <row r="30" spans="1:29" ht="24.75" customHeight="1">
      <c r="A30" s="305"/>
      <c r="B30" s="267"/>
      <c r="C30" s="291"/>
      <c r="D30" s="292"/>
      <c r="E30" s="267"/>
      <c r="F30" s="268"/>
      <c r="G30" s="270"/>
      <c r="H30" s="271"/>
      <c r="I30" s="271"/>
      <c r="J30" s="293"/>
      <c r="K30" s="1046"/>
      <c r="L30" s="1054" t="s">
        <v>751</v>
      </c>
      <c r="M30" s="1055"/>
      <c r="N30" s="1055"/>
      <c r="O30" s="1055"/>
      <c r="P30" s="230">
        <f>5788759+23938936</f>
        <v>29727695</v>
      </c>
      <c r="Q30" s="1046"/>
      <c r="R30" s="1041" t="s">
        <v>883</v>
      </c>
      <c r="S30" s="1042"/>
      <c r="T30" s="1042"/>
      <c r="U30" s="1042"/>
      <c r="V30" s="573">
        <f>-1370149+1370149</f>
        <v>0</v>
      </c>
      <c r="W30" s="1063"/>
      <c r="X30" s="563"/>
      <c r="Y30" s="292"/>
      <c r="Z30" s="267"/>
      <c r="AA30" s="305"/>
      <c r="AB30" s="292"/>
      <c r="AC30" s="268"/>
    </row>
    <row r="31" spans="1:29" ht="29.25" customHeight="1" thickBot="1">
      <c r="A31" s="1137" t="s">
        <v>428</v>
      </c>
      <c r="B31" s="1138"/>
      <c r="C31" s="1139"/>
      <c r="D31" s="297">
        <f>SUM('6. kiadások megbontása'!G54)</f>
        <v>245469900</v>
      </c>
      <c r="E31" s="248">
        <f>SUM('6. kiadások megbontása'!H54)</f>
        <v>657236394</v>
      </c>
      <c r="F31" s="249">
        <f>SUM(D31:E31)</f>
        <v>902706294</v>
      </c>
      <c r="G31" s="298"/>
      <c r="H31" s="232"/>
      <c r="I31" s="232"/>
      <c r="J31" s="259"/>
      <c r="K31" s="1069"/>
      <c r="L31" s="1054" t="s">
        <v>884</v>
      </c>
      <c r="M31" s="1055"/>
      <c r="N31" s="1055"/>
      <c r="O31" s="1055"/>
      <c r="P31" s="230">
        <f>278932+139466</f>
        <v>418398</v>
      </c>
      <c r="Q31" s="1069"/>
      <c r="R31" s="1097" t="s">
        <v>639</v>
      </c>
      <c r="S31" s="1098"/>
      <c r="T31" s="1098"/>
      <c r="U31" s="1098"/>
      <c r="V31" s="388">
        <f>7620000+256022+69126</f>
        <v>7945148</v>
      </c>
      <c r="W31" s="1136"/>
      <c r="X31" s="299">
        <f>SUM(W26,Q26,K26)</f>
        <v>251720991</v>
      </c>
      <c r="Y31" s="261">
        <f>SUM(Q32,W32,K32)</f>
        <v>676094462</v>
      </c>
      <c r="Z31" s="262">
        <f>SUM(X31:Y31)</f>
        <v>927815453</v>
      </c>
      <c r="AA31" s="260">
        <f>X31-D31</f>
        <v>6251091</v>
      </c>
      <c r="AB31" s="261">
        <f>Y31-E31</f>
        <v>18858068</v>
      </c>
      <c r="AC31" s="263">
        <f>SUM(AA31:AB31)</f>
        <v>25109159</v>
      </c>
    </row>
    <row r="32" spans="1:29" ht="29.25" customHeight="1">
      <c r="A32" s="244"/>
      <c r="B32" s="245"/>
      <c r="C32" s="246"/>
      <c r="D32" s="297"/>
      <c r="E32" s="248"/>
      <c r="F32" s="249"/>
      <c r="G32" s="462"/>
      <c r="H32" s="463"/>
      <c r="I32" s="463"/>
      <c r="J32" s="272"/>
      <c r="K32" s="1045">
        <f>SUM(J32)</f>
        <v>0</v>
      </c>
      <c r="L32" s="1061" t="s">
        <v>914</v>
      </c>
      <c r="M32" s="1062"/>
      <c r="N32" s="1062"/>
      <c r="O32" s="1062"/>
      <c r="P32" s="518">
        <f>349099+1150000</f>
        <v>1499099</v>
      </c>
      <c r="Q32" s="1045">
        <f>SUM(P32:P34)</f>
        <v>14410187</v>
      </c>
      <c r="R32" s="1049" t="s">
        <v>637</v>
      </c>
      <c r="S32" s="1050"/>
      <c r="T32" s="1050"/>
      <c r="U32" s="1050"/>
      <c r="V32" s="574">
        <f>639276554+1-510500+22918220</f>
        <v>661684275</v>
      </c>
      <c r="W32" s="1051">
        <f>SUM(V32:V34)</f>
        <v>661684275</v>
      </c>
      <c r="X32" s="300"/>
      <c r="Y32" s="261"/>
      <c r="Z32" s="262"/>
      <c r="AA32" s="260"/>
      <c r="AB32" s="261"/>
      <c r="AC32" s="263"/>
    </row>
    <row r="33" spans="1:29" ht="29.25" customHeight="1">
      <c r="A33" s="244"/>
      <c r="B33" s="245"/>
      <c r="C33" s="246"/>
      <c r="D33" s="297"/>
      <c r="E33" s="248"/>
      <c r="F33" s="249"/>
      <c r="G33" s="298"/>
      <c r="H33" s="232"/>
      <c r="I33" s="232"/>
      <c r="J33" s="259"/>
      <c r="K33" s="1046"/>
      <c r="L33" s="1049" t="s">
        <v>899</v>
      </c>
      <c r="M33" s="1050"/>
      <c r="N33" s="1050"/>
      <c r="O33" s="1050"/>
      <c r="P33" s="389">
        <f>2374582+4536506</f>
        <v>6911088</v>
      </c>
      <c r="Q33" s="1046"/>
      <c r="R33" s="609"/>
      <c r="S33" s="559"/>
      <c r="T33" s="559"/>
      <c r="U33" s="559"/>
      <c r="V33" s="574"/>
      <c r="W33" s="1052"/>
      <c r="X33" s="300"/>
      <c r="Y33" s="261"/>
      <c r="Z33" s="262"/>
      <c r="AA33" s="260"/>
      <c r="AB33" s="261"/>
      <c r="AC33" s="263"/>
    </row>
    <row r="34" spans="1:29" ht="27.75" customHeight="1" thickBot="1">
      <c r="A34" s="244"/>
      <c r="B34" s="245"/>
      <c r="C34" s="246"/>
      <c r="D34" s="297"/>
      <c r="E34" s="248"/>
      <c r="F34" s="249"/>
      <c r="G34" s="298"/>
      <c r="H34" s="232"/>
      <c r="I34" s="232"/>
      <c r="J34" s="259"/>
      <c r="K34" s="1046"/>
      <c r="L34" s="1054" t="s">
        <v>804</v>
      </c>
      <c r="M34" s="1055"/>
      <c r="N34" s="1055"/>
      <c r="O34" s="1055"/>
      <c r="P34" s="511">
        <v>6000000</v>
      </c>
      <c r="Q34" s="1046"/>
      <c r="R34" s="1049"/>
      <c r="S34" s="1050"/>
      <c r="T34" s="1050"/>
      <c r="U34" s="1050"/>
      <c r="V34" s="389"/>
      <c r="W34" s="1052"/>
      <c r="X34" s="300"/>
      <c r="Y34" s="261"/>
      <c r="Z34" s="262"/>
      <c r="AA34" s="260"/>
      <c r="AB34" s="261"/>
      <c r="AC34" s="263"/>
    </row>
    <row r="35" spans="1:223" s="369" customFormat="1" ht="33.75" customHeight="1" thickBot="1">
      <c r="A35" s="1118" t="s">
        <v>772</v>
      </c>
      <c r="B35" s="1119"/>
      <c r="C35" s="1120"/>
      <c r="D35" s="523">
        <f>SUM(D9:D34)</f>
        <v>964737702</v>
      </c>
      <c r="E35" s="524">
        <f>SUM(E8:E34)</f>
        <v>1104281045</v>
      </c>
      <c r="F35" s="525">
        <f>SUM(F8:F34)</f>
        <v>2069018747</v>
      </c>
      <c r="G35" s="526"/>
      <c r="H35" s="1121" t="s">
        <v>91</v>
      </c>
      <c r="I35" s="1122"/>
      <c r="J35" s="1123"/>
      <c r="K35" s="527">
        <f>SUM(K8:K34)</f>
        <v>218075339</v>
      </c>
      <c r="L35" s="377"/>
      <c r="M35" s="1047" t="s">
        <v>92</v>
      </c>
      <c r="N35" s="1047"/>
      <c r="O35" s="1047"/>
      <c r="P35" s="1048"/>
      <c r="Q35" s="527">
        <f>SUM(Q8:Q34)</f>
        <v>411387992</v>
      </c>
      <c r="R35" s="379"/>
      <c r="S35" s="1047" t="s">
        <v>93</v>
      </c>
      <c r="T35" s="1047"/>
      <c r="U35" s="1047"/>
      <c r="V35" s="1048"/>
      <c r="W35" s="528">
        <f>SUM(W8:W34)</f>
        <v>1460962716</v>
      </c>
      <c r="X35" s="529">
        <f>SUM(X8:X34)</f>
        <v>968228978</v>
      </c>
      <c r="Y35" s="530">
        <f>SUM(Y8:Y34)</f>
        <v>1122197069</v>
      </c>
      <c r="Z35" s="531">
        <f>SUM(X35:Y35)</f>
        <v>2090426047</v>
      </c>
      <c r="AA35" s="532">
        <f>SUM(AA11:AA34)</f>
        <v>3491276</v>
      </c>
      <c r="AB35" s="533">
        <f>SUM(AB10:AB34)</f>
        <v>17916024</v>
      </c>
      <c r="AC35" s="375">
        <f>SUM(AA35:AB35)</f>
        <v>21407300</v>
      </c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4"/>
      <c r="CC35" s="384"/>
      <c r="CD35" s="384"/>
      <c r="CE35" s="384"/>
      <c r="CF35" s="384"/>
      <c r="CG35" s="384"/>
      <c r="CH35" s="384"/>
      <c r="CI35" s="384"/>
      <c r="CJ35" s="384"/>
      <c r="CK35" s="384"/>
      <c r="CL35" s="384"/>
      <c r="CM35" s="384"/>
      <c r="CN35" s="384"/>
      <c r="CO35" s="384"/>
      <c r="CP35" s="384"/>
      <c r="CQ35" s="384"/>
      <c r="CR35" s="384"/>
      <c r="CS35" s="384"/>
      <c r="CT35" s="384"/>
      <c r="CU35" s="384"/>
      <c r="CV35" s="384"/>
      <c r="CW35" s="384"/>
      <c r="CX35" s="384"/>
      <c r="CY35" s="384"/>
      <c r="CZ35" s="384"/>
      <c r="DA35" s="384"/>
      <c r="DB35" s="384"/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  <c r="DM35" s="384"/>
      <c r="DN35" s="384"/>
      <c r="DO35" s="384"/>
      <c r="DP35" s="384"/>
      <c r="DQ35" s="384"/>
      <c r="DR35" s="384"/>
      <c r="DS35" s="384"/>
      <c r="DT35" s="384"/>
      <c r="DU35" s="384"/>
      <c r="DV35" s="384"/>
      <c r="DW35" s="384"/>
      <c r="DX35" s="384"/>
      <c r="DY35" s="384"/>
      <c r="DZ35" s="384"/>
      <c r="EA35" s="384"/>
      <c r="EB35" s="384"/>
      <c r="EC35" s="384"/>
      <c r="ED35" s="384"/>
      <c r="EE35" s="384"/>
      <c r="EF35" s="384"/>
      <c r="EG35" s="384"/>
      <c r="EH35" s="384"/>
      <c r="EI35" s="384"/>
      <c r="EJ35" s="384"/>
      <c r="EK35" s="384"/>
      <c r="EL35" s="384"/>
      <c r="EM35" s="384"/>
      <c r="EN35" s="384"/>
      <c r="EO35" s="384"/>
      <c r="EP35" s="384"/>
      <c r="EQ35" s="384"/>
      <c r="ER35" s="384"/>
      <c r="ES35" s="384"/>
      <c r="ET35" s="384"/>
      <c r="EU35" s="384"/>
      <c r="EV35" s="384"/>
      <c r="EW35" s="384"/>
      <c r="EX35" s="384"/>
      <c r="EY35" s="384"/>
      <c r="EZ35" s="384"/>
      <c r="FA35" s="384"/>
      <c r="FB35" s="384"/>
      <c r="FC35" s="384"/>
      <c r="FD35" s="384"/>
      <c r="FE35" s="384"/>
      <c r="FF35" s="384"/>
      <c r="FG35" s="384"/>
      <c r="FH35" s="384"/>
      <c r="FI35" s="384"/>
      <c r="FJ35" s="384"/>
      <c r="FK35" s="384"/>
      <c r="FL35" s="384"/>
      <c r="FM35" s="384"/>
      <c r="FN35" s="384"/>
      <c r="FO35" s="384"/>
      <c r="FP35" s="384"/>
      <c r="FQ35" s="384"/>
      <c r="FR35" s="384"/>
      <c r="FS35" s="384"/>
      <c r="FT35" s="384"/>
      <c r="FU35" s="384"/>
      <c r="FV35" s="384"/>
      <c r="FW35" s="384"/>
      <c r="FX35" s="384"/>
      <c r="FY35" s="384"/>
      <c r="FZ35" s="384"/>
      <c r="GA35" s="384"/>
      <c r="GB35" s="384"/>
      <c r="GC35" s="384"/>
      <c r="GD35" s="384"/>
      <c r="GE35" s="384"/>
      <c r="GF35" s="384"/>
      <c r="GG35" s="384"/>
      <c r="GH35" s="384"/>
      <c r="GI35" s="384"/>
      <c r="GJ35" s="384"/>
      <c r="GK35" s="384"/>
      <c r="GL35" s="384"/>
      <c r="GM35" s="384"/>
      <c r="GN35" s="384"/>
      <c r="GO35" s="384"/>
      <c r="GP35" s="384"/>
      <c r="GQ35" s="384"/>
      <c r="GR35" s="384"/>
      <c r="GS35" s="384"/>
      <c r="GT35" s="384"/>
      <c r="GU35" s="384"/>
      <c r="GV35" s="384"/>
      <c r="GW35" s="384"/>
      <c r="GX35" s="384"/>
      <c r="GY35" s="384"/>
      <c r="GZ35" s="384"/>
      <c r="HA35" s="384"/>
      <c r="HB35" s="384"/>
      <c r="HC35" s="384"/>
      <c r="HD35" s="384"/>
      <c r="HE35" s="384"/>
      <c r="HF35" s="384"/>
      <c r="HG35" s="384"/>
      <c r="HH35" s="384"/>
      <c r="HI35" s="384"/>
      <c r="HJ35" s="384"/>
      <c r="HK35" s="384"/>
      <c r="HL35" s="384"/>
      <c r="HM35" s="384"/>
      <c r="HN35" s="384"/>
      <c r="HO35" s="384"/>
    </row>
    <row r="36" spans="1:29" ht="27.75" customHeight="1" thickBot="1" thickTop="1">
      <c r="A36" s="1141" t="s">
        <v>769</v>
      </c>
      <c r="B36" s="1142"/>
      <c r="C36" s="1143"/>
      <c r="D36" s="1102" t="s">
        <v>338</v>
      </c>
      <c r="E36" s="1057"/>
      <c r="F36" s="1058"/>
      <c r="G36" s="1103" t="s">
        <v>448</v>
      </c>
      <c r="H36" s="1057"/>
      <c r="I36" s="1057"/>
      <c r="J36" s="1057"/>
      <c r="K36" s="1077"/>
      <c r="L36" s="1056" t="s">
        <v>449</v>
      </c>
      <c r="M36" s="1057"/>
      <c r="N36" s="1057"/>
      <c r="O36" s="1057"/>
      <c r="P36" s="1057"/>
      <c r="Q36" s="1077"/>
      <c r="R36" s="1056" t="s">
        <v>450</v>
      </c>
      <c r="S36" s="1057"/>
      <c r="T36" s="1057"/>
      <c r="U36" s="1057"/>
      <c r="V36" s="1057"/>
      <c r="W36" s="1058"/>
      <c r="X36" s="1130" t="s">
        <v>451</v>
      </c>
      <c r="Y36" s="1091"/>
      <c r="Z36" s="1091"/>
      <c r="AA36" s="1092" t="s">
        <v>86</v>
      </c>
      <c r="AB36" s="1093"/>
      <c r="AC36" s="1094"/>
    </row>
    <row r="37" spans="1:223" s="301" customFormat="1" ht="18.75" customHeight="1" thickBot="1" thickTop="1">
      <c r="A37" s="1144"/>
      <c r="B37" s="1145"/>
      <c r="C37" s="1146"/>
      <c r="D37" s="368" t="s">
        <v>87</v>
      </c>
      <c r="E37" s="555" t="s">
        <v>84</v>
      </c>
      <c r="F37" s="224" t="s">
        <v>88</v>
      </c>
      <c r="G37" s="1147"/>
      <c r="H37" s="1060"/>
      <c r="I37" s="1060"/>
      <c r="J37" s="1148"/>
      <c r="K37" s="1078"/>
      <c r="L37" s="1059"/>
      <c r="M37" s="1060"/>
      <c r="N37" s="1060"/>
      <c r="O37" s="1060"/>
      <c r="P37" s="1060"/>
      <c r="Q37" s="1078"/>
      <c r="R37" s="1059"/>
      <c r="S37" s="1060"/>
      <c r="T37" s="1060"/>
      <c r="U37" s="1060"/>
      <c r="V37" s="1060"/>
      <c r="W37" s="1129"/>
      <c r="X37" s="540" t="s">
        <v>87</v>
      </c>
      <c r="Y37" s="543" t="s">
        <v>84</v>
      </c>
      <c r="Z37" s="224" t="s">
        <v>88</v>
      </c>
      <c r="AA37" s="535" t="s">
        <v>87</v>
      </c>
      <c r="AB37" s="368" t="s">
        <v>84</v>
      </c>
      <c r="AC37" s="224" t="s">
        <v>88</v>
      </c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221"/>
      <c r="FF37" s="221"/>
      <c r="FG37" s="221"/>
      <c r="FH37" s="221"/>
      <c r="FI37" s="221"/>
      <c r="FJ37" s="221"/>
      <c r="FK37" s="221"/>
      <c r="FL37" s="221"/>
      <c r="FM37" s="221"/>
      <c r="FN37" s="221"/>
      <c r="FO37" s="221"/>
      <c r="FP37" s="221"/>
      <c r="FQ37" s="221"/>
      <c r="FR37" s="221"/>
      <c r="FS37" s="221"/>
      <c r="FT37" s="221"/>
      <c r="FU37" s="221"/>
      <c r="FV37" s="221"/>
      <c r="FW37" s="221"/>
      <c r="FX37" s="221"/>
      <c r="FY37" s="221"/>
      <c r="FZ37" s="221"/>
      <c r="GA37" s="221"/>
      <c r="GB37" s="221"/>
      <c r="GC37" s="221"/>
      <c r="GD37" s="221"/>
      <c r="GE37" s="221"/>
      <c r="GF37" s="221"/>
      <c r="GG37" s="221"/>
      <c r="GH37" s="221"/>
      <c r="GI37" s="221"/>
      <c r="GJ37" s="221"/>
      <c r="GK37" s="221"/>
      <c r="GL37" s="221"/>
      <c r="GM37" s="221"/>
      <c r="GN37" s="221"/>
      <c r="GO37" s="221"/>
      <c r="GP37" s="221"/>
      <c r="GQ37" s="221"/>
      <c r="GR37" s="221"/>
      <c r="GS37" s="221"/>
      <c r="GT37" s="221"/>
      <c r="GU37" s="221"/>
      <c r="GV37" s="221"/>
      <c r="GW37" s="221"/>
      <c r="GX37" s="221"/>
      <c r="GY37" s="221"/>
      <c r="GZ37" s="221"/>
      <c r="HA37" s="221"/>
      <c r="HB37" s="221"/>
      <c r="HC37" s="221"/>
      <c r="HD37" s="221"/>
      <c r="HE37" s="221"/>
      <c r="HF37" s="221"/>
      <c r="HG37" s="221"/>
      <c r="HH37" s="221"/>
      <c r="HI37" s="221"/>
      <c r="HJ37" s="221"/>
      <c r="HK37" s="221"/>
      <c r="HL37" s="221"/>
      <c r="HM37" s="221"/>
      <c r="HN37" s="221"/>
      <c r="HO37" s="221"/>
    </row>
    <row r="38" spans="1:29" ht="12.75" customHeight="1">
      <c r="A38" s="225"/>
      <c r="B38" s="267"/>
      <c r="C38" s="267"/>
      <c r="D38" s="292"/>
      <c r="E38" s="267"/>
      <c r="F38" s="229"/>
      <c r="G38" s="1150" t="s">
        <v>423</v>
      </c>
      <c r="H38" s="1151"/>
      <c r="I38" s="1151"/>
      <c r="J38" s="1131">
        <f>119812800+22486700</f>
        <v>142299500</v>
      </c>
      <c r="K38" s="1149">
        <f>SUM(J38:J41)</f>
        <v>142432374</v>
      </c>
      <c r="L38" s="1075" t="s">
        <v>807</v>
      </c>
      <c r="M38" s="1076"/>
      <c r="N38" s="1076"/>
      <c r="O38" s="1076"/>
      <c r="P38" s="1043">
        <v>1484730</v>
      </c>
      <c r="Q38" s="1045">
        <f>SUM(P38:P41)</f>
        <v>1484730</v>
      </c>
      <c r="R38" s="1070" t="s">
        <v>673</v>
      </c>
      <c r="S38" s="1071"/>
      <c r="T38" s="1071"/>
      <c r="U38" s="1071"/>
      <c r="V38" s="1043">
        <v>250000</v>
      </c>
      <c r="W38" s="1064">
        <f>SUM(V38:V41)</f>
        <v>6913185</v>
      </c>
      <c r="X38" s="302"/>
      <c r="Y38" s="303"/>
      <c r="Z38" s="304"/>
      <c r="AA38" s="225"/>
      <c r="AB38" s="242"/>
      <c r="AC38" s="243"/>
    </row>
    <row r="39" spans="1:29" ht="12.75" customHeight="1">
      <c r="A39" s="305"/>
      <c r="B39" s="265"/>
      <c r="C39" s="265"/>
      <c r="D39" s="306"/>
      <c r="E39" s="267"/>
      <c r="F39" s="268"/>
      <c r="G39" s="1152"/>
      <c r="H39" s="1153"/>
      <c r="I39" s="1153"/>
      <c r="J39" s="1132"/>
      <c r="K39" s="1046"/>
      <c r="L39" s="1049"/>
      <c r="M39" s="1050"/>
      <c r="N39" s="1050"/>
      <c r="O39" s="1050"/>
      <c r="P39" s="1044"/>
      <c r="Q39" s="1046"/>
      <c r="R39" s="1041"/>
      <c r="S39" s="1042"/>
      <c r="T39" s="1042"/>
      <c r="U39" s="1042"/>
      <c r="V39" s="1044"/>
      <c r="W39" s="1065"/>
      <c r="X39" s="307"/>
      <c r="Y39" s="251"/>
      <c r="Z39" s="241"/>
      <c r="AA39" s="252"/>
      <c r="AB39" s="253"/>
      <c r="AC39" s="254"/>
    </row>
    <row r="40" spans="1:29" ht="12.75" customHeight="1" thickBot="1">
      <c r="A40" s="305"/>
      <c r="B40" s="265"/>
      <c r="C40" s="265"/>
      <c r="D40" s="306"/>
      <c r="E40" s="267"/>
      <c r="F40" s="268"/>
      <c r="G40" s="610"/>
      <c r="H40" s="611"/>
      <c r="I40" s="611"/>
      <c r="J40" s="612"/>
      <c r="K40" s="1046"/>
      <c r="L40" s="609"/>
      <c r="M40" s="559"/>
      <c r="N40" s="559"/>
      <c r="O40" s="559"/>
      <c r="P40" s="608"/>
      <c r="Q40" s="1046"/>
      <c r="R40" s="1041" t="s">
        <v>642</v>
      </c>
      <c r="S40" s="1042"/>
      <c r="T40" s="1042"/>
      <c r="U40" s="1042"/>
      <c r="V40" s="387">
        <f>789210+334626+2000</f>
        <v>1125836</v>
      </c>
      <c r="W40" s="1065"/>
      <c r="X40" s="307"/>
      <c r="Y40" s="251"/>
      <c r="Z40" s="241"/>
      <c r="AA40" s="252"/>
      <c r="AB40" s="253"/>
      <c r="AC40" s="254"/>
    </row>
    <row r="41" spans="1:29" ht="24.75" customHeight="1" thickBot="1">
      <c r="A41" s="305"/>
      <c r="B41" s="1138" t="s">
        <v>427</v>
      </c>
      <c r="C41" s="1139"/>
      <c r="D41" s="297">
        <f>SUM('6. kiadások megbontása'!D58)</f>
        <v>131534285</v>
      </c>
      <c r="E41" s="248">
        <f>SUM('6. kiadások megbontása'!E58)</f>
        <v>2346482</v>
      </c>
      <c r="F41" s="249">
        <f>SUM(D41:E41)</f>
        <v>133880767</v>
      </c>
      <c r="G41" s="1074" t="s">
        <v>452</v>
      </c>
      <c r="H41" s="1062"/>
      <c r="I41" s="1062"/>
      <c r="J41" s="374">
        <f>17860+121495-6481</f>
        <v>132874</v>
      </c>
      <c r="K41" s="1046"/>
      <c r="L41" s="1049"/>
      <c r="M41" s="1050"/>
      <c r="N41" s="1050"/>
      <c r="O41" s="1050"/>
      <c r="P41" s="387"/>
      <c r="Q41" s="1046"/>
      <c r="R41" s="1041" t="s">
        <v>455</v>
      </c>
      <c r="S41" s="1042"/>
      <c r="T41" s="1042"/>
      <c r="U41" s="1042"/>
      <c r="V41" s="385">
        <v>5537349</v>
      </c>
      <c r="W41" s="1065"/>
      <c r="X41" s="307">
        <f>SUM(W38,Q38,K38)</f>
        <v>150830289</v>
      </c>
      <c r="Y41" s="251">
        <v>0</v>
      </c>
      <c r="Z41" s="262">
        <f>SUM(Y41,X41)</f>
        <v>150830289</v>
      </c>
      <c r="AA41" s="260">
        <f>X41-D41</f>
        <v>19296004</v>
      </c>
      <c r="AB41" s="261">
        <f>Y41-E41</f>
        <v>-2346482</v>
      </c>
      <c r="AC41" s="254">
        <f>SUM(AA41:AB41)</f>
        <v>16949522</v>
      </c>
    </row>
    <row r="42" spans="1:29" ht="20.25" customHeight="1" thickBot="1">
      <c r="A42" s="1191" t="s">
        <v>428</v>
      </c>
      <c r="B42" s="1192"/>
      <c r="C42" s="1193"/>
      <c r="D42" s="613">
        <f>'6. kiadások megbontása'!G58</f>
        <v>7692507</v>
      </c>
      <c r="E42" s="614"/>
      <c r="F42" s="615">
        <f>SUM(D42:E42)</f>
        <v>7692507</v>
      </c>
      <c r="G42" s="616"/>
      <c r="H42" s="616"/>
      <c r="I42" s="616"/>
      <c r="J42" s="617"/>
      <c r="K42" s="618"/>
      <c r="L42" s="619"/>
      <c r="M42" s="620"/>
      <c r="N42" s="620"/>
      <c r="O42" s="620"/>
      <c r="P42" s="621"/>
      <c r="Q42" s="618"/>
      <c r="R42" s="1184"/>
      <c r="S42" s="1185"/>
      <c r="T42" s="1185"/>
      <c r="U42" s="1185"/>
      <c r="V42" s="622"/>
      <c r="W42" s="623">
        <f>SUM(V42)</f>
        <v>0</v>
      </c>
      <c r="X42" s="624">
        <f>W42</f>
        <v>0</v>
      </c>
      <c r="Y42" s="625"/>
      <c r="Z42" s="626">
        <f>SUM(Y42,X42)</f>
        <v>0</v>
      </c>
      <c r="AA42" s="627"/>
      <c r="AB42" s="628"/>
      <c r="AC42" s="626"/>
    </row>
    <row r="43" spans="1:223" s="369" customFormat="1" ht="33.75" customHeight="1" thickBot="1">
      <c r="A43" s="1118" t="s">
        <v>771</v>
      </c>
      <c r="B43" s="1119"/>
      <c r="C43" s="1120"/>
      <c r="D43" s="523">
        <f>SUM(D38:D42)</f>
        <v>139226792</v>
      </c>
      <c r="E43" s="524">
        <f>SUM(E38:E42)</f>
        <v>2346482</v>
      </c>
      <c r="F43" s="525">
        <f>SUM(F38:F42)</f>
        <v>141573274</v>
      </c>
      <c r="G43" s="526"/>
      <c r="H43" s="1121" t="s">
        <v>91</v>
      </c>
      <c r="I43" s="1122"/>
      <c r="J43" s="1123"/>
      <c r="K43" s="527">
        <f>SUM(K38:K41)</f>
        <v>142432374</v>
      </c>
      <c r="L43" s="377"/>
      <c r="M43" s="1047" t="s">
        <v>92</v>
      </c>
      <c r="N43" s="1047"/>
      <c r="O43" s="1047"/>
      <c r="P43" s="1048"/>
      <c r="Q43" s="527">
        <f>SUM(Q38:Q41)</f>
        <v>1484730</v>
      </c>
      <c r="R43" s="379"/>
      <c r="S43" s="1047" t="s">
        <v>93</v>
      </c>
      <c r="T43" s="1047"/>
      <c r="U43" s="1047"/>
      <c r="V43" s="1048"/>
      <c r="W43" s="528">
        <f>SUM(W38:W42)</f>
        <v>6913185</v>
      </c>
      <c r="X43" s="529">
        <f>SUM(X38:X42)</f>
        <v>150830289</v>
      </c>
      <c r="Y43" s="530">
        <v>0</v>
      </c>
      <c r="Z43" s="531">
        <f>SUM(X43:Y43)</f>
        <v>150830289</v>
      </c>
      <c r="AA43" s="532">
        <f>X43-D43</f>
        <v>11603497</v>
      </c>
      <c r="AB43" s="533">
        <f>Y43-E43</f>
        <v>-2346482</v>
      </c>
      <c r="AC43" s="375">
        <f>SUM(AA43:AB43)</f>
        <v>9257015</v>
      </c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4"/>
      <c r="CX43" s="384"/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4"/>
      <c r="DS43" s="384"/>
      <c r="DT43" s="384"/>
      <c r="DU43" s="384"/>
      <c r="DV43" s="384"/>
      <c r="DW43" s="384"/>
      <c r="DX43" s="384"/>
      <c r="DY43" s="384"/>
      <c r="DZ43" s="384"/>
      <c r="EA43" s="384"/>
      <c r="EB43" s="384"/>
      <c r="EC43" s="384"/>
      <c r="ED43" s="384"/>
      <c r="EE43" s="384"/>
      <c r="EF43" s="384"/>
      <c r="EG43" s="384"/>
      <c r="EH43" s="384"/>
      <c r="EI43" s="384"/>
      <c r="EJ43" s="384"/>
      <c r="EK43" s="384"/>
      <c r="EL43" s="384"/>
      <c r="EM43" s="384"/>
      <c r="EN43" s="384"/>
      <c r="EO43" s="384"/>
      <c r="EP43" s="384"/>
      <c r="EQ43" s="384"/>
      <c r="ER43" s="384"/>
      <c r="ES43" s="384"/>
      <c r="ET43" s="384"/>
      <c r="EU43" s="384"/>
      <c r="EV43" s="384"/>
      <c r="EW43" s="384"/>
      <c r="EX43" s="384"/>
      <c r="EY43" s="384"/>
      <c r="EZ43" s="384"/>
      <c r="FA43" s="384"/>
      <c r="FB43" s="384"/>
      <c r="FC43" s="384"/>
      <c r="FD43" s="384"/>
      <c r="FE43" s="384"/>
      <c r="FF43" s="384"/>
      <c r="FG43" s="384"/>
      <c r="FH43" s="384"/>
      <c r="FI43" s="384"/>
      <c r="FJ43" s="384"/>
      <c r="FK43" s="384"/>
      <c r="FL43" s="384"/>
      <c r="FM43" s="384"/>
      <c r="FN43" s="384"/>
      <c r="FO43" s="384"/>
      <c r="FP43" s="384"/>
      <c r="FQ43" s="384"/>
      <c r="FR43" s="384"/>
      <c r="FS43" s="384"/>
      <c r="FT43" s="384"/>
      <c r="FU43" s="384"/>
      <c r="FV43" s="384"/>
      <c r="FW43" s="384"/>
      <c r="FX43" s="384"/>
      <c r="FY43" s="384"/>
      <c r="FZ43" s="384"/>
      <c r="GA43" s="384"/>
      <c r="GB43" s="384"/>
      <c r="GC43" s="384"/>
      <c r="GD43" s="384"/>
      <c r="GE43" s="384"/>
      <c r="GF43" s="384"/>
      <c r="GG43" s="384"/>
      <c r="GH43" s="384"/>
      <c r="GI43" s="384"/>
      <c r="GJ43" s="384"/>
      <c r="GK43" s="384"/>
      <c r="GL43" s="384"/>
      <c r="GM43" s="384"/>
      <c r="GN43" s="384"/>
      <c r="GO43" s="384"/>
      <c r="GP43" s="384"/>
      <c r="GQ43" s="384"/>
      <c r="GR43" s="384"/>
      <c r="GS43" s="384"/>
      <c r="GT43" s="384"/>
      <c r="GU43" s="384"/>
      <c r="GV43" s="384"/>
      <c r="GW43" s="384"/>
      <c r="GX43" s="384"/>
      <c r="GY43" s="384"/>
      <c r="GZ43" s="384"/>
      <c r="HA43" s="384"/>
      <c r="HB43" s="384"/>
      <c r="HC43" s="384"/>
      <c r="HD43" s="384"/>
      <c r="HE43" s="384"/>
      <c r="HF43" s="384"/>
      <c r="HG43" s="384"/>
      <c r="HH43" s="384"/>
      <c r="HI43" s="384"/>
      <c r="HJ43" s="384"/>
      <c r="HK43" s="384"/>
      <c r="HL43" s="384"/>
      <c r="HM43" s="384"/>
      <c r="HN43" s="384"/>
      <c r="HO43" s="384"/>
    </row>
    <row r="44" spans="1:29" ht="27.75" customHeight="1" thickBot="1" thickTop="1">
      <c r="A44" s="1141" t="s">
        <v>670</v>
      </c>
      <c r="B44" s="1142"/>
      <c r="C44" s="1143"/>
      <c r="D44" s="1102" t="s">
        <v>338</v>
      </c>
      <c r="E44" s="1057"/>
      <c r="F44" s="1058"/>
      <c r="G44" s="1103" t="s">
        <v>448</v>
      </c>
      <c r="H44" s="1057"/>
      <c r="I44" s="1057"/>
      <c r="J44" s="1057"/>
      <c r="K44" s="1077"/>
      <c r="L44" s="1056" t="s">
        <v>449</v>
      </c>
      <c r="M44" s="1057"/>
      <c r="N44" s="1057"/>
      <c r="O44" s="1057"/>
      <c r="P44" s="1057"/>
      <c r="Q44" s="1077"/>
      <c r="R44" s="1056" t="s">
        <v>450</v>
      </c>
      <c r="S44" s="1057"/>
      <c r="T44" s="1057"/>
      <c r="U44" s="1057"/>
      <c r="V44" s="1057"/>
      <c r="W44" s="1058"/>
      <c r="X44" s="1130" t="s">
        <v>451</v>
      </c>
      <c r="Y44" s="1091"/>
      <c r="Z44" s="1091"/>
      <c r="AA44" s="1092" t="s">
        <v>86</v>
      </c>
      <c r="AB44" s="1093"/>
      <c r="AC44" s="1094"/>
    </row>
    <row r="45" spans="1:223" s="301" customFormat="1" ht="18.75" customHeight="1" thickBot="1" thickTop="1">
      <c r="A45" s="1144"/>
      <c r="B45" s="1145"/>
      <c r="C45" s="1146"/>
      <c r="D45" s="368" t="s">
        <v>87</v>
      </c>
      <c r="E45" s="555" t="s">
        <v>84</v>
      </c>
      <c r="F45" s="224" t="s">
        <v>88</v>
      </c>
      <c r="G45" s="1147"/>
      <c r="H45" s="1060"/>
      <c r="I45" s="1060"/>
      <c r="J45" s="1148"/>
      <c r="K45" s="1078"/>
      <c r="L45" s="1059"/>
      <c r="M45" s="1060"/>
      <c r="N45" s="1060"/>
      <c r="O45" s="1060"/>
      <c r="P45" s="1060"/>
      <c r="Q45" s="1078"/>
      <c r="R45" s="1059"/>
      <c r="S45" s="1060"/>
      <c r="T45" s="1060"/>
      <c r="U45" s="1060"/>
      <c r="V45" s="1060"/>
      <c r="W45" s="1060"/>
      <c r="X45" s="542" t="s">
        <v>87</v>
      </c>
      <c r="Y45" s="543" t="s">
        <v>84</v>
      </c>
      <c r="Z45" s="224" t="s">
        <v>88</v>
      </c>
      <c r="AA45" s="535" t="s">
        <v>87</v>
      </c>
      <c r="AB45" s="368" t="s">
        <v>84</v>
      </c>
      <c r="AC45" s="224" t="s">
        <v>88</v>
      </c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221"/>
      <c r="DX45" s="221"/>
      <c r="DY45" s="221"/>
      <c r="DZ45" s="221"/>
      <c r="EA45" s="221"/>
      <c r="EB45" s="221"/>
      <c r="EC45" s="221"/>
      <c r="ED45" s="221"/>
      <c r="EE45" s="221"/>
      <c r="EF45" s="221"/>
      <c r="EG45" s="221"/>
      <c r="EH45" s="221"/>
      <c r="EI45" s="221"/>
      <c r="EJ45" s="221"/>
      <c r="EK45" s="221"/>
      <c r="EL45" s="221"/>
      <c r="EM45" s="221"/>
      <c r="EN45" s="221"/>
      <c r="EO45" s="221"/>
      <c r="EP45" s="221"/>
      <c r="EQ45" s="221"/>
      <c r="ER45" s="221"/>
      <c r="ES45" s="221"/>
      <c r="ET45" s="221"/>
      <c r="EU45" s="221"/>
      <c r="EV45" s="221"/>
      <c r="EW45" s="221"/>
      <c r="EX45" s="221"/>
      <c r="EY45" s="221"/>
      <c r="EZ45" s="221"/>
      <c r="FA45" s="221"/>
      <c r="FB45" s="221"/>
      <c r="FC45" s="221"/>
      <c r="FD45" s="221"/>
      <c r="FE45" s="221"/>
      <c r="FF45" s="221"/>
      <c r="FG45" s="221"/>
      <c r="FH45" s="221"/>
      <c r="FI45" s="221"/>
      <c r="FJ45" s="221"/>
      <c r="FK45" s="221"/>
      <c r="FL45" s="221"/>
      <c r="FM45" s="221"/>
      <c r="FN45" s="221"/>
      <c r="FO45" s="221"/>
      <c r="FP45" s="221"/>
      <c r="FQ45" s="221"/>
      <c r="FR45" s="221"/>
      <c r="FS45" s="221"/>
      <c r="FT45" s="221"/>
      <c r="FU45" s="221"/>
      <c r="FV45" s="221"/>
      <c r="FW45" s="221"/>
      <c r="FX45" s="221"/>
      <c r="FY45" s="221"/>
      <c r="FZ45" s="221"/>
      <c r="GA45" s="221"/>
      <c r="GB45" s="221"/>
      <c r="GC45" s="221"/>
      <c r="GD45" s="221"/>
      <c r="GE45" s="221"/>
      <c r="GF45" s="221"/>
      <c r="GG45" s="221"/>
      <c r="GH45" s="221"/>
      <c r="GI45" s="221"/>
      <c r="GJ45" s="221"/>
      <c r="GK45" s="221"/>
      <c r="GL45" s="221"/>
      <c r="GM45" s="221"/>
      <c r="GN45" s="221"/>
      <c r="GO45" s="221"/>
      <c r="GP45" s="221"/>
      <c r="GQ45" s="221"/>
      <c r="GR45" s="221"/>
      <c r="GS45" s="221"/>
      <c r="GT45" s="221"/>
      <c r="GU45" s="221"/>
      <c r="GV45" s="221"/>
      <c r="GW45" s="221"/>
      <c r="GX45" s="221"/>
      <c r="GY45" s="221"/>
      <c r="GZ45" s="221"/>
      <c r="HA45" s="221"/>
      <c r="HB45" s="221"/>
      <c r="HC45" s="221"/>
      <c r="HD45" s="221"/>
      <c r="HE45" s="221"/>
      <c r="HF45" s="221"/>
      <c r="HG45" s="221"/>
      <c r="HH45" s="221"/>
      <c r="HI45" s="221"/>
      <c r="HJ45" s="221"/>
      <c r="HK45" s="221"/>
      <c r="HL45" s="221"/>
      <c r="HM45" s="221"/>
      <c r="HN45" s="221"/>
      <c r="HO45" s="221"/>
    </row>
    <row r="46" spans="1:29" ht="26.25" customHeight="1">
      <c r="A46" s="225"/>
      <c r="B46" s="267"/>
      <c r="C46" s="267"/>
      <c r="D46" s="292"/>
      <c r="E46" s="267"/>
      <c r="F46" s="229"/>
      <c r="G46" s="1096" t="s">
        <v>461</v>
      </c>
      <c r="H46" s="1055"/>
      <c r="I46" s="1055"/>
      <c r="J46" s="373">
        <f>10821150+3719500+145000</f>
        <v>14685650</v>
      </c>
      <c r="K46" s="1045">
        <f>SUM(J46:J47)</f>
        <v>15521527</v>
      </c>
      <c r="L46" s="1061" t="s">
        <v>788</v>
      </c>
      <c r="M46" s="1062"/>
      <c r="N46" s="1062"/>
      <c r="O46" s="1062"/>
      <c r="P46" s="1043">
        <v>2576000</v>
      </c>
      <c r="Q46" s="1045">
        <f>SUM(P46:P47)</f>
        <v>2576000</v>
      </c>
      <c r="R46" s="1041" t="s">
        <v>664</v>
      </c>
      <c r="S46" s="1042"/>
      <c r="T46" s="1042"/>
      <c r="U46" s="1042"/>
      <c r="V46" s="390">
        <v>114300</v>
      </c>
      <c r="W46" s="1099">
        <f>SUM(V46:V47)</f>
        <v>14786105</v>
      </c>
      <c r="X46" s="539"/>
      <c r="Y46" s="303"/>
      <c r="Z46" s="304"/>
      <c r="AA46" s="225"/>
      <c r="AB46" s="242"/>
      <c r="AC46" s="243"/>
    </row>
    <row r="47" spans="1:29" ht="28.5" customHeight="1" thickBot="1">
      <c r="A47" s="305"/>
      <c r="B47" s="1138" t="s">
        <v>427</v>
      </c>
      <c r="C47" s="1139"/>
      <c r="D47" s="297">
        <f>SUM('6. kiadások megbontása'!D79)</f>
        <v>32285148</v>
      </c>
      <c r="E47" s="248">
        <f>SUM('6. kiadások megbontása'!E79)</f>
        <v>2372000</v>
      </c>
      <c r="F47" s="249">
        <f>SUM(D47:E47)</f>
        <v>34657148</v>
      </c>
      <c r="G47" s="1096" t="s">
        <v>1037</v>
      </c>
      <c r="H47" s="1055"/>
      <c r="I47" s="1055"/>
      <c r="J47" s="374">
        <f>848820-12943</f>
        <v>835877</v>
      </c>
      <c r="K47" s="1046"/>
      <c r="L47" s="1054"/>
      <c r="M47" s="1055"/>
      <c r="N47" s="1055"/>
      <c r="O47" s="1055"/>
      <c r="P47" s="1044"/>
      <c r="Q47" s="1046"/>
      <c r="R47" s="1041" t="s">
        <v>665</v>
      </c>
      <c r="S47" s="1042"/>
      <c r="T47" s="1042"/>
      <c r="U47" s="1042"/>
      <c r="V47" s="390">
        <f>5470400+536221+144779+3402559+918691+3306421+892734</f>
        <v>14671805</v>
      </c>
      <c r="W47" s="1063"/>
      <c r="X47" s="538">
        <f>SUM(W46,Q46,K46)</f>
        <v>32883632</v>
      </c>
      <c r="Y47" s="251">
        <v>0</v>
      </c>
      <c r="Z47" s="262">
        <f>SUM(Y47,X47)</f>
        <v>32883632</v>
      </c>
      <c r="AA47" s="260">
        <f>X47-D47</f>
        <v>598484</v>
      </c>
      <c r="AB47" s="261">
        <f>Y47-E47</f>
        <v>-2372000</v>
      </c>
      <c r="AC47" s="254">
        <f>SUM(AA47:AB47)</f>
        <v>-1773516</v>
      </c>
    </row>
    <row r="48" spans="1:29" ht="33" customHeight="1">
      <c r="A48" s="329"/>
      <c r="B48" s="330"/>
      <c r="C48" s="376"/>
      <c r="D48" s="331"/>
      <c r="E48" s="332"/>
      <c r="F48" s="333"/>
      <c r="G48" s="1194"/>
      <c r="H48" s="1112"/>
      <c r="I48" s="1112"/>
      <c r="J48" s="334"/>
      <c r="K48" s="1045">
        <f>SUM(J48:J49)</f>
        <v>0</v>
      </c>
      <c r="L48" s="1061" t="s">
        <v>884</v>
      </c>
      <c r="M48" s="1062"/>
      <c r="N48" s="1062"/>
      <c r="O48" s="1062"/>
      <c r="P48" s="334">
        <v>278932</v>
      </c>
      <c r="Q48" s="1045">
        <f>SUM(P48)</f>
        <v>278932</v>
      </c>
      <c r="R48" s="1061" t="s">
        <v>752</v>
      </c>
      <c r="S48" s="1062"/>
      <c r="T48" s="1062"/>
      <c r="U48" s="1062"/>
      <c r="V48" s="335"/>
      <c r="W48" s="1045">
        <f>SUM(V48:V49)</f>
        <v>1443526</v>
      </c>
      <c r="X48" s="336"/>
      <c r="Y48" s="337"/>
      <c r="Z48" s="338"/>
      <c r="AA48" s="339"/>
      <c r="AB48" s="340"/>
      <c r="AC48" s="341"/>
    </row>
    <row r="49" spans="1:29" ht="27" customHeight="1" thickBot="1">
      <c r="A49" s="1137" t="s">
        <v>428</v>
      </c>
      <c r="B49" s="1138"/>
      <c r="C49" s="1139"/>
      <c r="D49" s="297">
        <f>SUM('6. kiadások megbontása'!G79)</f>
        <v>12127295</v>
      </c>
      <c r="E49" s="248">
        <f>SUM('6. kiadások megbontása'!H79)</f>
        <v>0</v>
      </c>
      <c r="F49" s="249">
        <f>SUM(D49:E49)</f>
        <v>12127295</v>
      </c>
      <c r="G49" s="270"/>
      <c r="H49" s="271"/>
      <c r="I49" s="271"/>
      <c r="J49" s="342"/>
      <c r="K49" s="1046"/>
      <c r="P49" s="230"/>
      <c r="Q49" s="1046"/>
      <c r="R49" s="1054"/>
      <c r="S49" s="1055"/>
      <c r="T49" s="1055"/>
      <c r="U49" s="1055"/>
      <c r="V49" s="230">
        <f>5642681-4199155</f>
        <v>1443526</v>
      </c>
      <c r="W49" s="1063"/>
      <c r="X49" s="538">
        <f>SUM(K49+Q48+W48)</f>
        <v>1722458</v>
      </c>
      <c r="Y49" s="251">
        <v>0</v>
      </c>
      <c r="Z49" s="262">
        <f>SUM(X49:Y49)</f>
        <v>1722458</v>
      </c>
      <c r="AA49" s="326">
        <f>X49-D49</f>
        <v>-10404837</v>
      </c>
      <c r="AB49" s="261">
        <f>Y49-E49</f>
        <v>0</v>
      </c>
      <c r="AC49" s="263">
        <f>SUM(AA49:AB49)</f>
        <v>-10404837</v>
      </c>
    </row>
    <row r="50" spans="1:223" s="369" customFormat="1" ht="33.75" customHeight="1" thickBot="1">
      <c r="A50" s="1118" t="s">
        <v>770</v>
      </c>
      <c r="B50" s="1119"/>
      <c r="C50" s="1120"/>
      <c r="D50" s="523">
        <f>SUM(D46:D49)</f>
        <v>44412443</v>
      </c>
      <c r="E50" s="524">
        <f>SUM(E46:E49)</f>
        <v>2372000</v>
      </c>
      <c r="F50" s="525">
        <f>SUM(F46:F49)</f>
        <v>46784443</v>
      </c>
      <c r="G50" s="526"/>
      <c r="H50" s="1121" t="s">
        <v>91</v>
      </c>
      <c r="I50" s="1122"/>
      <c r="J50" s="1123"/>
      <c r="K50" s="527">
        <f>SUM(K48+K46)</f>
        <v>15521527</v>
      </c>
      <c r="L50" s="377"/>
      <c r="M50" s="1047" t="s">
        <v>92</v>
      </c>
      <c r="N50" s="1047"/>
      <c r="O50" s="1047"/>
      <c r="P50" s="1048"/>
      <c r="Q50" s="527">
        <f>SUM(Q46:Q48)</f>
        <v>2854932</v>
      </c>
      <c r="R50" s="379"/>
      <c r="S50" s="1047" t="s">
        <v>93</v>
      </c>
      <c r="T50" s="1047"/>
      <c r="U50" s="1047"/>
      <c r="V50" s="1048"/>
      <c r="W50" s="528">
        <f>SUM(W46:W49)</f>
        <v>16229631</v>
      </c>
      <c r="X50" s="529">
        <f>SUM(X46:X49)</f>
        <v>34606090</v>
      </c>
      <c r="Y50" s="530">
        <f>SUM(Y46:Y49)</f>
        <v>0</v>
      </c>
      <c r="Z50" s="531">
        <f>SUM(X50:Y50)</f>
        <v>34606090</v>
      </c>
      <c r="AA50" s="532">
        <f>X50-D50</f>
        <v>-9806353</v>
      </c>
      <c r="AB50" s="533">
        <f>Y50-E50</f>
        <v>-2372000</v>
      </c>
      <c r="AC50" s="375">
        <f>SUM(AA50:AB50)</f>
        <v>-12178353</v>
      </c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4"/>
      <c r="DA50" s="384"/>
      <c r="DB50" s="384"/>
      <c r="DC50" s="384"/>
      <c r="DD50" s="384"/>
      <c r="DE50" s="384"/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4"/>
      <c r="DQ50" s="384"/>
      <c r="DR50" s="384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4"/>
      <c r="EE50" s="384"/>
      <c r="EF50" s="384"/>
      <c r="EG50" s="384"/>
      <c r="EH50" s="384"/>
      <c r="EI50" s="384"/>
      <c r="EJ50" s="384"/>
      <c r="EK50" s="384"/>
      <c r="EL50" s="384"/>
      <c r="EM50" s="384"/>
      <c r="EN50" s="384"/>
      <c r="EO50" s="384"/>
      <c r="EP50" s="384"/>
      <c r="EQ50" s="384"/>
      <c r="ER50" s="384"/>
      <c r="ES50" s="384"/>
      <c r="ET50" s="384"/>
      <c r="EU50" s="384"/>
      <c r="EV50" s="384"/>
      <c r="EW50" s="384"/>
      <c r="EX50" s="384"/>
      <c r="EY50" s="384"/>
      <c r="EZ50" s="384"/>
      <c r="FA50" s="384"/>
      <c r="FB50" s="384"/>
      <c r="FC50" s="384"/>
      <c r="FD50" s="384"/>
      <c r="FE50" s="384"/>
      <c r="FF50" s="384"/>
      <c r="FG50" s="384"/>
      <c r="FH50" s="384"/>
      <c r="FI50" s="384"/>
      <c r="FJ50" s="384"/>
      <c r="FK50" s="384"/>
      <c r="FL50" s="384"/>
      <c r="FM50" s="384"/>
      <c r="FN50" s="384"/>
      <c r="FO50" s="384"/>
      <c r="FP50" s="384"/>
      <c r="FQ50" s="384"/>
      <c r="FR50" s="384"/>
      <c r="FS50" s="384"/>
      <c r="FT50" s="384"/>
      <c r="FU50" s="384"/>
      <c r="FV50" s="384"/>
      <c r="FW50" s="384"/>
      <c r="FX50" s="384"/>
      <c r="FY50" s="384"/>
      <c r="FZ50" s="384"/>
      <c r="GA50" s="384"/>
      <c r="GB50" s="384"/>
      <c r="GC50" s="384"/>
      <c r="GD50" s="384"/>
      <c r="GE50" s="384"/>
      <c r="GF50" s="384"/>
      <c r="GG50" s="384"/>
      <c r="GH50" s="384"/>
      <c r="GI50" s="384"/>
      <c r="GJ50" s="384"/>
      <c r="GK50" s="384"/>
      <c r="GL50" s="384"/>
      <c r="GM50" s="384"/>
      <c r="GN50" s="384"/>
      <c r="GO50" s="384"/>
      <c r="GP50" s="384"/>
      <c r="GQ50" s="384"/>
      <c r="GR50" s="384"/>
      <c r="GS50" s="384"/>
      <c r="GT50" s="384"/>
      <c r="GU50" s="384"/>
      <c r="GV50" s="384"/>
      <c r="GW50" s="384"/>
      <c r="GX50" s="384"/>
      <c r="GY50" s="384"/>
      <c r="GZ50" s="384"/>
      <c r="HA50" s="384"/>
      <c r="HB50" s="384"/>
      <c r="HC50" s="384"/>
      <c r="HD50" s="384"/>
      <c r="HE50" s="384"/>
      <c r="HF50" s="384"/>
      <c r="HG50" s="384"/>
      <c r="HH50" s="384"/>
      <c r="HI50" s="384"/>
      <c r="HJ50" s="384"/>
      <c r="HK50" s="384"/>
      <c r="HL50" s="384"/>
      <c r="HM50" s="384"/>
      <c r="HN50" s="384"/>
      <c r="HO50" s="384"/>
    </row>
    <row r="51" spans="1:29" ht="17.25" thickBot="1" thickTop="1">
      <c r="A51" s="309"/>
      <c r="B51" s="310"/>
      <c r="C51" s="310"/>
      <c r="D51" s="311"/>
      <c r="E51" s="312"/>
      <c r="F51" s="313"/>
      <c r="G51" s="312"/>
      <c r="H51" s="312"/>
      <c r="I51" s="314"/>
      <c r="J51" s="314"/>
      <c r="K51" s="315"/>
      <c r="L51" s="316"/>
      <c r="M51" s="312"/>
      <c r="N51" s="312"/>
      <c r="O51" s="312"/>
      <c r="P51" s="312"/>
      <c r="Q51" s="315"/>
      <c r="R51" s="312"/>
      <c r="S51" s="312"/>
      <c r="T51" s="312"/>
      <c r="U51" s="312"/>
      <c r="V51" s="312"/>
      <c r="W51" s="317"/>
      <c r="X51" s="318"/>
      <c r="Y51" s="319"/>
      <c r="Z51" s="320"/>
      <c r="AA51" s="309"/>
      <c r="AB51" s="321"/>
      <c r="AC51" s="322"/>
    </row>
    <row r="52" spans="1:29" ht="14.25" thickBot="1" thickTop="1">
      <c r="A52" s="1083" t="s">
        <v>647</v>
      </c>
      <c r="B52" s="1084"/>
      <c r="C52" s="1084"/>
      <c r="D52" s="1102" t="s">
        <v>338</v>
      </c>
      <c r="E52" s="1057"/>
      <c r="F52" s="1058"/>
      <c r="G52" s="1103" t="s">
        <v>448</v>
      </c>
      <c r="H52" s="1154"/>
      <c r="I52" s="1154"/>
      <c r="J52" s="1154"/>
      <c r="K52" s="1155"/>
      <c r="L52" s="1056" t="s">
        <v>449</v>
      </c>
      <c r="M52" s="1113"/>
      <c r="N52" s="1113"/>
      <c r="O52" s="1113"/>
      <c r="P52" s="1113"/>
      <c r="Q52" s="1114"/>
      <c r="R52" s="1056" t="s">
        <v>450</v>
      </c>
      <c r="S52" s="1113"/>
      <c r="T52" s="1113"/>
      <c r="U52" s="1113"/>
      <c r="V52" s="1113"/>
      <c r="W52" s="1182"/>
      <c r="X52" s="1130" t="s">
        <v>451</v>
      </c>
      <c r="Y52" s="1091"/>
      <c r="Z52" s="1091"/>
      <c r="AA52" s="1092" t="s">
        <v>86</v>
      </c>
      <c r="AB52" s="1093"/>
      <c r="AC52" s="1094"/>
    </row>
    <row r="53" spans="1:223" s="515" customFormat="1" ht="32.25" customHeight="1" thickBot="1">
      <c r="A53" s="1085"/>
      <c r="B53" s="1086"/>
      <c r="C53" s="1086"/>
      <c r="D53" s="368" t="s">
        <v>87</v>
      </c>
      <c r="E53" s="555" t="s">
        <v>84</v>
      </c>
      <c r="F53" s="224" t="s">
        <v>88</v>
      </c>
      <c r="G53" s="1156"/>
      <c r="H53" s="1157"/>
      <c r="I53" s="1157"/>
      <c r="J53" s="1157"/>
      <c r="K53" s="1158"/>
      <c r="L53" s="1115"/>
      <c r="M53" s="1116"/>
      <c r="N53" s="1116"/>
      <c r="O53" s="1116"/>
      <c r="P53" s="1116"/>
      <c r="Q53" s="1117"/>
      <c r="R53" s="1115"/>
      <c r="S53" s="1116"/>
      <c r="T53" s="1116"/>
      <c r="U53" s="1116"/>
      <c r="V53" s="1116"/>
      <c r="W53" s="1183"/>
      <c r="X53" s="540" t="s">
        <v>87</v>
      </c>
      <c r="Y53" s="368" t="s">
        <v>84</v>
      </c>
      <c r="Z53" s="541" t="s">
        <v>88</v>
      </c>
      <c r="AA53" s="367" t="s">
        <v>87</v>
      </c>
      <c r="AB53" s="368" t="s">
        <v>84</v>
      </c>
      <c r="AC53" s="224" t="s">
        <v>88</v>
      </c>
      <c r="AD53" s="534"/>
      <c r="AE53" s="534"/>
      <c r="AF53" s="534"/>
      <c r="AG53" s="534"/>
      <c r="AH53" s="534"/>
      <c r="AI53" s="534"/>
      <c r="AJ53" s="534"/>
      <c r="AK53" s="534"/>
      <c r="AL53" s="534"/>
      <c r="AM53" s="534"/>
      <c r="AN53" s="534"/>
      <c r="AO53" s="534"/>
      <c r="AP53" s="534"/>
      <c r="AQ53" s="534"/>
      <c r="AR53" s="534"/>
      <c r="AS53" s="534"/>
      <c r="AT53" s="534"/>
      <c r="AU53" s="534"/>
      <c r="AV53" s="534"/>
      <c r="AW53" s="534"/>
      <c r="AX53" s="534"/>
      <c r="AY53" s="534"/>
      <c r="AZ53" s="534"/>
      <c r="BA53" s="534"/>
      <c r="BB53" s="534"/>
      <c r="BC53" s="534"/>
      <c r="BD53" s="534"/>
      <c r="BE53" s="534"/>
      <c r="BF53" s="534"/>
      <c r="BG53" s="534"/>
      <c r="BH53" s="534"/>
      <c r="BI53" s="534"/>
      <c r="BJ53" s="534"/>
      <c r="BK53" s="534"/>
      <c r="BL53" s="534"/>
      <c r="BM53" s="534"/>
      <c r="BN53" s="534"/>
      <c r="BO53" s="534"/>
      <c r="BP53" s="534"/>
      <c r="BQ53" s="534"/>
      <c r="BR53" s="534"/>
      <c r="BS53" s="534"/>
      <c r="BT53" s="534"/>
      <c r="BU53" s="534"/>
      <c r="BV53" s="534"/>
      <c r="BW53" s="534"/>
      <c r="BX53" s="534"/>
      <c r="BY53" s="534"/>
      <c r="BZ53" s="534"/>
      <c r="CA53" s="534"/>
      <c r="CB53" s="534"/>
      <c r="CC53" s="534"/>
      <c r="CD53" s="534"/>
      <c r="CE53" s="534"/>
      <c r="CF53" s="534"/>
      <c r="CG53" s="534"/>
      <c r="CH53" s="534"/>
      <c r="CI53" s="534"/>
      <c r="CJ53" s="534"/>
      <c r="CK53" s="534"/>
      <c r="CL53" s="534"/>
      <c r="CM53" s="534"/>
      <c r="CN53" s="534"/>
      <c r="CO53" s="534"/>
      <c r="CP53" s="534"/>
      <c r="CQ53" s="534"/>
      <c r="CR53" s="534"/>
      <c r="CS53" s="534"/>
      <c r="CT53" s="534"/>
      <c r="CU53" s="534"/>
      <c r="CV53" s="534"/>
      <c r="CW53" s="534"/>
      <c r="CX53" s="534"/>
      <c r="CY53" s="534"/>
      <c r="CZ53" s="534"/>
      <c r="DA53" s="534"/>
      <c r="DB53" s="534"/>
      <c r="DC53" s="534"/>
      <c r="DD53" s="534"/>
      <c r="DE53" s="534"/>
      <c r="DF53" s="534"/>
      <c r="DG53" s="534"/>
      <c r="DH53" s="534"/>
      <c r="DI53" s="534"/>
      <c r="DJ53" s="534"/>
      <c r="DK53" s="534"/>
      <c r="DL53" s="534"/>
      <c r="DM53" s="534"/>
      <c r="DN53" s="534"/>
      <c r="DO53" s="534"/>
      <c r="DP53" s="534"/>
      <c r="DQ53" s="534"/>
      <c r="DR53" s="534"/>
      <c r="DS53" s="534"/>
      <c r="DT53" s="534"/>
      <c r="DU53" s="534"/>
      <c r="DV53" s="534"/>
      <c r="DW53" s="534"/>
      <c r="DX53" s="534"/>
      <c r="DY53" s="534"/>
      <c r="DZ53" s="534"/>
      <c r="EA53" s="534"/>
      <c r="EB53" s="534"/>
      <c r="EC53" s="534"/>
      <c r="ED53" s="534"/>
      <c r="EE53" s="534"/>
      <c r="EF53" s="534"/>
      <c r="EG53" s="534"/>
      <c r="EH53" s="534"/>
      <c r="EI53" s="534"/>
      <c r="EJ53" s="534"/>
      <c r="EK53" s="534"/>
      <c r="EL53" s="534"/>
      <c r="EM53" s="534"/>
      <c r="EN53" s="534"/>
      <c r="EO53" s="534"/>
      <c r="EP53" s="534"/>
      <c r="EQ53" s="534"/>
      <c r="ER53" s="534"/>
      <c r="ES53" s="534"/>
      <c r="ET53" s="534"/>
      <c r="EU53" s="534"/>
      <c r="EV53" s="534"/>
      <c r="EW53" s="534"/>
      <c r="EX53" s="534"/>
      <c r="EY53" s="534"/>
      <c r="EZ53" s="534"/>
      <c r="FA53" s="534"/>
      <c r="FB53" s="534"/>
      <c r="FC53" s="534"/>
      <c r="FD53" s="534"/>
      <c r="FE53" s="534"/>
      <c r="FF53" s="534"/>
      <c r="FG53" s="534"/>
      <c r="FH53" s="534"/>
      <c r="FI53" s="534"/>
      <c r="FJ53" s="534"/>
      <c r="FK53" s="534"/>
      <c r="FL53" s="534"/>
      <c r="FM53" s="534"/>
      <c r="FN53" s="534"/>
      <c r="FO53" s="534"/>
      <c r="FP53" s="534"/>
      <c r="FQ53" s="534"/>
      <c r="FR53" s="534"/>
      <c r="FS53" s="534"/>
      <c r="FT53" s="534"/>
      <c r="FU53" s="534"/>
      <c r="FV53" s="534"/>
      <c r="FW53" s="534"/>
      <c r="FX53" s="534"/>
      <c r="FY53" s="534"/>
      <c r="FZ53" s="534"/>
      <c r="GA53" s="534"/>
      <c r="GB53" s="534"/>
      <c r="GC53" s="534"/>
      <c r="GD53" s="534"/>
      <c r="GE53" s="534"/>
      <c r="GF53" s="534"/>
      <c r="GG53" s="534"/>
      <c r="GH53" s="534"/>
      <c r="GI53" s="534"/>
      <c r="GJ53" s="534"/>
      <c r="GK53" s="534"/>
      <c r="GL53" s="534"/>
      <c r="GM53" s="534"/>
      <c r="GN53" s="534"/>
      <c r="GO53" s="534"/>
      <c r="GP53" s="534"/>
      <c r="GQ53" s="534"/>
      <c r="GR53" s="534"/>
      <c r="GS53" s="534"/>
      <c r="GT53" s="534"/>
      <c r="GU53" s="534"/>
      <c r="GV53" s="534"/>
      <c r="GW53" s="534"/>
      <c r="GX53" s="534"/>
      <c r="GY53" s="534"/>
      <c r="GZ53" s="534"/>
      <c r="HA53" s="534"/>
      <c r="HB53" s="534"/>
      <c r="HC53" s="534"/>
      <c r="HD53" s="534"/>
      <c r="HE53" s="534"/>
      <c r="HF53" s="534"/>
      <c r="HG53" s="534"/>
      <c r="HH53" s="534"/>
      <c r="HI53" s="534"/>
      <c r="HJ53" s="534"/>
      <c r="HK53" s="534"/>
      <c r="HL53" s="534"/>
      <c r="HM53" s="534"/>
      <c r="HN53" s="534"/>
      <c r="HO53" s="534"/>
    </row>
    <row r="54" spans="1:29" ht="25.5" customHeight="1">
      <c r="A54" s="305"/>
      <c r="B54" s="267"/>
      <c r="C54" s="267"/>
      <c r="D54" s="292"/>
      <c r="E54" s="267"/>
      <c r="F54" s="268"/>
      <c r="G54" s="1159" t="s">
        <v>424</v>
      </c>
      <c r="H54" s="1042"/>
      <c r="I54" s="1042"/>
      <c r="J54" s="387">
        <f>17434600+68180</f>
        <v>17502780</v>
      </c>
      <c r="K54" s="1045">
        <f>SUM(J54:J62)</f>
        <v>211715227</v>
      </c>
      <c r="L54" s="1074"/>
      <c r="M54" s="1062"/>
      <c r="N54" s="1062"/>
      <c r="O54" s="1062"/>
      <c r="P54" s="387"/>
      <c r="Q54" s="1186">
        <f>SUM(P54:P62)</f>
        <v>0</v>
      </c>
      <c r="R54" s="1049" t="s">
        <v>456</v>
      </c>
      <c r="S54" s="1050"/>
      <c r="T54" s="1050"/>
      <c r="U54" s="1050"/>
      <c r="V54" s="390">
        <v>1411725</v>
      </c>
      <c r="W54" s="1051">
        <f>SUM(V54:V59)</f>
        <v>1961749</v>
      </c>
      <c r="X54" s="267"/>
      <c r="Y54" s="292"/>
      <c r="Z54" s="324"/>
      <c r="AA54" s="305"/>
      <c r="AB54" s="292"/>
      <c r="AC54" s="243"/>
    </row>
    <row r="55" spans="1:29" ht="25.5" customHeight="1">
      <c r="A55" s="305"/>
      <c r="B55" s="267"/>
      <c r="C55" s="291"/>
      <c r="D55" s="292"/>
      <c r="E55" s="267"/>
      <c r="F55" s="268"/>
      <c r="G55" s="1140" t="s">
        <v>536</v>
      </c>
      <c r="H55" s="1050"/>
      <c r="I55" s="1050"/>
      <c r="J55" s="387">
        <f>94595400+9013565</f>
        <v>103608965</v>
      </c>
      <c r="K55" s="1046"/>
      <c r="L55" s="1072"/>
      <c r="M55" s="1073"/>
      <c r="N55" s="1073"/>
      <c r="O55" s="1073"/>
      <c r="P55" s="269"/>
      <c r="Q55" s="1187"/>
      <c r="R55" s="1041" t="s">
        <v>642</v>
      </c>
      <c r="S55" s="1042"/>
      <c r="T55" s="1042"/>
      <c r="U55" s="1042"/>
      <c r="V55" s="390">
        <f>550024</f>
        <v>550024</v>
      </c>
      <c r="W55" s="1052"/>
      <c r="X55" s="230"/>
      <c r="Y55" s="253"/>
      <c r="Z55" s="241"/>
      <c r="AA55" s="252"/>
      <c r="AB55" s="253"/>
      <c r="AC55" s="254"/>
    </row>
    <row r="56" spans="1:29" ht="30" customHeight="1">
      <c r="A56" s="305"/>
      <c r="B56" s="267"/>
      <c r="C56" s="291"/>
      <c r="D56" s="292"/>
      <c r="E56" s="267"/>
      <c r="F56" s="268"/>
      <c r="G56" s="1140" t="s">
        <v>460</v>
      </c>
      <c r="H56" s="1050"/>
      <c r="I56" s="1050"/>
      <c r="J56" s="390">
        <f>6068200+2384560</f>
        <v>8452760</v>
      </c>
      <c r="K56" s="1046"/>
      <c r="L56" s="371"/>
      <c r="M56" s="372"/>
      <c r="N56" s="372"/>
      <c r="O56" s="372"/>
      <c r="P56" s="269"/>
      <c r="Q56" s="1187"/>
      <c r="R56" s="1049"/>
      <c r="S56" s="1050"/>
      <c r="T56" s="1050"/>
      <c r="U56" s="1050"/>
      <c r="V56" s="390"/>
      <c r="W56" s="1052"/>
      <c r="X56" s="230"/>
      <c r="Y56" s="253"/>
      <c r="Z56" s="241"/>
      <c r="AA56" s="252"/>
      <c r="AB56" s="253"/>
      <c r="AC56" s="254"/>
    </row>
    <row r="57" spans="1:29" ht="26.25" customHeight="1">
      <c r="A57" s="1137" t="s">
        <v>427</v>
      </c>
      <c r="B57" s="1165"/>
      <c r="C57" s="1166"/>
      <c r="D57" s="297">
        <f>SUM('6. kiadások megbontása'!D72)</f>
        <v>224279645</v>
      </c>
      <c r="E57" s="248">
        <f>SUM('6. kiadások megbontása'!E72)</f>
        <v>2620565</v>
      </c>
      <c r="F57" s="249">
        <f>SUM(D57:E57)</f>
        <v>226900210</v>
      </c>
      <c r="G57" s="1140" t="s">
        <v>644</v>
      </c>
      <c r="H57" s="1050"/>
      <c r="I57" s="1050"/>
      <c r="J57" s="573">
        <v>23863440</v>
      </c>
      <c r="K57" s="1046"/>
      <c r="L57" s="290"/>
      <c r="M57" s="267"/>
      <c r="N57" s="267"/>
      <c r="O57" s="267"/>
      <c r="P57" s="267"/>
      <c r="Q57" s="1187"/>
      <c r="R57" s="1054"/>
      <c r="S57" s="1055"/>
      <c r="T57" s="1055"/>
      <c r="U57" s="1055"/>
      <c r="V57" s="390"/>
      <c r="W57" s="1052"/>
      <c r="X57" s="325">
        <f>SUM(W54+Q54+K54)</f>
        <v>213676976</v>
      </c>
      <c r="Y57" s="261">
        <f>W60</f>
        <v>1637849</v>
      </c>
      <c r="Z57" s="262">
        <f>SUM(X57:Y57)</f>
        <v>215314825</v>
      </c>
      <c r="AA57" s="326">
        <f>X57-D57</f>
        <v>-10602669</v>
      </c>
      <c r="AB57" s="261">
        <f>Y57-E57</f>
        <v>-982716</v>
      </c>
      <c r="AC57" s="263">
        <f>SUM(AA57:AB57)</f>
        <v>-11585385</v>
      </c>
    </row>
    <row r="58" spans="1:29" ht="29.25" customHeight="1">
      <c r="A58" s="244"/>
      <c r="B58" s="327"/>
      <c r="C58" s="464"/>
      <c r="D58" s="297"/>
      <c r="E58" s="248"/>
      <c r="F58" s="249"/>
      <c r="G58" s="1140" t="s">
        <v>646</v>
      </c>
      <c r="H58" s="1050"/>
      <c r="I58" s="1050"/>
      <c r="J58" s="390">
        <f>3740000+18150000+418000+2277000</f>
        <v>24585000</v>
      </c>
      <c r="K58" s="1046"/>
      <c r="L58" s="290"/>
      <c r="M58" s="267"/>
      <c r="N58" s="267"/>
      <c r="O58" s="267"/>
      <c r="P58" s="328"/>
      <c r="Q58" s="1187"/>
      <c r="R58" s="1054"/>
      <c r="S58" s="1055"/>
      <c r="T58" s="1055"/>
      <c r="U58" s="1055"/>
      <c r="V58" s="390"/>
      <c r="W58" s="1052"/>
      <c r="X58" s="307"/>
      <c r="Y58" s="251"/>
      <c r="Z58" s="262"/>
      <c r="AA58" s="260"/>
      <c r="AB58" s="261"/>
      <c r="AC58" s="254"/>
    </row>
    <row r="59" spans="1:29" ht="29.25" customHeight="1" thickBot="1">
      <c r="A59" s="244"/>
      <c r="B59" s="327"/>
      <c r="C59" s="464"/>
      <c r="D59" s="297"/>
      <c r="E59" s="248"/>
      <c r="F59" s="249"/>
      <c r="G59" s="1140" t="s">
        <v>676</v>
      </c>
      <c r="H59" s="1050"/>
      <c r="I59" s="1050"/>
      <c r="J59" s="390">
        <v>7303142</v>
      </c>
      <c r="K59" s="1046"/>
      <c r="L59" s="290"/>
      <c r="M59" s="267"/>
      <c r="N59" s="267"/>
      <c r="O59" s="267"/>
      <c r="P59" s="328"/>
      <c r="Q59" s="1187"/>
      <c r="R59" s="370"/>
      <c r="S59" s="461"/>
      <c r="T59" s="461"/>
      <c r="U59" s="461"/>
      <c r="V59" s="390"/>
      <c r="W59" s="1052"/>
      <c r="X59" s="307"/>
      <c r="Y59" s="251"/>
      <c r="Z59" s="262"/>
      <c r="AA59" s="260"/>
      <c r="AB59" s="261"/>
      <c r="AC59" s="254"/>
    </row>
    <row r="60" spans="1:29" ht="29.25" customHeight="1">
      <c r="A60" s="244"/>
      <c r="B60" s="327"/>
      <c r="C60" s="464"/>
      <c r="D60" s="297"/>
      <c r="E60" s="248"/>
      <c r="F60" s="249"/>
      <c r="G60" s="1140" t="s">
        <v>662</v>
      </c>
      <c r="H60" s="1050"/>
      <c r="I60" s="1050"/>
      <c r="J60" s="387">
        <f>11944000+436500+190000</f>
        <v>12570500</v>
      </c>
      <c r="K60" s="1046"/>
      <c r="L60" s="290"/>
      <c r="M60" s="267"/>
      <c r="N60" s="267"/>
      <c r="O60" s="267"/>
      <c r="P60" s="328"/>
      <c r="Q60" s="1187"/>
      <c r="R60" s="1075" t="s">
        <v>637</v>
      </c>
      <c r="S60" s="1076"/>
      <c r="T60" s="1076"/>
      <c r="U60" s="1076"/>
      <c r="V60" s="518">
        <f>1130000+507849</f>
        <v>1637849</v>
      </c>
      <c r="W60" s="1051">
        <f>SUM(V60:V62)</f>
        <v>1637849</v>
      </c>
      <c r="X60" s="307"/>
      <c r="Y60" s="251"/>
      <c r="Z60" s="262"/>
      <c r="AA60" s="260"/>
      <c r="AB60" s="261"/>
      <c r="AC60" s="254"/>
    </row>
    <row r="61" spans="1:29" ht="29.25" customHeight="1">
      <c r="A61" s="244"/>
      <c r="B61" s="327"/>
      <c r="C61" s="464"/>
      <c r="D61" s="297"/>
      <c r="E61" s="248"/>
      <c r="F61" s="249"/>
      <c r="G61" s="1140" t="s">
        <v>1038</v>
      </c>
      <c r="H61" s="1050"/>
      <c r="I61" s="1050"/>
      <c r="J61" s="387">
        <f>254623+9577+12631+10068391-1971+1806691</f>
        <v>12149942</v>
      </c>
      <c r="K61" s="1046"/>
      <c r="L61" s="290"/>
      <c r="M61" s="267"/>
      <c r="N61" s="267"/>
      <c r="O61" s="267"/>
      <c r="P61" s="328"/>
      <c r="Q61" s="1187"/>
      <c r="R61" s="370"/>
      <c r="S61" s="461"/>
      <c r="T61" s="461"/>
      <c r="U61" s="461"/>
      <c r="V61" s="390"/>
      <c r="W61" s="1052"/>
      <c r="X61" s="307"/>
      <c r="Y61" s="251"/>
      <c r="Z61" s="262"/>
      <c r="AA61" s="260"/>
      <c r="AB61" s="261"/>
      <c r="AC61" s="254"/>
    </row>
    <row r="62" spans="1:29" ht="29.25" customHeight="1" thickBot="1">
      <c r="A62" s="244"/>
      <c r="B62" s="327"/>
      <c r="C62" s="464"/>
      <c r="D62" s="297"/>
      <c r="E62" s="248"/>
      <c r="F62" s="249"/>
      <c r="G62" s="1140" t="s">
        <v>720</v>
      </c>
      <c r="H62" s="1050"/>
      <c r="I62" s="1050"/>
      <c r="J62" s="576">
        <v>1678698</v>
      </c>
      <c r="K62" s="1046"/>
      <c r="L62" s="290"/>
      <c r="M62" s="267"/>
      <c r="N62" s="267"/>
      <c r="O62" s="267"/>
      <c r="P62" s="328"/>
      <c r="Q62" s="1187"/>
      <c r="R62" s="370"/>
      <c r="S62" s="461"/>
      <c r="T62" s="461"/>
      <c r="U62" s="461"/>
      <c r="V62" s="390"/>
      <c r="W62" s="1053"/>
      <c r="X62" s="307"/>
      <c r="Y62" s="251"/>
      <c r="Z62" s="262"/>
      <c r="AA62" s="260"/>
      <c r="AB62" s="261"/>
      <c r="AC62" s="254"/>
    </row>
    <row r="63" spans="1:29" ht="29.25" customHeight="1">
      <c r="A63" s="329"/>
      <c r="B63" s="330"/>
      <c r="C63" s="376"/>
      <c r="D63" s="331"/>
      <c r="E63" s="332"/>
      <c r="F63" s="333"/>
      <c r="G63" s="603"/>
      <c r="H63" s="602"/>
      <c r="I63" s="602"/>
      <c r="J63" s="575"/>
      <c r="K63" s="564"/>
      <c r="L63" s="1074" t="s">
        <v>787</v>
      </c>
      <c r="M63" s="1062"/>
      <c r="N63" s="1062"/>
      <c r="O63" s="1062"/>
      <c r="P63" s="334">
        <f>5354163+7000000</f>
        <v>12354163</v>
      </c>
      <c r="Q63" s="1188">
        <f>SUM(P63:P66)</f>
        <v>23466802</v>
      </c>
      <c r="R63" s="1066" t="s">
        <v>885</v>
      </c>
      <c r="S63" s="1067"/>
      <c r="T63" s="1067"/>
      <c r="U63" s="1067"/>
      <c r="V63" s="334">
        <v>348851</v>
      </c>
      <c r="W63" s="1051">
        <f>SUM(V63:V66)</f>
        <v>18641229</v>
      </c>
      <c r="X63" s="607"/>
      <c r="Y63" s="337"/>
      <c r="Z63" s="338"/>
      <c r="AA63" s="339"/>
      <c r="AB63" s="340"/>
      <c r="AC63" s="341"/>
    </row>
    <row r="64" spans="1:29" ht="29.25" customHeight="1">
      <c r="A64" s="244"/>
      <c r="B64" s="327"/>
      <c r="C64" s="464"/>
      <c r="D64" s="297"/>
      <c r="E64" s="248"/>
      <c r="F64" s="249"/>
      <c r="G64" s="773"/>
      <c r="H64" s="559"/>
      <c r="I64" s="559"/>
      <c r="J64" s="576"/>
      <c r="K64" s="601"/>
      <c r="L64" s="1054" t="s">
        <v>1041</v>
      </c>
      <c r="M64" s="1055"/>
      <c r="N64" s="1055"/>
      <c r="O64" s="1055"/>
      <c r="P64" s="386">
        <v>900000</v>
      </c>
      <c r="Q64" s="1189"/>
      <c r="R64" s="901"/>
      <c r="S64" s="902"/>
      <c r="T64" s="902"/>
      <c r="U64" s="902"/>
      <c r="V64" s="386"/>
      <c r="W64" s="1052"/>
      <c r="X64" s="307"/>
      <c r="Y64" s="251"/>
      <c r="Z64" s="262"/>
      <c r="AA64" s="260"/>
      <c r="AB64" s="261"/>
      <c r="AC64" s="254"/>
    </row>
    <row r="65" spans="1:29" ht="29.25" customHeight="1">
      <c r="A65" s="244"/>
      <c r="B65" s="327"/>
      <c r="C65" s="464"/>
      <c r="D65" s="297"/>
      <c r="E65" s="248"/>
      <c r="F65" s="249"/>
      <c r="G65" s="773"/>
      <c r="H65" s="559"/>
      <c r="I65" s="559"/>
      <c r="J65" s="576"/>
      <c r="K65" s="601"/>
      <c r="L65" s="1054" t="s">
        <v>884</v>
      </c>
      <c r="M65" s="1055"/>
      <c r="N65" s="1055"/>
      <c r="O65" s="1055"/>
      <c r="P65" s="386">
        <f>1952578-54</f>
        <v>1952524</v>
      </c>
      <c r="Q65" s="1189"/>
      <c r="R65" s="1054" t="s">
        <v>886</v>
      </c>
      <c r="S65" s="1055"/>
      <c r="T65" s="1055"/>
      <c r="U65" s="1055"/>
      <c r="V65" s="386">
        <v>31954</v>
      </c>
      <c r="W65" s="1052"/>
      <c r="X65" s="307"/>
      <c r="Y65" s="251"/>
      <c r="Z65" s="262"/>
      <c r="AA65" s="260"/>
      <c r="AB65" s="261"/>
      <c r="AC65" s="254"/>
    </row>
    <row r="66" spans="1:29" ht="27.75" customHeight="1" thickBot="1">
      <c r="A66" s="1173" t="s">
        <v>428</v>
      </c>
      <c r="B66" s="1174"/>
      <c r="C66" s="1175"/>
      <c r="D66" s="604">
        <f>SUM('6. kiadások megbontása'!G72)</f>
        <v>48469143</v>
      </c>
      <c r="E66" s="604">
        <f>SUM('6. kiadások megbontása'!H72)</f>
        <v>539465</v>
      </c>
      <c r="F66" s="605">
        <f>SUM(D66:E66)</f>
        <v>49008608</v>
      </c>
      <c r="G66" s="1140"/>
      <c r="H66" s="1050"/>
      <c r="I66" s="1050"/>
      <c r="J66" s="387"/>
      <c r="K66" s="601">
        <f>SUM(J66:J66)</f>
        <v>0</v>
      </c>
      <c r="L66" s="1180" t="s">
        <v>674</v>
      </c>
      <c r="M66" s="1082"/>
      <c r="N66" s="1082"/>
      <c r="O66" s="1082"/>
      <c r="P66" s="386">
        <f>7411115+425000+424000</f>
        <v>8260115</v>
      </c>
      <c r="Q66" s="1190"/>
      <c r="R66" s="1097" t="s">
        <v>753</v>
      </c>
      <c r="S66" s="1098"/>
      <c r="T66" s="1098"/>
      <c r="U66" s="1098"/>
      <c r="V66" s="386">
        <f>7760424+10500000</f>
        <v>18260424</v>
      </c>
      <c r="W66" s="1053"/>
      <c r="X66" s="606">
        <f>SUM(K66+Q63+W63)</f>
        <v>42108031</v>
      </c>
      <c r="Y66" s="251">
        <v>0</v>
      </c>
      <c r="Z66" s="254">
        <f>SUM(X66:Y66)</f>
        <v>42108031</v>
      </c>
      <c r="AA66" s="538">
        <f>X66-D66</f>
        <v>-6361112</v>
      </c>
      <c r="AB66" s="251">
        <f>Y66-E66</f>
        <v>-539465</v>
      </c>
      <c r="AC66" s="289">
        <f>SUM(AA66:AB66)</f>
        <v>-6900577</v>
      </c>
    </row>
    <row r="67" spans="1:223" s="369" customFormat="1" ht="44.25" customHeight="1" thickBot="1" thickTop="1">
      <c r="A67" s="1167" t="s">
        <v>675</v>
      </c>
      <c r="B67" s="1168"/>
      <c r="C67" s="1169"/>
      <c r="D67" s="565">
        <f>SUM(D55:D66)</f>
        <v>272748788</v>
      </c>
      <c r="E67" s="566">
        <f>SUM(E55:E66)</f>
        <v>3160030</v>
      </c>
      <c r="F67" s="567">
        <f>SUM(D67:E67)</f>
        <v>275908818</v>
      </c>
      <c r="G67" s="522"/>
      <c r="H67" s="1121" t="s">
        <v>91</v>
      </c>
      <c r="I67" s="1122"/>
      <c r="J67" s="1123"/>
      <c r="K67" s="378">
        <f>SUM(K54:K66)</f>
        <v>211715227</v>
      </c>
      <c r="L67" s="377"/>
      <c r="M67" s="1047" t="s">
        <v>92</v>
      </c>
      <c r="N67" s="1047"/>
      <c r="O67" s="1047"/>
      <c r="P67" s="1048"/>
      <c r="Q67" s="378">
        <f>SUM(Q54:Q63)</f>
        <v>23466802</v>
      </c>
      <c r="R67" s="379"/>
      <c r="S67" s="1047" t="s">
        <v>93</v>
      </c>
      <c r="T67" s="1047"/>
      <c r="U67" s="1047"/>
      <c r="V67" s="1048"/>
      <c r="W67" s="378">
        <f>SUM(W54:W63)</f>
        <v>22240827</v>
      </c>
      <c r="X67" s="380">
        <f>SUM(X53:X66)</f>
        <v>255785007</v>
      </c>
      <c r="Y67" s="381">
        <f>SUM(Y53:Y66)</f>
        <v>1637849</v>
      </c>
      <c r="Z67" s="382">
        <f>SUM(X67:Y67)</f>
        <v>257422856</v>
      </c>
      <c r="AA67" s="380">
        <f>X67-D67</f>
        <v>-16963781</v>
      </c>
      <c r="AB67" s="383">
        <f>Y67-E67</f>
        <v>-1522181</v>
      </c>
      <c r="AC67" s="382">
        <f>SUM(AA67:AB67)</f>
        <v>-18485962</v>
      </c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4"/>
      <c r="BN67" s="384"/>
      <c r="BO67" s="384"/>
      <c r="BP67" s="384"/>
      <c r="BQ67" s="384"/>
      <c r="BR67" s="384"/>
      <c r="BS67" s="384"/>
      <c r="BT67" s="384"/>
      <c r="BU67" s="384"/>
      <c r="BV67" s="384"/>
      <c r="BW67" s="384"/>
      <c r="BX67" s="384"/>
      <c r="BY67" s="384"/>
      <c r="BZ67" s="384"/>
      <c r="CA67" s="384"/>
      <c r="CB67" s="384"/>
      <c r="CC67" s="384"/>
      <c r="CD67" s="384"/>
      <c r="CE67" s="384"/>
      <c r="CF67" s="384"/>
      <c r="CG67" s="384"/>
      <c r="CH67" s="384"/>
      <c r="CI67" s="384"/>
      <c r="CJ67" s="384"/>
      <c r="CK67" s="384"/>
      <c r="CL67" s="384"/>
      <c r="CM67" s="384"/>
      <c r="CN67" s="384"/>
      <c r="CO67" s="384"/>
      <c r="CP67" s="384"/>
      <c r="CQ67" s="384"/>
      <c r="CR67" s="384"/>
      <c r="CS67" s="384"/>
      <c r="CT67" s="384"/>
      <c r="CU67" s="384"/>
      <c r="CV67" s="384"/>
      <c r="CW67" s="384"/>
      <c r="CX67" s="384"/>
      <c r="CY67" s="384"/>
      <c r="CZ67" s="384"/>
      <c r="DA67" s="384"/>
      <c r="DB67" s="384"/>
      <c r="DC67" s="384"/>
      <c r="DD67" s="384"/>
      <c r="DE67" s="384"/>
      <c r="DF67" s="384"/>
      <c r="DG67" s="384"/>
      <c r="DH67" s="384"/>
      <c r="DI67" s="384"/>
      <c r="DJ67" s="384"/>
      <c r="DK67" s="384"/>
      <c r="DL67" s="384"/>
      <c r="DM67" s="384"/>
      <c r="DN67" s="384"/>
      <c r="DO67" s="384"/>
      <c r="DP67" s="384"/>
      <c r="DQ67" s="384"/>
      <c r="DR67" s="384"/>
      <c r="DS67" s="384"/>
      <c r="DT67" s="384"/>
      <c r="DU67" s="384"/>
      <c r="DV67" s="384"/>
      <c r="DW67" s="384"/>
      <c r="DX67" s="384"/>
      <c r="DY67" s="384"/>
      <c r="DZ67" s="384"/>
      <c r="EA67" s="384"/>
      <c r="EB67" s="384"/>
      <c r="EC67" s="384"/>
      <c r="ED67" s="384"/>
      <c r="EE67" s="384"/>
      <c r="EF67" s="384"/>
      <c r="EG67" s="384"/>
      <c r="EH67" s="384"/>
      <c r="EI67" s="384"/>
      <c r="EJ67" s="384"/>
      <c r="EK67" s="384"/>
      <c r="EL67" s="384"/>
      <c r="EM67" s="384"/>
      <c r="EN67" s="384"/>
      <c r="EO67" s="384"/>
      <c r="EP67" s="384"/>
      <c r="EQ67" s="384"/>
      <c r="ER67" s="384"/>
      <c r="ES67" s="384"/>
      <c r="ET67" s="384"/>
      <c r="EU67" s="384"/>
      <c r="EV67" s="384"/>
      <c r="EW67" s="384"/>
      <c r="EX67" s="384"/>
      <c r="EY67" s="384"/>
      <c r="EZ67" s="384"/>
      <c r="FA67" s="384"/>
      <c r="FB67" s="384"/>
      <c r="FC67" s="384"/>
      <c r="FD67" s="384"/>
      <c r="FE67" s="384"/>
      <c r="FF67" s="384"/>
      <c r="FG67" s="384"/>
      <c r="FH67" s="384"/>
      <c r="FI67" s="384"/>
      <c r="FJ67" s="384"/>
      <c r="FK67" s="384"/>
      <c r="FL67" s="384"/>
      <c r="FM67" s="384"/>
      <c r="FN67" s="384"/>
      <c r="FO67" s="384"/>
      <c r="FP67" s="384"/>
      <c r="FQ67" s="384"/>
      <c r="FR67" s="384"/>
      <c r="FS67" s="384"/>
      <c r="FT67" s="384"/>
      <c r="FU67" s="384"/>
      <c r="FV67" s="384"/>
      <c r="FW67" s="384"/>
      <c r="FX67" s="384"/>
      <c r="FY67" s="384"/>
      <c r="FZ67" s="384"/>
      <c r="GA67" s="384"/>
      <c r="GB67" s="384"/>
      <c r="GC67" s="384"/>
      <c r="GD67" s="384"/>
      <c r="GE67" s="384"/>
      <c r="GF67" s="384"/>
      <c r="GG67" s="384"/>
      <c r="GH67" s="384"/>
      <c r="GI67" s="384"/>
      <c r="GJ67" s="384"/>
      <c r="GK67" s="384"/>
      <c r="GL67" s="384"/>
      <c r="GM67" s="384"/>
      <c r="GN67" s="384"/>
      <c r="GO67" s="384"/>
      <c r="GP67" s="384"/>
      <c r="GQ67" s="384"/>
      <c r="GR67" s="384"/>
      <c r="GS67" s="384"/>
      <c r="GT67" s="384"/>
      <c r="GU67" s="384"/>
      <c r="GV67" s="384"/>
      <c r="GW67" s="384"/>
      <c r="GX67" s="384"/>
      <c r="GY67" s="384"/>
      <c r="GZ67" s="384"/>
      <c r="HA67" s="384"/>
      <c r="HB67" s="384"/>
      <c r="HC67" s="384"/>
      <c r="HD67" s="384"/>
      <c r="HE67" s="384"/>
      <c r="HF67" s="384"/>
      <c r="HG67" s="384"/>
      <c r="HH67" s="384"/>
      <c r="HI67" s="384"/>
      <c r="HJ67" s="384"/>
      <c r="HK67" s="384"/>
      <c r="HL67" s="384"/>
      <c r="HM67" s="384"/>
      <c r="HN67" s="384"/>
      <c r="HO67" s="384"/>
    </row>
    <row r="68" spans="1:29" ht="21" customHeight="1" thickBot="1" thickTop="1">
      <c r="A68" s="1160" t="s">
        <v>341</v>
      </c>
      <c r="B68" s="1161"/>
      <c r="C68" s="1162"/>
      <c r="D68" s="343">
        <f>SUM(D67,D43,D35,D50)</f>
        <v>1421125725</v>
      </c>
      <c r="E68" s="343">
        <f>SUM(E67,E43,E35,E50)</f>
        <v>1112159557</v>
      </c>
      <c r="F68" s="344">
        <f>SUM(D68:E68)</f>
        <v>2533285282</v>
      </c>
      <c r="G68" s="345"/>
      <c r="H68" s="1170" t="s">
        <v>94</v>
      </c>
      <c r="I68" s="1171"/>
      <c r="J68" s="1172"/>
      <c r="K68" s="347">
        <f>SUM(K67,K43,K35,K50)</f>
        <v>587744467</v>
      </c>
      <c r="L68" s="346"/>
      <c r="M68" s="1178" t="s">
        <v>95</v>
      </c>
      <c r="N68" s="1178"/>
      <c r="O68" s="1178"/>
      <c r="P68" s="1179"/>
      <c r="Q68" s="347">
        <f>SUM(Q67,Q43,Q35,Q50)</f>
        <v>439194456</v>
      </c>
      <c r="R68" s="348"/>
      <c r="S68" s="1178" t="s">
        <v>96</v>
      </c>
      <c r="T68" s="1178"/>
      <c r="U68" s="1178"/>
      <c r="V68" s="1179"/>
      <c r="W68" s="536">
        <f>SUM(W67,W43,W35,W50)</f>
        <v>1506346359</v>
      </c>
      <c r="X68" s="537">
        <f>SUM(X67,X43,X35,X50)</f>
        <v>1409450364</v>
      </c>
      <c r="Y68" s="349">
        <f>SUM(Y67,Y43,Y35,Y50)</f>
        <v>1123834918</v>
      </c>
      <c r="Z68" s="350">
        <f>SUM(W68+Q68+K68)</f>
        <v>2533285282</v>
      </c>
      <c r="AA68" s="349">
        <f>SUM(AA67,AA43,AA35,AA50)</f>
        <v>-11675361</v>
      </c>
      <c r="AB68" s="349">
        <f>SUM(AB67,AB43,AB35,AB50)</f>
        <v>11675361</v>
      </c>
      <c r="AC68" s="512">
        <f>SUM(AC67,AC43,AC35,AC50)</f>
        <v>0</v>
      </c>
    </row>
    <row r="69" spans="1:29" ht="19.5" thickTop="1">
      <c r="A69" s="1163"/>
      <c r="B69" s="1164"/>
      <c r="C69" s="1164"/>
      <c r="D69" s="323"/>
      <c r="E69" s="323"/>
      <c r="F69" s="323"/>
      <c r="G69" s="278"/>
      <c r="H69" s="278"/>
      <c r="I69" s="278"/>
      <c r="J69" s="351"/>
      <c r="K69" s="302"/>
      <c r="L69" s="276"/>
      <c r="M69" s="267"/>
      <c r="N69" s="267"/>
      <c r="O69" s="267"/>
      <c r="P69" s="267"/>
      <c r="Q69" s="267"/>
      <c r="R69" s="276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276"/>
    </row>
    <row r="70" spans="1:29" ht="15.75">
      <c r="A70" s="323"/>
      <c r="B70" s="323"/>
      <c r="C70" s="323"/>
      <c r="D70" s="1176" t="s">
        <v>425</v>
      </c>
      <c r="E70" s="1177"/>
      <c r="F70" s="1177"/>
      <c r="G70" s="232"/>
      <c r="H70" s="232"/>
      <c r="I70" s="232"/>
      <c r="J70" s="226"/>
      <c r="K70" s="302"/>
      <c r="L70" s="267"/>
      <c r="M70" s="267"/>
      <c r="N70" s="267"/>
      <c r="O70" s="267"/>
      <c r="P70" s="267"/>
      <c r="Q70" s="267"/>
      <c r="R70" s="267"/>
      <c r="S70" s="323"/>
      <c r="T70" s="323"/>
      <c r="U70" s="323"/>
      <c r="V70" s="323"/>
      <c r="W70" s="1176" t="s">
        <v>97</v>
      </c>
      <c r="X70" s="1177"/>
      <c r="Y70" s="1177"/>
      <c r="Z70" s="352"/>
      <c r="AA70" s="1176" t="s">
        <v>86</v>
      </c>
      <c r="AB70" s="1177"/>
      <c r="AC70" s="1177"/>
    </row>
    <row r="71" spans="1:29" ht="15.75">
      <c r="A71" s="323"/>
      <c r="B71" s="323"/>
      <c r="C71" s="323"/>
      <c r="D71" s="353" t="s">
        <v>87</v>
      </c>
      <c r="E71" s="353" t="s">
        <v>98</v>
      </c>
      <c r="F71" s="353" t="s">
        <v>88</v>
      </c>
      <c r="G71" s="232"/>
      <c r="H71" s="232"/>
      <c r="I71" s="232"/>
      <c r="J71" s="226"/>
      <c r="K71" s="302"/>
      <c r="L71" s="267"/>
      <c r="M71" s="267"/>
      <c r="N71" s="267"/>
      <c r="O71" s="267"/>
      <c r="P71" s="267"/>
      <c r="Q71" s="267"/>
      <c r="R71" s="267"/>
      <c r="S71" s="1181"/>
      <c r="T71" s="1181"/>
      <c r="U71" s="1181"/>
      <c r="V71" s="1181"/>
      <c r="W71" s="353" t="s">
        <v>87</v>
      </c>
      <c r="X71" s="353" t="s">
        <v>98</v>
      </c>
      <c r="Y71" s="353" t="s">
        <v>88</v>
      </c>
      <c r="Z71" s="354"/>
      <c r="AA71" s="353" t="s">
        <v>87</v>
      </c>
      <c r="AB71" s="353" t="s">
        <v>98</v>
      </c>
      <c r="AC71" s="353" t="s">
        <v>88</v>
      </c>
    </row>
    <row r="72" spans="1:29" ht="15.75">
      <c r="A72" s="323"/>
      <c r="B72" s="323"/>
      <c r="C72" s="355" t="s">
        <v>99</v>
      </c>
      <c r="D72" s="323"/>
      <c r="E72" s="323"/>
      <c r="F72" s="323"/>
      <c r="G72" s="232"/>
      <c r="H72" s="232"/>
      <c r="I72" s="232"/>
      <c r="J72" s="226"/>
      <c r="K72" s="302"/>
      <c r="L72" s="267"/>
      <c r="M72" s="267"/>
      <c r="N72" s="267"/>
      <c r="O72" s="267"/>
      <c r="P72" s="267"/>
      <c r="Q72" s="267"/>
      <c r="R72" s="267"/>
      <c r="S72" s="323"/>
      <c r="T72" s="355" t="s">
        <v>99</v>
      </c>
      <c r="U72" s="323"/>
      <c r="V72" s="1176"/>
      <c r="W72" s="1177"/>
      <c r="X72" s="323"/>
      <c r="Y72" s="323"/>
      <c r="Z72" s="323"/>
      <c r="AA72" s="323"/>
      <c r="AB72" s="323"/>
      <c r="AC72" s="267"/>
    </row>
    <row r="73" spans="1:29" ht="15.75">
      <c r="A73" s="323"/>
      <c r="B73" s="323"/>
      <c r="C73" s="323" t="s">
        <v>100</v>
      </c>
      <c r="D73" s="356">
        <f>SUM(D10)</f>
        <v>710563400</v>
      </c>
      <c r="E73" s="356">
        <f>SUM(E10)</f>
        <v>447044651</v>
      </c>
      <c r="F73" s="356">
        <f>SUM(D73:E73)</f>
        <v>1157608051</v>
      </c>
      <c r="G73" s="232"/>
      <c r="H73" s="232"/>
      <c r="I73" s="232"/>
      <c r="J73" s="226"/>
      <c r="K73" s="302"/>
      <c r="L73" s="267"/>
      <c r="M73" s="267"/>
      <c r="N73" s="267"/>
      <c r="O73" s="267"/>
      <c r="P73" s="267"/>
      <c r="Q73" s="267"/>
      <c r="R73" s="267"/>
      <c r="S73" s="323"/>
      <c r="T73" s="323" t="s">
        <v>100</v>
      </c>
      <c r="U73" s="323"/>
      <c r="V73" s="323"/>
      <c r="W73" s="356">
        <f>SUM(X15)</f>
        <v>716507987</v>
      </c>
      <c r="X73" s="356">
        <f>Y15</f>
        <v>446102607</v>
      </c>
      <c r="Y73" s="356">
        <f>SUM(W73:X73)</f>
        <v>1162610594</v>
      </c>
      <c r="Z73" s="308"/>
      <c r="AA73" s="356">
        <f aca="true" t="shared" si="0" ref="AA73:AB76">W73-D73</f>
        <v>5944587</v>
      </c>
      <c r="AB73" s="356">
        <f t="shared" si="0"/>
        <v>-942044</v>
      </c>
      <c r="AC73" s="308">
        <f>SUM(AA73:AB73)</f>
        <v>5002543</v>
      </c>
    </row>
    <row r="74" spans="1:29" ht="15.75">
      <c r="A74" s="323"/>
      <c r="B74" s="323"/>
      <c r="C74" s="323" t="s">
        <v>346</v>
      </c>
      <c r="D74" s="356">
        <f>SUM(D41)</f>
        <v>131534285</v>
      </c>
      <c r="E74" s="356">
        <f>SUM(E41)</f>
        <v>2346482</v>
      </c>
      <c r="F74" s="356">
        <f>SUM(D74:E74)</f>
        <v>133880767</v>
      </c>
      <c r="G74" s="232"/>
      <c r="H74" s="232"/>
      <c r="I74" s="232"/>
      <c r="J74" s="357"/>
      <c r="K74" s="302"/>
      <c r="L74" s="267"/>
      <c r="M74" s="267"/>
      <c r="N74" s="267"/>
      <c r="O74" s="267"/>
      <c r="P74" s="267"/>
      <c r="Q74" s="267"/>
      <c r="R74" s="267"/>
      <c r="S74" s="323"/>
      <c r="T74" s="323" t="s">
        <v>346</v>
      </c>
      <c r="U74" s="323"/>
      <c r="V74" s="323"/>
      <c r="W74" s="356">
        <f>SUM(X41)</f>
        <v>150830289</v>
      </c>
      <c r="X74" s="356">
        <f>Y41</f>
        <v>0</v>
      </c>
      <c r="Y74" s="356">
        <f>SUM(W74:X74)</f>
        <v>150830289</v>
      </c>
      <c r="Z74" s="308"/>
      <c r="AA74" s="356">
        <f t="shared" si="0"/>
        <v>19296004</v>
      </c>
      <c r="AB74" s="356">
        <f t="shared" si="0"/>
        <v>-2346482</v>
      </c>
      <c r="AC74" s="308">
        <f>SUM(AA74:AB74)</f>
        <v>16949522</v>
      </c>
    </row>
    <row r="75" spans="1:29" ht="15.75">
      <c r="A75" s="323"/>
      <c r="B75" s="323"/>
      <c r="C75" s="323" t="s">
        <v>661</v>
      </c>
      <c r="D75" s="356">
        <f>SUM(D47)</f>
        <v>32285148</v>
      </c>
      <c r="E75" s="356">
        <f>SUM(E47)</f>
        <v>2372000</v>
      </c>
      <c r="F75" s="356">
        <f>SUM(D75:E75)</f>
        <v>34657148</v>
      </c>
      <c r="G75" s="232"/>
      <c r="H75" s="232"/>
      <c r="I75" s="232"/>
      <c r="J75" s="357"/>
      <c r="K75" s="302"/>
      <c r="L75" s="267"/>
      <c r="M75" s="267"/>
      <c r="N75" s="267"/>
      <c r="O75" s="267"/>
      <c r="P75" s="267"/>
      <c r="Q75" s="267"/>
      <c r="R75" s="267"/>
      <c r="S75" s="323"/>
      <c r="T75" s="323" t="s">
        <v>672</v>
      </c>
      <c r="U75" s="323"/>
      <c r="V75" s="323"/>
      <c r="W75" s="356">
        <f>SUM(X47)</f>
        <v>32883632</v>
      </c>
      <c r="X75" s="356">
        <f>SUM(Y47)</f>
        <v>0</v>
      </c>
      <c r="Y75" s="356">
        <f>SUM(W75:X75)</f>
        <v>32883632</v>
      </c>
      <c r="Z75" s="308"/>
      <c r="AA75" s="356">
        <f>W75-D75</f>
        <v>598484</v>
      </c>
      <c r="AB75" s="356">
        <f>X75-E75</f>
        <v>-2372000</v>
      </c>
      <c r="AC75" s="308">
        <f>SUM(AA75:AB75)</f>
        <v>-1773516</v>
      </c>
    </row>
    <row r="76" spans="1:29" ht="12.75">
      <c r="A76" s="323"/>
      <c r="B76" s="323"/>
      <c r="C76" s="358" t="s">
        <v>101</v>
      </c>
      <c r="D76" s="359">
        <f>SUM(D57)</f>
        <v>224279645</v>
      </c>
      <c r="E76" s="359">
        <f>SUM(E57)</f>
        <v>2620565</v>
      </c>
      <c r="F76" s="359">
        <f>SUM(D76:E76)</f>
        <v>226900210</v>
      </c>
      <c r="G76" s="323"/>
      <c r="H76" s="323"/>
      <c r="I76" s="323"/>
      <c r="J76" s="323"/>
      <c r="K76" s="267"/>
      <c r="L76" s="267"/>
      <c r="M76" s="267"/>
      <c r="N76" s="267"/>
      <c r="O76" s="267"/>
      <c r="P76" s="267"/>
      <c r="Q76" s="267"/>
      <c r="R76" s="267"/>
      <c r="S76" s="323"/>
      <c r="T76" s="358" t="s">
        <v>101</v>
      </c>
      <c r="U76" s="360"/>
      <c r="V76" s="360"/>
      <c r="W76" s="359">
        <f>SUM(X57)</f>
        <v>213676976</v>
      </c>
      <c r="X76" s="359">
        <f>Y57</f>
        <v>1637849</v>
      </c>
      <c r="Y76" s="359">
        <f>SUM(W76:X76)</f>
        <v>215314825</v>
      </c>
      <c r="Z76" s="308"/>
      <c r="AA76" s="359">
        <f t="shared" si="0"/>
        <v>-10602669</v>
      </c>
      <c r="AB76" s="359">
        <f t="shared" si="0"/>
        <v>-982716</v>
      </c>
      <c r="AC76" s="359">
        <f>SUM(AA76:AB76)</f>
        <v>-11585385</v>
      </c>
    </row>
    <row r="77" spans="1:29" ht="12.75">
      <c r="A77" s="323"/>
      <c r="B77" s="323"/>
      <c r="C77" s="361" t="s">
        <v>340</v>
      </c>
      <c r="D77" s="356">
        <f>SUM(D73:D76)</f>
        <v>1098662478</v>
      </c>
      <c r="E77" s="356">
        <f>SUM(E73:E76)</f>
        <v>454383698</v>
      </c>
      <c r="F77" s="356">
        <f>SUM(F73:F76)</f>
        <v>1553046176</v>
      </c>
      <c r="G77" s="323"/>
      <c r="H77" s="323"/>
      <c r="I77" s="323"/>
      <c r="J77" s="323"/>
      <c r="K77" s="267"/>
      <c r="L77" s="267"/>
      <c r="M77" s="267"/>
      <c r="N77" s="267"/>
      <c r="O77" s="267"/>
      <c r="P77" s="267"/>
      <c r="Q77" s="267"/>
      <c r="R77" s="267"/>
      <c r="S77" s="323"/>
      <c r="T77" s="361" t="s">
        <v>340</v>
      </c>
      <c r="U77" s="323"/>
      <c r="V77" s="361"/>
      <c r="W77" s="356">
        <f>SUM(W73:W76)</f>
        <v>1113898884</v>
      </c>
      <c r="X77" s="356">
        <f>SUM(X73:X76)</f>
        <v>447740456</v>
      </c>
      <c r="Y77" s="356">
        <f>SUM(Y73:Y76)</f>
        <v>1561639340</v>
      </c>
      <c r="Z77" s="308"/>
      <c r="AA77" s="356">
        <f>SUM(AA73:AA76)</f>
        <v>15236406</v>
      </c>
      <c r="AB77" s="356">
        <f>SUM(AB73:AB76)</f>
        <v>-6643242</v>
      </c>
      <c r="AC77" s="356">
        <f>SUM(AC73:AC76)</f>
        <v>8593164</v>
      </c>
    </row>
    <row r="78" spans="1:29" ht="12.75">
      <c r="A78" s="323"/>
      <c r="B78" s="323"/>
      <c r="C78" s="361"/>
      <c r="D78" s="356"/>
      <c r="E78" s="356"/>
      <c r="F78" s="356"/>
      <c r="G78" s="323"/>
      <c r="H78" s="323"/>
      <c r="I78" s="323"/>
      <c r="J78" s="323"/>
      <c r="K78" s="323"/>
      <c r="L78" s="267"/>
      <c r="M78" s="267"/>
      <c r="N78" s="267"/>
      <c r="O78" s="267"/>
      <c r="P78" s="267"/>
      <c r="Q78" s="267"/>
      <c r="R78" s="267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267"/>
    </row>
    <row r="79" spans="1:29" ht="12.75">
      <c r="A79" s="323"/>
      <c r="B79" s="323"/>
      <c r="C79" s="355" t="s">
        <v>102</v>
      </c>
      <c r="D79" s="356"/>
      <c r="E79" s="356"/>
      <c r="F79" s="356"/>
      <c r="G79" s="323"/>
      <c r="H79" s="323"/>
      <c r="I79" s="323"/>
      <c r="J79" s="323"/>
      <c r="K79" s="323"/>
      <c r="L79" s="267"/>
      <c r="M79" s="267"/>
      <c r="N79" s="267"/>
      <c r="O79" s="267"/>
      <c r="P79" s="267"/>
      <c r="Q79" s="267"/>
      <c r="R79" s="267"/>
      <c r="S79" s="323"/>
      <c r="T79" s="355" t="s">
        <v>102</v>
      </c>
      <c r="U79" s="362"/>
      <c r="V79" s="355"/>
      <c r="W79" s="363"/>
      <c r="X79" s="363"/>
      <c r="Y79" s="323"/>
      <c r="Z79" s="323"/>
      <c r="AA79" s="323"/>
      <c r="AB79" s="323"/>
      <c r="AC79" s="267"/>
    </row>
    <row r="80" spans="1:29" ht="12.75">
      <c r="A80" s="323"/>
      <c r="B80" s="323"/>
      <c r="C80" s="323" t="s">
        <v>100</v>
      </c>
      <c r="D80" s="356">
        <f>SUM(D31)</f>
        <v>245469900</v>
      </c>
      <c r="E80" s="356">
        <f>SUM(E31)</f>
        <v>657236394</v>
      </c>
      <c r="F80" s="356">
        <f>SUM(D80:E80)</f>
        <v>902706294</v>
      </c>
      <c r="G80" s="323"/>
      <c r="H80" s="323"/>
      <c r="I80" s="323"/>
      <c r="J80" s="323"/>
      <c r="K80" s="323"/>
      <c r="L80" s="267"/>
      <c r="M80" s="267"/>
      <c r="N80" s="267"/>
      <c r="O80" s="267"/>
      <c r="P80" s="267"/>
      <c r="Q80" s="267"/>
      <c r="R80" s="267"/>
      <c r="S80" s="323"/>
      <c r="T80" s="323" t="s">
        <v>100</v>
      </c>
      <c r="U80" s="323"/>
      <c r="V80" s="323"/>
      <c r="W80" s="356">
        <f>SUM(X31)</f>
        <v>251720991</v>
      </c>
      <c r="X80" s="356">
        <f>Y31</f>
        <v>676094462</v>
      </c>
      <c r="Y80" s="356">
        <f>SUM(W80:X80)</f>
        <v>927815453</v>
      </c>
      <c r="Z80" s="308"/>
      <c r="AA80" s="356">
        <f aca="true" t="shared" si="1" ref="AA80:AB83">W80-D80</f>
        <v>6251091</v>
      </c>
      <c r="AB80" s="356">
        <f t="shared" si="1"/>
        <v>18858068</v>
      </c>
      <c r="AC80" s="308">
        <f>SUM(AA80:AB80)</f>
        <v>25109159</v>
      </c>
    </row>
    <row r="81" spans="1:29" ht="12.75">
      <c r="A81" s="323"/>
      <c r="B81" s="323"/>
      <c r="C81" s="323" t="s">
        <v>346</v>
      </c>
      <c r="D81" s="356">
        <f>D42</f>
        <v>7692507</v>
      </c>
      <c r="E81" s="356">
        <v>0</v>
      </c>
      <c r="F81" s="356">
        <f>SUM(D81:E81)</f>
        <v>7692507</v>
      </c>
      <c r="G81" s="323"/>
      <c r="H81" s="323"/>
      <c r="I81" s="323"/>
      <c r="J81" s="323"/>
      <c r="K81" s="323"/>
      <c r="L81" s="267"/>
      <c r="M81" s="267"/>
      <c r="N81" s="267"/>
      <c r="O81" s="267"/>
      <c r="P81" s="267"/>
      <c r="Q81" s="267"/>
      <c r="R81" s="267"/>
      <c r="S81" s="323"/>
      <c r="T81" s="323" t="s">
        <v>346</v>
      </c>
      <c r="U81" s="323"/>
      <c r="V81" s="323"/>
      <c r="W81" s="356">
        <f>SUM(X42)</f>
        <v>0</v>
      </c>
      <c r="X81" s="356">
        <v>0</v>
      </c>
      <c r="Y81" s="356">
        <f>SUM(W81:X81)</f>
        <v>0</v>
      </c>
      <c r="Z81" s="308"/>
      <c r="AA81" s="356">
        <f t="shared" si="1"/>
        <v>-7692507</v>
      </c>
      <c r="AB81" s="356">
        <f t="shared" si="1"/>
        <v>0</v>
      </c>
      <c r="AC81" s="308">
        <f>SUM(AA81:AB81)</f>
        <v>-7692507</v>
      </c>
    </row>
    <row r="82" spans="1:29" ht="12.75">
      <c r="A82" s="323"/>
      <c r="B82" s="323"/>
      <c r="C82" s="323" t="s">
        <v>661</v>
      </c>
      <c r="D82" s="356">
        <f>SUM(D49)</f>
        <v>12127295</v>
      </c>
      <c r="E82" s="356">
        <f>SUM(E49)</f>
        <v>0</v>
      </c>
      <c r="F82" s="356">
        <f>SUM(D82:E82)</f>
        <v>12127295</v>
      </c>
      <c r="G82" s="323"/>
      <c r="H82" s="323"/>
      <c r="I82" s="323"/>
      <c r="J82" s="323"/>
      <c r="K82" s="323"/>
      <c r="L82" s="267"/>
      <c r="M82" s="267"/>
      <c r="N82" s="267"/>
      <c r="O82" s="267"/>
      <c r="P82" s="267"/>
      <c r="Q82" s="267"/>
      <c r="R82" s="267"/>
      <c r="S82" s="323"/>
      <c r="T82" s="323" t="s">
        <v>672</v>
      </c>
      <c r="U82" s="323"/>
      <c r="V82" s="323"/>
      <c r="W82" s="356">
        <f>X49</f>
        <v>1722458</v>
      </c>
      <c r="X82" s="356">
        <f>Y49</f>
        <v>0</v>
      </c>
      <c r="Y82" s="356">
        <f>SUM(W82:X82)</f>
        <v>1722458</v>
      </c>
      <c r="Z82" s="308"/>
      <c r="AA82" s="356">
        <f>W82-D82</f>
        <v>-10404837</v>
      </c>
      <c r="AB82" s="356">
        <f>X82-E82</f>
        <v>0</v>
      </c>
      <c r="AC82" s="308">
        <f>SUM(AA82:AB82)</f>
        <v>-10404837</v>
      </c>
    </row>
    <row r="83" spans="1:29" ht="12.75">
      <c r="A83" s="323"/>
      <c r="B83" s="323"/>
      <c r="C83" s="358" t="s">
        <v>101</v>
      </c>
      <c r="D83" s="359">
        <f>SUM(D66)</f>
        <v>48469143</v>
      </c>
      <c r="E83" s="359">
        <f>E66</f>
        <v>539465</v>
      </c>
      <c r="F83" s="359">
        <f>SUM(D83:E83)</f>
        <v>49008608</v>
      </c>
      <c r="G83" s="323"/>
      <c r="H83" s="323"/>
      <c r="I83" s="323"/>
      <c r="J83" s="323"/>
      <c r="K83" s="323"/>
      <c r="L83" s="267"/>
      <c r="M83" s="267"/>
      <c r="N83" s="267"/>
      <c r="O83" s="267"/>
      <c r="P83" s="267"/>
      <c r="Q83" s="267"/>
      <c r="R83" s="267"/>
      <c r="S83" s="323"/>
      <c r="T83" s="358" t="s">
        <v>101</v>
      </c>
      <c r="U83" s="360"/>
      <c r="V83" s="360"/>
      <c r="W83" s="359">
        <f>SUM(X66)</f>
        <v>42108031</v>
      </c>
      <c r="X83" s="359">
        <v>0</v>
      </c>
      <c r="Y83" s="359">
        <f>SUM(W83:X83)</f>
        <v>42108031</v>
      </c>
      <c r="Z83" s="308"/>
      <c r="AA83" s="359">
        <f t="shared" si="1"/>
        <v>-6361112</v>
      </c>
      <c r="AB83" s="359">
        <f t="shared" si="1"/>
        <v>-539465</v>
      </c>
      <c r="AC83" s="359">
        <f>SUM(AA83:AB83)</f>
        <v>-6900577</v>
      </c>
    </row>
    <row r="84" spans="1:29" ht="12.75">
      <c r="A84" s="323"/>
      <c r="B84" s="323"/>
      <c r="C84" s="361" t="s">
        <v>340</v>
      </c>
      <c r="D84" s="356">
        <f>SUM(D80:D83)</f>
        <v>313758845</v>
      </c>
      <c r="E84" s="356">
        <f>SUM(E80:E83)</f>
        <v>657775859</v>
      </c>
      <c r="F84" s="356">
        <f>SUM(F80:F83)</f>
        <v>971534704</v>
      </c>
      <c r="G84" s="323"/>
      <c r="H84" s="323"/>
      <c r="I84" s="323"/>
      <c r="J84" s="323"/>
      <c r="K84" s="323"/>
      <c r="L84" s="267"/>
      <c r="M84" s="267"/>
      <c r="N84" s="267"/>
      <c r="O84" s="267"/>
      <c r="P84" s="267"/>
      <c r="Q84" s="267"/>
      <c r="R84" s="267"/>
      <c r="S84" s="323"/>
      <c r="T84" s="361" t="s">
        <v>340</v>
      </c>
      <c r="U84" s="323"/>
      <c r="V84" s="361"/>
      <c r="W84" s="356">
        <f>SUM(W80:W83)</f>
        <v>295551480</v>
      </c>
      <c r="X84" s="356">
        <f>SUM(X80:X83)</f>
        <v>676094462</v>
      </c>
      <c r="Y84" s="356">
        <f>SUM(Y80:Y83)</f>
        <v>971645942</v>
      </c>
      <c r="Z84" s="308"/>
      <c r="AA84" s="356">
        <f>SUM(AA80:AA83)</f>
        <v>-18207365</v>
      </c>
      <c r="AB84" s="356">
        <f>SUM(AB80:AB83)</f>
        <v>18318603</v>
      </c>
      <c r="AC84" s="356">
        <f>SUM(AC80:AC83)</f>
        <v>111238</v>
      </c>
    </row>
    <row r="85" spans="1:29" ht="12.75">
      <c r="A85" s="323"/>
      <c r="B85" s="323"/>
      <c r="C85" s="361"/>
      <c r="D85" s="356"/>
      <c r="E85" s="356"/>
      <c r="F85" s="356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267"/>
      <c r="AA85" s="356"/>
      <c r="AB85" s="356"/>
      <c r="AC85" s="267"/>
    </row>
    <row r="86" spans="1:29" ht="12.75">
      <c r="A86" s="323"/>
      <c r="B86" s="323"/>
      <c r="C86" s="355" t="s">
        <v>103</v>
      </c>
      <c r="D86" s="356"/>
      <c r="E86" s="356"/>
      <c r="F86" s="356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55" t="s">
        <v>103</v>
      </c>
      <c r="U86" s="323"/>
      <c r="V86" s="355"/>
      <c r="W86" s="323"/>
      <c r="X86" s="323"/>
      <c r="Y86" s="323"/>
      <c r="Z86" s="267"/>
      <c r="AA86" s="356"/>
      <c r="AB86" s="356"/>
      <c r="AC86" s="267"/>
    </row>
    <row r="87" spans="1:29" ht="12.75">
      <c r="A87" s="323"/>
      <c r="B87" s="323"/>
      <c r="C87" s="323" t="s">
        <v>100</v>
      </c>
      <c r="D87" s="356">
        <f>SUM(D25)</f>
        <v>8704402</v>
      </c>
      <c r="E87" s="356">
        <f>SUM(E25)</f>
        <v>0</v>
      </c>
      <c r="F87" s="356">
        <f>SUM(D87:E87)</f>
        <v>8704402</v>
      </c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 t="s">
        <v>100</v>
      </c>
      <c r="U87" s="323"/>
      <c r="V87" s="323"/>
      <c r="W87" s="356">
        <f>SUM(X25)</f>
        <v>0</v>
      </c>
      <c r="X87" s="356">
        <v>0</v>
      </c>
      <c r="Y87" s="356">
        <f>SUM(W87:X87)</f>
        <v>0</v>
      </c>
      <c r="Z87" s="308"/>
      <c r="AA87" s="356">
        <f aca="true" t="shared" si="2" ref="AA87:AB90">W87-D87</f>
        <v>-8704402</v>
      </c>
      <c r="AB87" s="356">
        <f t="shared" si="2"/>
        <v>0</v>
      </c>
      <c r="AC87" s="308">
        <f>SUM(AA87:AB87)</f>
        <v>-8704402</v>
      </c>
    </row>
    <row r="88" spans="1:29" ht="12.75">
      <c r="A88" s="323"/>
      <c r="B88" s="323"/>
      <c r="C88" s="323" t="s">
        <v>346</v>
      </c>
      <c r="D88" s="356">
        <v>0</v>
      </c>
      <c r="E88" s="356">
        <v>0</v>
      </c>
      <c r="F88" s="356">
        <f>SUM(D88:E88)</f>
        <v>0</v>
      </c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 t="s">
        <v>346</v>
      </c>
      <c r="U88" s="323"/>
      <c r="V88" s="323"/>
      <c r="W88" s="356">
        <v>0</v>
      </c>
      <c r="X88" s="356">
        <v>0</v>
      </c>
      <c r="Y88" s="356">
        <f>SUM(W88:X88)</f>
        <v>0</v>
      </c>
      <c r="Z88" s="308"/>
      <c r="AA88" s="356">
        <f t="shared" si="2"/>
        <v>0</v>
      </c>
      <c r="AB88" s="356">
        <f t="shared" si="2"/>
        <v>0</v>
      </c>
      <c r="AC88" s="308">
        <f>SUM(AA88:AB88)</f>
        <v>0</v>
      </c>
    </row>
    <row r="89" spans="1:29" ht="12.75">
      <c r="A89" s="323"/>
      <c r="B89" s="323"/>
      <c r="C89" s="323" t="s">
        <v>661</v>
      </c>
      <c r="D89" s="356">
        <v>0</v>
      </c>
      <c r="E89" s="356">
        <v>0</v>
      </c>
      <c r="F89" s="356">
        <f>SUM(D89:E89)</f>
        <v>0</v>
      </c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 t="s">
        <v>672</v>
      </c>
      <c r="U89" s="323"/>
      <c r="V89" s="323"/>
      <c r="W89" s="356">
        <v>0</v>
      </c>
      <c r="X89" s="356">
        <v>0</v>
      </c>
      <c r="Y89" s="356">
        <f>SUM(W89:X89)</f>
        <v>0</v>
      </c>
      <c r="Z89" s="308"/>
      <c r="AA89" s="356">
        <f>W89-D89</f>
        <v>0</v>
      </c>
      <c r="AB89" s="356">
        <f>X89-E89</f>
        <v>0</v>
      </c>
      <c r="AC89" s="308">
        <f>SUM(AA89:AB89)</f>
        <v>0</v>
      </c>
    </row>
    <row r="90" spans="1:29" ht="12.75">
      <c r="A90" s="323"/>
      <c r="B90" s="323"/>
      <c r="C90" s="358" t="s">
        <v>101</v>
      </c>
      <c r="D90" s="359">
        <v>0</v>
      </c>
      <c r="E90" s="359">
        <v>0</v>
      </c>
      <c r="F90" s="359">
        <f>SUM(D90:E90)</f>
        <v>0</v>
      </c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58" t="s">
        <v>101</v>
      </c>
      <c r="U90" s="360"/>
      <c r="V90" s="360"/>
      <c r="W90" s="359">
        <v>0</v>
      </c>
      <c r="X90" s="359">
        <v>0</v>
      </c>
      <c r="Y90" s="359">
        <f>SUM(W90:X90)</f>
        <v>0</v>
      </c>
      <c r="Z90" s="308"/>
      <c r="AA90" s="359">
        <f t="shared" si="2"/>
        <v>0</v>
      </c>
      <c r="AB90" s="359">
        <f t="shared" si="2"/>
        <v>0</v>
      </c>
      <c r="AC90" s="359">
        <f>SUM(AA90:AB90)</f>
        <v>0</v>
      </c>
    </row>
    <row r="91" spans="1:29" ht="12.75">
      <c r="A91" s="323"/>
      <c r="B91" s="323"/>
      <c r="C91" s="361" t="s">
        <v>340</v>
      </c>
      <c r="D91" s="356">
        <f>SUM(D87:D90)</f>
        <v>8704402</v>
      </c>
      <c r="E91" s="356">
        <f>SUM(E87:E90)</f>
        <v>0</v>
      </c>
      <c r="F91" s="356">
        <f>SUM(F87:F90)</f>
        <v>8704402</v>
      </c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61" t="s">
        <v>340</v>
      </c>
      <c r="U91" s="323"/>
      <c r="V91" s="361"/>
      <c r="W91" s="356">
        <f>SUM(W87:W90)</f>
        <v>0</v>
      </c>
      <c r="X91" s="356">
        <f>SUM(X87:X90)</f>
        <v>0</v>
      </c>
      <c r="Y91" s="356">
        <f>SUM(Y87:Y90)</f>
        <v>0</v>
      </c>
      <c r="Z91" s="308"/>
      <c r="AA91" s="356">
        <f>SUM(AA87:AA90)</f>
        <v>-8704402</v>
      </c>
      <c r="AB91" s="356">
        <f>SUM(AB87:AB90)</f>
        <v>0</v>
      </c>
      <c r="AC91" s="356">
        <f>SUM(AC87:AC90)</f>
        <v>-8704402</v>
      </c>
    </row>
    <row r="92" spans="1:29" ht="12.75">
      <c r="A92" s="323"/>
      <c r="B92" s="323"/>
      <c r="C92" s="361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267"/>
      <c r="AA92" s="356"/>
      <c r="AB92" s="356"/>
      <c r="AC92" s="267"/>
    </row>
    <row r="93" spans="1:29" ht="12.75">
      <c r="A93" s="323"/>
      <c r="B93" s="323"/>
      <c r="C93" s="364" t="s">
        <v>104</v>
      </c>
      <c r="D93" s="365">
        <f>SUM(D91,D84,D77)</f>
        <v>1421125725</v>
      </c>
      <c r="E93" s="365">
        <f>SUM(E91,E84,E77)</f>
        <v>1112159557</v>
      </c>
      <c r="F93" s="365">
        <f>SUM(F91,F84,F77)</f>
        <v>2533285282</v>
      </c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 t="s">
        <v>104</v>
      </c>
      <c r="U93" s="364"/>
      <c r="V93" s="364"/>
      <c r="W93" s="365">
        <f>SUM(W91,W84,W77)</f>
        <v>1409450364</v>
      </c>
      <c r="X93" s="365">
        <f>SUM(X91,X84,X77)</f>
        <v>1123834918</v>
      </c>
      <c r="Y93" s="365">
        <f>SUM(Y91,Y84,Y77)</f>
        <v>2533285282</v>
      </c>
      <c r="Z93" s="248"/>
      <c r="AA93" s="365">
        <f>SUM(AA91,AA84,AA77)</f>
        <v>-11675361</v>
      </c>
      <c r="AB93" s="365">
        <f>SUM(AB91,AB84,AB77)</f>
        <v>11675361</v>
      </c>
      <c r="AC93" s="365">
        <f>SUM(AC91,AC84,AC77)</f>
        <v>0</v>
      </c>
    </row>
    <row r="94" spans="1:29" ht="12.75">
      <c r="A94" s="364"/>
      <c r="B94" s="364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267"/>
    </row>
    <row r="95" spans="1:29" ht="12.75">
      <c r="A95" s="323"/>
      <c r="B95" s="323"/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267"/>
    </row>
    <row r="96" spans="1:3" ht="12.75">
      <c r="A96" s="323"/>
      <c r="B96" s="323"/>
      <c r="C96" s="323"/>
    </row>
  </sheetData>
  <sheetProtection/>
  <mergeCells count="193">
    <mergeCell ref="G14:I14"/>
    <mergeCell ref="L64:O64"/>
    <mergeCell ref="H50:J50"/>
    <mergeCell ref="G58:I58"/>
    <mergeCell ref="AA44:AC44"/>
    <mergeCell ref="G46:I46"/>
    <mergeCell ref="X44:Z44"/>
    <mergeCell ref="G47:I47"/>
    <mergeCell ref="W46:W47"/>
    <mergeCell ref="G48:I48"/>
    <mergeCell ref="G44:K45"/>
    <mergeCell ref="K48:K49"/>
    <mergeCell ref="L46:O47"/>
    <mergeCell ref="P46:P47"/>
    <mergeCell ref="L48:O48"/>
    <mergeCell ref="Q48:Q49"/>
    <mergeCell ref="B47:C47"/>
    <mergeCell ref="A49:C49"/>
    <mergeCell ref="A42:C42"/>
    <mergeCell ref="R46:U46"/>
    <mergeCell ref="Q46:Q47"/>
    <mergeCell ref="A44:C45"/>
    <mergeCell ref="D44:F44"/>
    <mergeCell ref="M43:P43"/>
    <mergeCell ref="S43:V43"/>
    <mergeCell ref="K46:K47"/>
    <mergeCell ref="R42:U42"/>
    <mergeCell ref="L44:Q45"/>
    <mergeCell ref="V72:W72"/>
    <mergeCell ref="Q54:Q62"/>
    <mergeCell ref="R54:U54"/>
    <mergeCell ref="R55:U55"/>
    <mergeCell ref="Q63:Q66"/>
    <mergeCell ref="M50:P50"/>
    <mergeCell ref="S50:V50"/>
    <mergeCell ref="R56:U56"/>
    <mergeCell ref="W60:W62"/>
    <mergeCell ref="AA70:AC70"/>
    <mergeCell ref="L52:Q53"/>
    <mergeCell ref="W70:Y70"/>
    <mergeCell ref="S71:V71"/>
    <mergeCell ref="AA52:AC52"/>
    <mergeCell ref="M68:P68"/>
    <mergeCell ref="R52:W53"/>
    <mergeCell ref="L54:O54"/>
    <mergeCell ref="L65:O65"/>
    <mergeCell ref="D70:F70"/>
    <mergeCell ref="S68:V68"/>
    <mergeCell ref="R58:U58"/>
    <mergeCell ref="M67:P67"/>
    <mergeCell ref="S67:V67"/>
    <mergeCell ref="G59:I59"/>
    <mergeCell ref="G60:I60"/>
    <mergeCell ref="L63:O63"/>
    <mergeCell ref="L66:O66"/>
    <mergeCell ref="K54:K62"/>
    <mergeCell ref="R60:U60"/>
    <mergeCell ref="G61:I61"/>
    <mergeCell ref="D52:F52"/>
    <mergeCell ref="A68:C68"/>
    <mergeCell ref="A69:C69"/>
    <mergeCell ref="A57:C57"/>
    <mergeCell ref="A67:C67"/>
    <mergeCell ref="H68:J68"/>
    <mergeCell ref="H67:J67"/>
    <mergeCell ref="A66:C66"/>
    <mergeCell ref="G52:K53"/>
    <mergeCell ref="A50:C50"/>
    <mergeCell ref="A52:C53"/>
    <mergeCell ref="X52:Z52"/>
    <mergeCell ref="R66:U66"/>
    <mergeCell ref="G66:I66"/>
    <mergeCell ref="G54:I54"/>
    <mergeCell ref="G56:I56"/>
    <mergeCell ref="G55:I55"/>
    <mergeCell ref="G62:I62"/>
    <mergeCell ref="G57:I57"/>
    <mergeCell ref="A36:C37"/>
    <mergeCell ref="D36:F36"/>
    <mergeCell ref="G36:K37"/>
    <mergeCell ref="K32:K34"/>
    <mergeCell ref="A43:C43"/>
    <mergeCell ref="H43:J43"/>
    <mergeCell ref="K38:K41"/>
    <mergeCell ref="B41:C41"/>
    <mergeCell ref="G38:I39"/>
    <mergeCell ref="J38:J39"/>
    <mergeCell ref="B25:C25"/>
    <mergeCell ref="W19:W23"/>
    <mergeCell ref="W26:W31"/>
    <mergeCell ref="L9:O9"/>
    <mergeCell ref="G11:I11"/>
    <mergeCell ref="A31:C31"/>
    <mergeCell ref="K26:K31"/>
    <mergeCell ref="K19:K23"/>
    <mergeCell ref="K24:K25"/>
    <mergeCell ref="R23:U23"/>
    <mergeCell ref="AA36:AC36"/>
    <mergeCell ref="R36:W37"/>
    <mergeCell ref="X36:Z36"/>
    <mergeCell ref="G18:I18"/>
    <mergeCell ref="S35:V35"/>
    <mergeCell ref="R32:U32"/>
    <mergeCell ref="W32:W34"/>
    <mergeCell ref="R27:U27"/>
    <mergeCell ref="R29:U29"/>
    <mergeCell ref="G17:I17"/>
    <mergeCell ref="A35:C35"/>
    <mergeCell ref="H35:J35"/>
    <mergeCell ref="G24:I24"/>
    <mergeCell ref="G25:I25"/>
    <mergeCell ref="Q24:Q25"/>
    <mergeCell ref="L32:O32"/>
    <mergeCell ref="L30:O30"/>
    <mergeCell ref="L33:O33"/>
    <mergeCell ref="L22:O22"/>
    <mergeCell ref="L6:Q7"/>
    <mergeCell ref="R6:W7"/>
    <mergeCell ref="R16:U16"/>
    <mergeCell ref="W8:W18"/>
    <mergeCell ref="L10:O10"/>
    <mergeCell ref="L15:O15"/>
    <mergeCell ref="L16:O16"/>
    <mergeCell ref="L13:O14"/>
    <mergeCell ref="L17:O17"/>
    <mergeCell ref="R17:U17"/>
    <mergeCell ref="D6:F6"/>
    <mergeCell ref="G6:K7"/>
    <mergeCell ref="R9:U9"/>
    <mergeCell ref="G10:I10"/>
    <mergeCell ref="Q8:Q18"/>
    <mergeCell ref="R14:U14"/>
    <mergeCell ref="G8:I8"/>
    <mergeCell ref="R8:U8"/>
    <mergeCell ref="L8:O8"/>
    <mergeCell ref="G9:I9"/>
    <mergeCell ref="G13:I13"/>
    <mergeCell ref="R31:U31"/>
    <mergeCell ref="L31:O31"/>
    <mergeCell ref="L27:O27"/>
    <mergeCell ref="P13:P14"/>
    <mergeCell ref="R19:U19"/>
    <mergeCell ref="Q19:Q23"/>
    <mergeCell ref="R25:U25"/>
    <mergeCell ref="L24:O24"/>
    <mergeCell ref="L19:O19"/>
    <mergeCell ref="A6:C7"/>
    <mergeCell ref="L12:O12"/>
    <mergeCell ref="G15:I15"/>
    <mergeCell ref="T1:AB1"/>
    <mergeCell ref="X6:Z6"/>
    <mergeCell ref="AA6:AC6"/>
    <mergeCell ref="K8:K18"/>
    <mergeCell ref="A3:AC3"/>
    <mergeCell ref="R15:U15"/>
    <mergeCell ref="G12:I12"/>
    <mergeCell ref="G41:I41"/>
    <mergeCell ref="L38:O39"/>
    <mergeCell ref="L41:O41"/>
    <mergeCell ref="L21:O21"/>
    <mergeCell ref="L36:Q37"/>
    <mergeCell ref="L18:O18"/>
    <mergeCell ref="L25:O25"/>
    <mergeCell ref="L34:O34"/>
    <mergeCell ref="L23:O23"/>
    <mergeCell ref="G19:I19"/>
    <mergeCell ref="R63:U63"/>
    <mergeCell ref="R28:U28"/>
    <mergeCell ref="Q26:Q31"/>
    <mergeCell ref="L26:O26"/>
    <mergeCell ref="Q32:Q34"/>
    <mergeCell ref="R26:U26"/>
    <mergeCell ref="R38:U39"/>
    <mergeCell ref="L29:O29"/>
    <mergeCell ref="L28:O28"/>
    <mergeCell ref="L55:O55"/>
    <mergeCell ref="W63:W66"/>
    <mergeCell ref="R65:U65"/>
    <mergeCell ref="V38:V39"/>
    <mergeCell ref="R47:U47"/>
    <mergeCell ref="R44:W45"/>
    <mergeCell ref="R48:U49"/>
    <mergeCell ref="R57:U57"/>
    <mergeCell ref="W48:W49"/>
    <mergeCell ref="W38:W41"/>
    <mergeCell ref="W54:W59"/>
    <mergeCell ref="R41:U41"/>
    <mergeCell ref="P38:P39"/>
    <mergeCell ref="Q38:Q41"/>
    <mergeCell ref="M35:P35"/>
    <mergeCell ref="R30:U30"/>
    <mergeCell ref="R34:U34"/>
    <mergeCell ref="R40:U4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7"/>
  <sheetViews>
    <sheetView view="pageBreakPreview" zoomScaleSheetLayoutView="100" zoomScalePageLayoutView="0" workbookViewId="0" topLeftCell="A1">
      <selection activeCell="C1" sqref="C1:D1"/>
    </sheetView>
  </sheetViews>
  <sheetFormatPr defaultColWidth="8.875" defaultRowHeight="12.75"/>
  <cols>
    <col min="1" max="1" width="4.125" style="62" bestFit="1" customWidth="1"/>
    <col min="2" max="2" width="2.375" style="2" customWidth="1"/>
    <col min="3" max="3" width="88.625" style="2" customWidth="1"/>
    <col min="4" max="4" width="17.25390625" style="2" bestFit="1" customWidth="1"/>
    <col min="5" max="16384" width="8.875" style="2" customWidth="1"/>
  </cols>
  <sheetData>
    <row r="1" spans="3:5" ht="15">
      <c r="C1" s="964" t="s">
        <v>1058</v>
      </c>
      <c r="D1" s="1195"/>
      <c r="E1" s="61"/>
    </row>
    <row r="2" spans="3:5" ht="15">
      <c r="C2" s="5"/>
      <c r="D2" s="85"/>
      <c r="E2" s="61"/>
    </row>
    <row r="3" spans="2:4" ht="15.75">
      <c r="B3" s="1198" t="s">
        <v>736</v>
      </c>
      <c r="C3" s="1198"/>
      <c r="D3" s="1198"/>
    </row>
    <row r="4" spans="2:4" ht="15">
      <c r="B4" s="86"/>
      <c r="C4" s="86"/>
      <c r="D4" s="86"/>
    </row>
    <row r="5" ht="15.75" thickBot="1">
      <c r="D5" s="5"/>
    </row>
    <row r="6" spans="1:4" s="3" customFormat="1" ht="14.25">
      <c r="A6" s="1205" t="s">
        <v>405</v>
      </c>
      <c r="B6" s="1199" t="s">
        <v>337</v>
      </c>
      <c r="C6" s="1200"/>
      <c r="D6" s="6" t="s">
        <v>348</v>
      </c>
    </row>
    <row r="7" spans="1:4" s="73" customFormat="1" ht="12">
      <c r="A7" s="1206"/>
      <c r="B7" s="1201" t="s">
        <v>399</v>
      </c>
      <c r="C7" s="1201"/>
      <c r="D7" s="72" t="s">
        <v>400</v>
      </c>
    </row>
    <row r="8" spans="1:4" s="3" customFormat="1" ht="14.25">
      <c r="A8" s="79">
        <v>1</v>
      </c>
      <c r="B8" s="74" t="s">
        <v>342</v>
      </c>
      <c r="C8" s="10"/>
      <c r="D8" s="213"/>
    </row>
    <row r="9" spans="1:4" s="12" customFormat="1" ht="15">
      <c r="A9" s="79">
        <v>2</v>
      </c>
      <c r="B9" s="75" t="s">
        <v>414</v>
      </c>
      <c r="C9" s="11"/>
      <c r="D9" s="214"/>
    </row>
    <row r="10" spans="1:6" ht="18.75" customHeight="1">
      <c r="A10" s="79">
        <v>3</v>
      </c>
      <c r="B10" s="64" t="s">
        <v>349</v>
      </c>
      <c r="C10" s="84" t="s">
        <v>712</v>
      </c>
      <c r="D10" s="571">
        <f>42654146+1-13005804+22387266</f>
        <v>52035609</v>
      </c>
      <c r="F10" s="572"/>
    </row>
    <row r="11" spans="1:4" ht="30">
      <c r="A11" s="79">
        <v>4</v>
      </c>
      <c r="B11" s="64" t="s">
        <v>349</v>
      </c>
      <c r="C11" s="84" t="s">
        <v>713</v>
      </c>
      <c r="D11" s="513">
        <f>187978206-911000-7744917</f>
        <v>179322289</v>
      </c>
    </row>
    <row r="12" spans="1:4" ht="18.75" customHeight="1">
      <c r="A12" s="79">
        <v>5</v>
      </c>
      <c r="B12" s="64" t="s">
        <v>349</v>
      </c>
      <c r="C12" s="84" t="s">
        <v>714</v>
      </c>
      <c r="D12" s="513">
        <f>404687022+2197500-5000000</f>
        <v>401884522</v>
      </c>
    </row>
    <row r="13" spans="1:4" ht="18.75" customHeight="1">
      <c r="A13" s="79">
        <v>6</v>
      </c>
      <c r="B13" s="64" t="s">
        <v>349</v>
      </c>
      <c r="C13" s="84" t="s">
        <v>905</v>
      </c>
      <c r="D13" s="513">
        <f>363120+436880</f>
        <v>800000</v>
      </c>
    </row>
    <row r="14" spans="1:4" ht="18.75" customHeight="1">
      <c r="A14" s="79">
        <v>7</v>
      </c>
      <c r="B14" s="64" t="s">
        <v>349</v>
      </c>
      <c r="C14" s="84" t="s">
        <v>715</v>
      </c>
      <c r="D14" s="513">
        <f>100932090-3817843-5373648-366000+6795254-12040142</f>
        <v>86129711</v>
      </c>
    </row>
    <row r="15" spans="1:4" ht="18.75" customHeight="1">
      <c r="A15" s="79">
        <v>8</v>
      </c>
      <c r="B15" s="64" t="s">
        <v>349</v>
      </c>
      <c r="C15" s="84" t="s">
        <v>773</v>
      </c>
      <c r="D15" s="513">
        <v>750000</v>
      </c>
    </row>
    <row r="16" spans="1:4" ht="18.75" customHeight="1">
      <c r="A16" s="79">
        <v>9</v>
      </c>
      <c r="B16" s="64" t="s">
        <v>349</v>
      </c>
      <c r="C16" s="84" t="s">
        <v>1045</v>
      </c>
      <c r="D16" s="513">
        <f>1940000+27230+1638300</f>
        <v>3605530</v>
      </c>
    </row>
    <row r="17" spans="1:4" ht="18.75" customHeight="1">
      <c r="A17" s="79">
        <v>10</v>
      </c>
      <c r="B17" s="64" t="s">
        <v>349</v>
      </c>
      <c r="C17" s="84" t="s">
        <v>1046</v>
      </c>
      <c r="D17" s="513">
        <v>66600</v>
      </c>
    </row>
    <row r="18" spans="1:4" ht="18.75" customHeight="1">
      <c r="A18" s="79">
        <v>11</v>
      </c>
      <c r="B18" s="64" t="s">
        <v>349</v>
      </c>
      <c r="C18" s="84" t="s">
        <v>808</v>
      </c>
      <c r="D18" s="513">
        <f>400000+100000</f>
        <v>500000</v>
      </c>
    </row>
    <row r="19" spans="1:4" ht="18.75" customHeight="1">
      <c r="A19" s="79">
        <v>12</v>
      </c>
      <c r="B19" s="64" t="s">
        <v>349</v>
      </c>
      <c r="C19" s="84" t="s">
        <v>774</v>
      </c>
      <c r="D19" s="513">
        <v>600000</v>
      </c>
    </row>
    <row r="20" spans="1:4" ht="18.75" customHeight="1">
      <c r="A20" s="79">
        <v>13</v>
      </c>
      <c r="B20" s="64" t="s">
        <v>349</v>
      </c>
      <c r="C20" s="84" t="s">
        <v>740</v>
      </c>
      <c r="D20" s="513">
        <v>600000</v>
      </c>
    </row>
    <row r="21" spans="1:4" ht="18.75" customHeight="1">
      <c r="A21" s="79">
        <v>14</v>
      </c>
      <c r="B21" s="64" t="s">
        <v>349</v>
      </c>
      <c r="C21" s="84" t="s">
        <v>741</v>
      </c>
      <c r="D21" s="513">
        <v>500000</v>
      </c>
    </row>
    <row r="22" spans="1:4" ht="18.75" customHeight="1">
      <c r="A22" s="79">
        <v>15</v>
      </c>
      <c r="B22" s="64" t="s">
        <v>349</v>
      </c>
      <c r="C22" s="84" t="s">
        <v>742</v>
      </c>
      <c r="D22" s="513">
        <v>650000</v>
      </c>
    </row>
    <row r="23" spans="1:4" ht="18.75" customHeight="1">
      <c r="A23" s="79">
        <v>16</v>
      </c>
      <c r="B23" s="64" t="s">
        <v>349</v>
      </c>
      <c r="C23" s="84" t="s">
        <v>775</v>
      </c>
      <c r="D23" s="513">
        <v>190500</v>
      </c>
    </row>
    <row r="24" spans="1:4" ht="18.75" customHeight="1">
      <c r="A24" s="79">
        <v>17</v>
      </c>
      <c r="B24" s="64" t="s">
        <v>349</v>
      </c>
      <c r="C24" s="84" t="s">
        <v>776</v>
      </c>
      <c r="D24" s="513">
        <v>74930</v>
      </c>
    </row>
    <row r="25" spans="1:4" ht="18.75" customHeight="1">
      <c r="A25" s="79">
        <v>18</v>
      </c>
      <c r="B25" s="64" t="s">
        <v>349</v>
      </c>
      <c r="C25" s="84" t="s">
        <v>789</v>
      </c>
      <c r="D25" s="513">
        <f>1000000-736851</f>
        <v>263149</v>
      </c>
    </row>
    <row r="26" spans="1:4" ht="31.5" customHeight="1">
      <c r="A26" s="79">
        <v>19</v>
      </c>
      <c r="B26" s="64" t="s">
        <v>349</v>
      </c>
      <c r="C26" s="84" t="s">
        <v>777</v>
      </c>
      <c r="D26" s="513">
        <v>2460790</v>
      </c>
    </row>
    <row r="27" spans="1:4" ht="18.75" customHeight="1">
      <c r="A27" s="79">
        <v>20</v>
      </c>
      <c r="B27" s="64" t="s">
        <v>349</v>
      </c>
      <c r="C27" s="84" t="s">
        <v>809</v>
      </c>
      <c r="D27" s="513">
        <v>6000000</v>
      </c>
    </row>
    <row r="28" spans="1:4" ht="18.75" customHeight="1">
      <c r="A28" s="79">
        <v>21</v>
      </c>
      <c r="B28" s="64" t="s">
        <v>349</v>
      </c>
      <c r="C28" s="84" t="s">
        <v>778</v>
      </c>
      <c r="D28" s="513">
        <f>973100-755546</f>
        <v>217554</v>
      </c>
    </row>
    <row r="29" spans="1:4" ht="30" customHeight="1">
      <c r="A29" s="79">
        <v>22</v>
      </c>
      <c r="B29" s="64" t="s">
        <v>349</v>
      </c>
      <c r="C29" s="84" t="s">
        <v>912</v>
      </c>
      <c r="D29" s="513">
        <f>4790554+1500000</f>
        <v>6290554</v>
      </c>
    </row>
    <row r="30" spans="1:4" ht="18.75" customHeight="1">
      <c r="A30" s="79">
        <v>23</v>
      </c>
      <c r="B30" s="64" t="s">
        <v>349</v>
      </c>
      <c r="C30" s="84" t="s">
        <v>903</v>
      </c>
      <c r="D30" s="513">
        <f>74295-57150</f>
        <v>17145</v>
      </c>
    </row>
    <row r="31" spans="1:4" ht="18.75" customHeight="1">
      <c r="A31" s="79">
        <v>24</v>
      </c>
      <c r="B31" s="64" t="s">
        <v>349</v>
      </c>
      <c r="C31" s="84" t="s">
        <v>792</v>
      </c>
      <c r="D31" s="513">
        <v>190500</v>
      </c>
    </row>
    <row r="32" spans="1:4" ht="18.75" customHeight="1">
      <c r="A32" s="79">
        <v>25</v>
      </c>
      <c r="B32" s="772" t="s">
        <v>349</v>
      </c>
      <c r="C32" s="771" t="s">
        <v>868</v>
      </c>
      <c r="D32" s="513">
        <f>810000+225760-237338</f>
        <v>798422</v>
      </c>
    </row>
    <row r="33" spans="1:4" ht="18.75" customHeight="1">
      <c r="A33" s="79">
        <v>26</v>
      </c>
      <c r="B33" s="772" t="s">
        <v>349</v>
      </c>
      <c r="C33" s="771" t="s">
        <v>904</v>
      </c>
      <c r="D33" s="513">
        <v>79700</v>
      </c>
    </row>
    <row r="34" spans="1:4" ht="18.75" customHeight="1">
      <c r="A34" s="79">
        <v>27</v>
      </c>
      <c r="B34" s="772" t="s">
        <v>349</v>
      </c>
      <c r="C34" s="771" t="s">
        <v>906</v>
      </c>
      <c r="D34" s="513">
        <v>20000</v>
      </c>
    </row>
    <row r="35" spans="1:4" ht="18.75" customHeight="1">
      <c r="A35" s="79">
        <v>28</v>
      </c>
      <c r="B35" s="772" t="s">
        <v>349</v>
      </c>
      <c r="C35" s="771" t="s">
        <v>930</v>
      </c>
      <c r="D35" s="513">
        <v>5270000</v>
      </c>
    </row>
    <row r="36" spans="1:4" ht="18.75" customHeight="1">
      <c r="A36" s="79">
        <v>29</v>
      </c>
      <c r="B36" s="772" t="s">
        <v>349</v>
      </c>
      <c r="C36" s="771" t="s">
        <v>931</v>
      </c>
      <c r="D36" s="513">
        <v>135676290</v>
      </c>
    </row>
    <row r="37" spans="1:4" ht="30">
      <c r="A37" s="79">
        <v>30</v>
      </c>
      <c r="B37" s="772" t="s">
        <v>349</v>
      </c>
      <c r="C37" s="771" t="s">
        <v>929</v>
      </c>
      <c r="D37" s="513">
        <v>668586</v>
      </c>
    </row>
    <row r="38" spans="1:4" ht="15">
      <c r="A38" s="79">
        <v>31</v>
      </c>
      <c r="B38" s="772" t="s">
        <v>349</v>
      </c>
      <c r="C38" s="771" t="s">
        <v>933</v>
      </c>
      <c r="D38" s="513">
        <v>2500000</v>
      </c>
    </row>
    <row r="39" spans="1:4" s="20" customFormat="1" ht="15">
      <c r="A39" s="79">
        <v>32</v>
      </c>
      <c r="B39" s="64"/>
      <c r="C39" s="14" t="s">
        <v>359</v>
      </c>
      <c r="D39" s="215">
        <f>SUM(D10:D38)</f>
        <v>888162381</v>
      </c>
    </row>
    <row r="40" spans="1:4" s="20" customFormat="1" ht="15">
      <c r="A40" s="79">
        <v>33</v>
      </c>
      <c r="B40" s="1202" t="s">
        <v>346</v>
      </c>
      <c r="C40" s="1203"/>
      <c r="D40" s="1204"/>
    </row>
    <row r="41" spans="1:4" ht="18.75" customHeight="1">
      <c r="A41" s="79">
        <v>34</v>
      </c>
      <c r="B41" s="64" t="s">
        <v>349</v>
      </c>
      <c r="C41" s="84" t="s">
        <v>779</v>
      </c>
      <c r="D41" s="513">
        <f>706500-103077</f>
        <v>603423</v>
      </c>
    </row>
    <row r="42" spans="1:4" ht="18.75" customHeight="1">
      <c r="A42" s="79">
        <v>35</v>
      </c>
      <c r="B42" s="64" t="s">
        <v>349</v>
      </c>
      <c r="C42" s="84" t="s">
        <v>743</v>
      </c>
      <c r="D42" s="513">
        <v>127000</v>
      </c>
    </row>
    <row r="43" spans="1:4" ht="27" customHeight="1">
      <c r="A43" s="79">
        <v>36</v>
      </c>
      <c r="B43" s="64" t="s">
        <v>349</v>
      </c>
      <c r="C43" s="84" t="s">
        <v>908</v>
      </c>
      <c r="D43" s="513">
        <v>130000</v>
      </c>
    </row>
    <row r="44" spans="1:4" ht="18.75" customHeight="1">
      <c r="A44" s="79">
        <v>37</v>
      </c>
      <c r="B44" s="64" t="s">
        <v>349</v>
      </c>
      <c r="C44" s="84" t="s">
        <v>909</v>
      </c>
      <c r="D44" s="513">
        <v>81892</v>
      </c>
    </row>
    <row r="45" spans="1:4" ht="18.75" customHeight="1">
      <c r="A45" s="79">
        <v>38</v>
      </c>
      <c r="B45" s="64" t="s">
        <v>349</v>
      </c>
      <c r="C45" s="84" t="s">
        <v>907</v>
      </c>
      <c r="D45" s="513">
        <v>200000</v>
      </c>
    </row>
    <row r="46" spans="1:4" s="20" customFormat="1" ht="15">
      <c r="A46" s="79">
        <v>39</v>
      </c>
      <c r="B46" s="83"/>
      <c r="C46" s="14" t="s">
        <v>437</v>
      </c>
      <c r="D46" s="215">
        <f>SUM(D41:D45)</f>
        <v>1142315</v>
      </c>
    </row>
    <row r="47" spans="1:4" s="20" customFormat="1" ht="15">
      <c r="A47" s="79">
        <v>40</v>
      </c>
      <c r="B47" s="1202" t="s">
        <v>670</v>
      </c>
      <c r="C47" s="1203"/>
      <c r="D47" s="1204"/>
    </row>
    <row r="48" spans="1:4" ht="15" customHeight="1">
      <c r="A48" s="79">
        <v>41</v>
      </c>
      <c r="B48" s="64" t="s">
        <v>349</v>
      </c>
      <c r="C48" s="84" t="s">
        <v>780</v>
      </c>
      <c r="D48" s="513">
        <v>127000</v>
      </c>
    </row>
    <row r="49" spans="1:4" ht="15" customHeight="1">
      <c r="A49" s="79">
        <v>42</v>
      </c>
      <c r="B49" s="64" t="s">
        <v>349</v>
      </c>
      <c r="C49" s="84" t="s">
        <v>793</v>
      </c>
      <c r="D49" s="513">
        <v>800000</v>
      </c>
    </row>
    <row r="50" spans="1:4" ht="15" customHeight="1">
      <c r="A50" s="79">
        <v>43</v>
      </c>
      <c r="B50" s="64" t="s">
        <v>349</v>
      </c>
      <c r="C50" s="84" t="s">
        <v>910</v>
      </c>
      <c r="D50" s="513">
        <v>145000</v>
      </c>
    </row>
    <row r="51" spans="1:4" ht="30">
      <c r="A51" s="79">
        <v>44</v>
      </c>
      <c r="B51" s="64" t="s">
        <v>349</v>
      </c>
      <c r="C51" s="84" t="s">
        <v>810</v>
      </c>
      <c r="D51" s="513">
        <f>700000+500000+100000</f>
        <v>1300000</v>
      </c>
    </row>
    <row r="52" spans="1:4" s="20" customFormat="1" ht="15">
      <c r="A52" s="79">
        <v>45</v>
      </c>
      <c r="B52" s="83"/>
      <c r="C52" s="14" t="s">
        <v>671</v>
      </c>
      <c r="D52" s="215">
        <f>SUM(D48:D51)</f>
        <v>2372000</v>
      </c>
    </row>
    <row r="53" spans="1:4" s="20" customFormat="1" ht="15">
      <c r="A53" s="79">
        <v>46</v>
      </c>
      <c r="B53" s="1202" t="s">
        <v>647</v>
      </c>
      <c r="C53" s="1203"/>
      <c r="D53" s="1204"/>
    </row>
    <row r="54" spans="1:4" ht="28.5" customHeight="1">
      <c r="A54" s="79">
        <v>47</v>
      </c>
      <c r="B54" s="64" t="s">
        <v>349</v>
      </c>
      <c r="C54" s="84" t="s">
        <v>918</v>
      </c>
      <c r="D54" s="513">
        <f>309245+1130000-409984</f>
        <v>1029261</v>
      </c>
    </row>
    <row r="55" spans="1:4" ht="15" customHeight="1">
      <c r="A55" s="79">
        <v>48</v>
      </c>
      <c r="B55" s="64" t="s">
        <v>349</v>
      </c>
      <c r="C55" s="84" t="s">
        <v>782</v>
      </c>
      <c r="D55" s="513">
        <f>95250-80565</f>
        <v>14685</v>
      </c>
    </row>
    <row r="56" spans="1:4" ht="28.5" customHeight="1">
      <c r="A56" s="79">
        <v>49</v>
      </c>
      <c r="B56" s="64" t="s">
        <v>349</v>
      </c>
      <c r="C56" s="84" t="s">
        <v>783</v>
      </c>
      <c r="D56" s="513">
        <f>304800+11212+68611</f>
        <v>384623</v>
      </c>
    </row>
    <row r="57" spans="1:4" ht="27.75" customHeight="1">
      <c r="A57" s="79">
        <v>50</v>
      </c>
      <c r="B57" s="64" t="s">
        <v>349</v>
      </c>
      <c r="C57" s="84" t="s">
        <v>784</v>
      </c>
      <c r="D57" s="513">
        <f>401320+96799-11212</f>
        <v>486907</v>
      </c>
    </row>
    <row r="58" spans="1:4" ht="28.5" customHeight="1">
      <c r="A58" s="79">
        <v>51</v>
      </c>
      <c r="B58" s="64" t="s">
        <v>349</v>
      </c>
      <c r="C58" s="84" t="s">
        <v>934</v>
      </c>
      <c r="D58" s="513">
        <f>63500+47925+248040</f>
        <v>359465</v>
      </c>
    </row>
    <row r="59" spans="1:4" ht="28.5" customHeight="1">
      <c r="A59" s="79">
        <v>52</v>
      </c>
      <c r="B59" s="64" t="s">
        <v>349</v>
      </c>
      <c r="C59" s="84" t="s">
        <v>1048</v>
      </c>
      <c r="D59" s="513">
        <v>180000</v>
      </c>
    </row>
    <row r="60" spans="1:4" s="20" customFormat="1" ht="15">
      <c r="A60" s="79">
        <v>53</v>
      </c>
      <c r="B60" s="83"/>
      <c r="C60" s="14" t="s">
        <v>723</v>
      </c>
      <c r="D60" s="215">
        <f>SUM(D54:D59)</f>
        <v>2454941</v>
      </c>
    </row>
    <row r="61" spans="1:4" s="3" customFormat="1" ht="15" thickBot="1">
      <c r="A61" s="80">
        <v>54</v>
      </c>
      <c r="B61" s="15" t="s">
        <v>340</v>
      </c>
      <c r="C61" s="15"/>
      <c r="D61" s="216">
        <f>SUM(D60+D52+D46+D39)</f>
        <v>894131637</v>
      </c>
    </row>
    <row r="62" spans="1:4" ht="15">
      <c r="A62" s="448">
        <v>55</v>
      </c>
      <c r="B62" s="1196" t="s">
        <v>347</v>
      </c>
      <c r="C62" s="1196"/>
      <c r="D62" s="1197"/>
    </row>
    <row r="63" spans="1:4" s="12" customFormat="1" ht="15">
      <c r="A63" s="79">
        <v>56</v>
      </c>
      <c r="B63" s="81" t="s">
        <v>414</v>
      </c>
      <c r="C63" s="13"/>
      <c r="D63" s="7"/>
    </row>
    <row r="64" spans="1:4" ht="18.75" customHeight="1">
      <c r="A64" s="79">
        <v>57</v>
      </c>
      <c r="B64" s="64" t="s">
        <v>349</v>
      </c>
      <c r="C64" s="84" t="s">
        <v>529</v>
      </c>
      <c r="D64" s="513">
        <f>500000-79700</f>
        <v>420300</v>
      </c>
    </row>
    <row r="65" spans="1:4" ht="18.75" customHeight="1">
      <c r="A65" s="79">
        <v>58</v>
      </c>
      <c r="B65" s="64" t="s">
        <v>349</v>
      </c>
      <c r="C65" s="84" t="s">
        <v>785</v>
      </c>
      <c r="D65" s="513">
        <f>8294813-5098639-1500000</f>
        <v>1696174</v>
      </c>
    </row>
    <row r="66" spans="1:4" ht="30">
      <c r="A66" s="79">
        <v>59</v>
      </c>
      <c r="B66" s="64" t="s">
        <v>349</v>
      </c>
      <c r="C66" s="84" t="s">
        <v>711</v>
      </c>
      <c r="D66" s="513">
        <f>21830061+829010</f>
        <v>22659071</v>
      </c>
    </row>
    <row r="67" spans="1:4" ht="18.75" customHeight="1">
      <c r="A67" s="79">
        <v>60</v>
      </c>
      <c r="B67" s="64" t="s">
        <v>349</v>
      </c>
      <c r="C67" s="84" t="s">
        <v>738</v>
      </c>
      <c r="D67" s="513">
        <v>2794000</v>
      </c>
    </row>
    <row r="68" spans="1:4" ht="18.75" customHeight="1">
      <c r="A68" s="79">
        <v>61</v>
      </c>
      <c r="B68" s="64" t="s">
        <v>349</v>
      </c>
      <c r="C68" s="84" t="s">
        <v>739</v>
      </c>
      <c r="D68" s="513">
        <v>2000000</v>
      </c>
    </row>
    <row r="69" spans="1:4" ht="18.75" customHeight="1">
      <c r="A69" s="79">
        <v>62</v>
      </c>
      <c r="B69" s="64" t="s">
        <v>349</v>
      </c>
      <c r="C69" s="84" t="s">
        <v>786</v>
      </c>
      <c r="D69" s="513">
        <f>91442680+863600+28000</f>
        <v>92334280</v>
      </c>
    </row>
    <row r="70" spans="1:4" ht="25.5" customHeight="1">
      <c r="A70" s="79">
        <v>63</v>
      </c>
      <c r="B70" s="64" t="s">
        <v>349</v>
      </c>
      <c r="C70" s="84" t="s">
        <v>716</v>
      </c>
      <c r="D70" s="513">
        <f>523290+7292340</f>
        <v>7815630</v>
      </c>
    </row>
    <row r="71" spans="1:4" ht="30">
      <c r="A71" s="79">
        <v>64</v>
      </c>
      <c r="B71" s="64" t="s">
        <v>349</v>
      </c>
      <c r="C71" s="84" t="s">
        <v>737</v>
      </c>
      <c r="D71" s="513">
        <f>6759599-3134972-66600</f>
        <v>3558027</v>
      </c>
    </row>
    <row r="72" spans="1:4" ht="15">
      <c r="A72" s="79">
        <v>65</v>
      </c>
      <c r="B72" s="64" t="s">
        <v>349</v>
      </c>
      <c r="C72" s="84" t="s">
        <v>781</v>
      </c>
      <c r="D72" s="513">
        <v>31599998</v>
      </c>
    </row>
    <row r="73" spans="1:4" ht="15.75" customHeight="1">
      <c r="A73" s="79">
        <v>66</v>
      </c>
      <c r="B73" s="64" t="s">
        <v>349</v>
      </c>
      <c r="C73" s="84" t="s">
        <v>911</v>
      </c>
      <c r="D73" s="513">
        <v>4700000</v>
      </c>
    </row>
    <row r="74" spans="1:4" ht="15.75" customHeight="1">
      <c r="A74" s="79">
        <v>67</v>
      </c>
      <c r="B74" s="64" t="s">
        <v>349</v>
      </c>
      <c r="C74" s="84" t="s">
        <v>916</v>
      </c>
      <c r="D74" s="513">
        <v>3261523</v>
      </c>
    </row>
    <row r="75" spans="1:4" ht="32.25" customHeight="1">
      <c r="A75" s="79">
        <v>68</v>
      </c>
      <c r="B75" s="64" t="s">
        <v>349</v>
      </c>
      <c r="C75" s="84" t="s">
        <v>915</v>
      </c>
      <c r="D75" s="513">
        <v>19846252</v>
      </c>
    </row>
    <row r="76" spans="1:4" s="12" customFormat="1" ht="15">
      <c r="A76" s="79">
        <v>69</v>
      </c>
      <c r="B76" s="77"/>
      <c r="C76" s="4" t="s">
        <v>359</v>
      </c>
      <c r="D76" s="217">
        <f>SUM(D62:D75)</f>
        <v>192685255</v>
      </c>
    </row>
    <row r="77" spans="1:4" s="20" customFormat="1" ht="15">
      <c r="A77" s="79">
        <v>70</v>
      </c>
      <c r="B77" s="1202" t="s">
        <v>346</v>
      </c>
      <c r="C77" s="1203"/>
      <c r="D77" s="1204"/>
    </row>
    <row r="78" spans="1:4" ht="18.75" customHeight="1">
      <c r="A78" s="79">
        <v>71</v>
      </c>
      <c r="B78" s="64" t="s">
        <v>349</v>
      </c>
      <c r="C78" s="84" t="s">
        <v>887</v>
      </c>
      <c r="D78" s="513">
        <v>1204167</v>
      </c>
    </row>
    <row r="79" spans="1:4" s="20" customFormat="1" ht="15">
      <c r="A79" s="79">
        <v>72</v>
      </c>
      <c r="B79" s="83"/>
      <c r="C79" s="14" t="s">
        <v>888</v>
      </c>
      <c r="D79" s="215">
        <f>SUM(D78)</f>
        <v>1204167</v>
      </c>
    </row>
    <row r="80" spans="1:4" s="20" customFormat="1" ht="15">
      <c r="A80" s="79">
        <v>73</v>
      </c>
      <c r="B80" s="1202" t="s">
        <v>647</v>
      </c>
      <c r="C80" s="1203"/>
      <c r="D80" s="1204"/>
    </row>
    <row r="81" spans="1:4" ht="27" customHeight="1">
      <c r="A81" s="79">
        <v>74</v>
      </c>
      <c r="B81" s="64" t="s">
        <v>349</v>
      </c>
      <c r="C81" s="84" t="s">
        <v>1049</v>
      </c>
      <c r="D81" s="513">
        <f>507849+508000-310760</f>
        <v>705089</v>
      </c>
    </row>
    <row r="82" spans="1:4" s="20" customFormat="1" ht="15">
      <c r="A82" s="79">
        <v>75</v>
      </c>
      <c r="B82" s="83"/>
      <c r="C82" s="14" t="s">
        <v>723</v>
      </c>
      <c r="D82" s="215">
        <f>SUM(D81:D81)</f>
        <v>705089</v>
      </c>
    </row>
    <row r="83" spans="1:4" ht="15.75" thickBot="1">
      <c r="A83" s="80">
        <v>76</v>
      </c>
      <c r="B83" s="76" t="s">
        <v>340</v>
      </c>
      <c r="C83" s="15"/>
      <c r="D83" s="218">
        <f>SUM(D76+D79+D82)</f>
        <v>194594511</v>
      </c>
    </row>
    <row r="84" spans="1:4" ht="15">
      <c r="A84" s="79">
        <v>77</v>
      </c>
      <c r="B84" s="1196" t="s">
        <v>107</v>
      </c>
      <c r="C84" s="1196"/>
      <c r="D84" s="1197"/>
    </row>
    <row r="85" spans="1:4" s="12" customFormat="1" ht="15">
      <c r="A85" s="79">
        <v>78</v>
      </c>
      <c r="B85" s="16" t="s">
        <v>414</v>
      </c>
      <c r="C85" s="13"/>
      <c r="D85" s="8"/>
    </row>
    <row r="86" spans="1:4" s="20" customFormat="1" ht="20.25" customHeight="1">
      <c r="A86" s="79">
        <v>79</v>
      </c>
      <c r="B86" s="64" t="s">
        <v>349</v>
      </c>
      <c r="C86" s="84" t="s">
        <v>395</v>
      </c>
      <c r="D86" s="514">
        <f>449520+63900</f>
        <v>513420</v>
      </c>
    </row>
    <row r="87" spans="1:4" ht="18.75" customHeight="1">
      <c r="A87" s="79">
        <v>80</v>
      </c>
      <c r="B87" s="64" t="s">
        <v>349</v>
      </c>
      <c r="C87" s="84" t="s">
        <v>710</v>
      </c>
      <c r="D87" s="513">
        <v>5000000</v>
      </c>
    </row>
    <row r="88" spans="1:4" ht="30">
      <c r="A88" s="910">
        <v>81</v>
      </c>
      <c r="B88" s="64" t="s">
        <v>349</v>
      </c>
      <c r="C88" s="911" t="s">
        <v>1047</v>
      </c>
      <c r="D88" s="912">
        <v>5000000</v>
      </c>
    </row>
    <row r="89" spans="1:4" s="3" customFormat="1" ht="15" thickBot="1">
      <c r="A89" s="80">
        <v>82</v>
      </c>
      <c r="B89" s="17" t="s">
        <v>340</v>
      </c>
      <c r="C89" s="15"/>
      <c r="D89" s="219">
        <f>SUM(D86:D88)</f>
        <v>10513420</v>
      </c>
    </row>
    <row r="90" spans="1:4" ht="15" hidden="1">
      <c r="A90" s="448">
        <v>45</v>
      </c>
      <c r="B90" s="1196" t="s">
        <v>396</v>
      </c>
      <c r="C90" s="1196"/>
      <c r="D90" s="1197"/>
    </row>
    <row r="91" spans="1:4" s="12" customFormat="1" ht="15" hidden="1">
      <c r="A91" s="79">
        <v>46</v>
      </c>
      <c r="B91" s="64"/>
      <c r="C91" s="19"/>
      <c r="D91" s="18"/>
    </row>
    <row r="92" spans="1:4" s="3" customFormat="1" ht="15" hidden="1" thickBot="1">
      <c r="A92" s="79">
        <v>47</v>
      </c>
      <c r="B92" s="17" t="s">
        <v>340</v>
      </c>
      <c r="C92" s="15"/>
      <c r="D92" s="9">
        <f>SUM(D91:D91)</f>
        <v>0</v>
      </c>
    </row>
    <row r="93" spans="1:4" ht="15" hidden="1">
      <c r="A93" s="79">
        <v>64</v>
      </c>
      <c r="B93" s="1196" t="s">
        <v>397</v>
      </c>
      <c r="C93" s="1196"/>
      <c r="D93" s="1197"/>
    </row>
    <row r="94" spans="1:4" ht="15" hidden="1">
      <c r="A94" s="79">
        <v>65</v>
      </c>
      <c r="B94" s="16"/>
      <c r="C94" s="71"/>
      <c r="D94" s="70"/>
    </row>
    <row r="95" spans="1:4" s="3" customFormat="1" ht="15" hidden="1" thickBot="1">
      <c r="A95" s="80">
        <v>66</v>
      </c>
      <c r="B95" s="17" t="s">
        <v>340</v>
      </c>
      <c r="C95" s="15"/>
      <c r="D95" s="219">
        <v>0</v>
      </c>
    </row>
    <row r="96" spans="1:4" ht="15">
      <c r="A96" s="79">
        <v>83</v>
      </c>
      <c r="B96" s="1196" t="s">
        <v>397</v>
      </c>
      <c r="C96" s="1196"/>
      <c r="D96" s="1197"/>
    </row>
    <row r="97" spans="1:4" ht="15">
      <c r="A97" s="79">
        <v>84</v>
      </c>
      <c r="B97" s="16" t="s">
        <v>414</v>
      </c>
      <c r="C97" s="71"/>
      <c r="D97" s="70"/>
    </row>
    <row r="98" spans="1:4" ht="15">
      <c r="A98" s="79">
        <v>85</v>
      </c>
      <c r="B98" s="64" t="s">
        <v>349</v>
      </c>
      <c r="C98" s="84" t="s">
        <v>889</v>
      </c>
      <c r="D98" s="514">
        <f>15055017-5270000</f>
        <v>9785017</v>
      </c>
    </row>
    <row r="99" spans="1:4" s="20" customFormat="1" ht="20.25" customHeight="1">
      <c r="A99" s="79">
        <v>86</v>
      </c>
      <c r="B99" s="64" t="s">
        <v>349</v>
      </c>
      <c r="C99" s="84" t="s">
        <v>1034</v>
      </c>
      <c r="D99" s="514">
        <v>3134972</v>
      </c>
    </row>
    <row r="100" spans="1:4" s="3" customFormat="1" ht="15" thickBot="1">
      <c r="A100" s="80">
        <v>87</v>
      </c>
      <c r="B100" s="17" t="s">
        <v>340</v>
      </c>
      <c r="C100" s="15"/>
      <c r="D100" s="219">
        <f>SUM(D97:D99)</f>
        <v>12919989</v>
      </c>
    </row>
    <row r="101" spans="1:4" ht="21" customHeight="1" thickBot="1">
      <c r="A101" s="80">
        <v>88</v>
      </c>
      <c r="B101" s="78" t="s">
        <v>341</v>
      </c>
      <c r="C101" s="17"/>
      <c r="D101" s="219">
        <f>SUM(D95+D89+D83+D100+D61)</f>
        <v>1112159557</v>
      </c>
    </row>
    <row r="103" ht="21" customHeight="1"/>
    <row r="105" spans="2:4" ht="15">
      <c r="B105" s="1207"/>
      <c r="C105" s="1207"/>
      <c r="D105" s="1207"/>
    </row>
    <row r="107" ht="15">
      <c r="H107" s="63"/>
    </row>
  </sheetData>
  <sheetProtection/>
  <mergeCells count="16">
    <mergeCell ref="A6:A7"/>
    <mergeCell ref="B90:D90"/>
    <mergeCell ref="B93:D93"/>
    <mergeCell ref="B105:D105"/>
    <mergeCell ref="B53:D53"/>
    <mergeCell ref="B96:D96"/>
    <mergeCell ref="C1:D1"/>
    <mergeCell ref="B84:D84"/>
    <mergeCell ref="B3:D3"/>
    <mergeCell ref="B6:C6"/>
    <mergeCell ref="B62:D62"/>
    <mergeCell ref="B7:C7"/>
    <mergeCell ref="B40:D40"/>
    <mergeCell ref="B77:D77"/>
    <mergeCell ref="B47:D47"/>
    <mergeCell ref="B80:D8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61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E42"/>
  <sheetViews>
    <sheetView zoomScalePageLayoutView="0" workbookViewId="0" topLeftCell="A1">
      <selection activeCell="C1" sqref="C1:D1"/>
    </sheetView>
  </sheetViews>
  <sheetFormatPr defaultColWidth="8.875" defaultRowHeight="12.75"/>
  <cols>
    <col min="1" max="1" width="4.125" style="65" bestFit="1" customWidth="1"/>
    <col min="2" max="2" width="2.375" style="746" customWidth="1"/>
    <col min="3" max="3" width="59.25390625" style="746" customWidth="1"/>
    <col min="4" max="4" width="14.125" style="746" bestFit="1" customWidth="1"/>
    <col min="5" max="16384" width="8.875" style="746" customWidth="1"/>
  </cols>
  <sheetData>
    <row r="1" spans="3:5" ht="15">
      <c r="C1" s="964" t="s">
        <v>1059</v>
      </c>
      <c r="D1" s="1195"/>
      <c r="E1" s="61"/>
    </row>
    <row r="2" spans="3:5" ht="15">
      <c r="C2" s="1"/>
      <c r="D2" s="61"/>
      <c r="E2" s="61"/>
    </row>
    <row r="3" spans="2:4" ht="15">
      <c r="B3" s="1209" t="s">
        <v>848</v>
      </c>
      <c r="C3" s="1209"/>
      <c r="D3" s="1209"/>
    </row>
    <row r="4" spans="2:4" ht="15">
      <c r="B4" s="1209" t="s">
        <v>415</v>
      </c>
      <c r="C4" s="1209"/>
      <c r="D4" s="1209"/>
    </row>
    <row r="5" spans="2:4" ht="15">
      <c r="B5" s="747"/>
      <c r="C5" s="747"/>
      <c r="D5" s="747"/>
    </row>
    <row r="6" ht="15">
      <c r="D6" s="748"/>
    </row>
    <row r="7" spans="1:4" s="750" customFormat="1" ht="21" customHeight="1">
      <c r="A7" s="1210" t="s">
        <v>405</v>
      </c>
      <c r="B7" s="1212" t="s">
        <v>337</v>
      </c>
      <c r="C7" s="1212"/>
      <c r="D7" s="749" t="s">
        <v>348</v>
      </c>
    </row>
    <row r="8" spans="1:4" s="752" customFormat="1" ht="12">
      <c r="A8" s="1211"/>
      <c r="B8" s="1213" t="s">
        <v>399</v>
      </c>
      <c r="C8" s="1214"/>
      <c r="D8" s="751" t="s">
        <v>400</v>
      </c>
    </row>
    <row r="9" spans="1:4" s="750" customFormat="1" ht="25.5" customHeight="1">
      <c r="A9" s="751">
        <v>1</v>
      </c>
      <c r="B9" s="753" t="s">
        <v>849</v>
      </c>
      <c r="C9" s="754"/>
      <c r="D9" s="755"/>
    </row>
    <row r="10" spans="1:4" ht="15">
      <c r="A10" s="751">
        <v>2</v>
      </c>
      <c r="B10" s="756"/>
      <c r="C10" s="757" t="s">
        <v>398</v>
      </c>
      <c r="D10" s="758">
        <v>1000000</v>
      </c>
    </row>
    <row r="11" spans="1:4" ht="15">
      <c r="A11" s="751">
        <v>3</v>
      </c>
      <c r="B11" s="756"/>
      <c r="C11" s="757" t="s">
        <v>859</v>
      </c>
      <c r="D11" s="762">
        <v>-1000000</v>
      </c>
    </row>
    <row r="12" spans="1:4" s="750" customFormat="1" ht="15.75" customHeight="1">
      <c r="A12" s="751">
        <v>4</v>
      </c>
      <c r="B12" s="753" t="s">
        <v>340</v>
      </c>
      <c r="C12" s="753"/>
      <c r="D12" s="759">
        <f>SUM(D10:D11)</f>
        <v>0</v>
      </c>
    </row>
    <row r="13" spans="1:4" s="750" customFormat="1" ht="6" customHeight="1">
      <c r="A13" s="760"/>
      <c r="B13" s="761"/>
      <c r="C13" s="761"/>
      <c r="D13" s="755"/>
    </row>
    <row r="14" spans="1:4" s="750" customFormat="1" ht="25.5" customHeight="1">
      <c r="A14" s="751">
        <v>5</v>
      </c>
      <c r="B14" s="1208" t="s">
        <v>850</v>
      </c>
      <c r="C14" s="1208"/>
      <c r="D14" s="1208"/>
    </row>
    <row r="15" spans="1:4" s="750" customFormat="1" ht="30">
      <c r="A15" s="751">
        <v>6</v>
      </c>
      <c r="B15" s="756"/>
      <c r="C15" s="757" t="s">
        <v>851</v>
      </c>
      <c r="D15" s="758">
        <v>350000</v>
      </c>
    </row>
    <row r="16" spans="1:4" ht="15">
      <c r="A16" s="751">
        <v>7</v>
      </c>
      <c r="B16" s="64" t="s">
        <v>349</v>
      </c>
      <c r="C16" s="757" t="s">
        <v>893</v>
      </c>
      <c r="D16" s="758">
        <v>1841851</v>
      </c>
    </row>
    <row r="17" spans="1:4" ht="15">
      <c r="A17" s="751">
        <v>8</v>
      </c>
      <c r="B17" s="774"/>
      <c r="C17" s="775" t="s">
        <v>894</v>
      </c>
      <c r="D17" s="776">
        <f>SUM(D15:D16)</f>
        <v>2191851</v>
      </c>
    </row>
    <row r="18" spans="1:4" s="750" customFormat="1" ht="39.75" customHeight="1">
      <c r="A18" s="751">
        <v>9</v>
      </c>
      <c r="B18" s="756"/>
      <c r="C18" s="757" t="s">
        <v>852</v>
      </c>
      <c r="D18" s="758">
        <v>200000</v>
      </c>
    </row>
    <row r="19" spans="1:4" s="750" customFormat="1" ht="44.25" customHeight="1">
      <c r="A19" s="751">
        <v>10</v>
      </c>
      <c r="B19" s="756"/>
      <c r="C19" s="757" t="s">
        <v>901</v>
      </c>
      <c r="D19" s="762">
        <v>-120000</v>
      </c>
    </row>
    <row r="20" spans="1:4" s="750" customFormat="1" ht="44.25" customHeight="1">
      <c r="A20" s="751">
        <v>11</v>
      </c>
      <c r="B20" s="756"/>
      <c r="C20" s="757" t="s">
        <v>902</v>
      </c>
      <c r="D20" s="762">
        <v>-40000</v>
      </c>
    </row>
    <row r="21" spans="1:4" ht="30">
      <c r="A21" s="751">
        <v>12</v>
      </c>
      <c r="B21" s="774"/>
      <c r="C21" s="775" t="s">
        <v>895</v>
      </c>
      <c r="D21" s="776">
        <f>SUM(D18:D20)</f>
        <v>40000</v>
      </c>
    </row>
    <row r="22" spans="1:4" ht="15.75" customHeight="1">
      <c r="A22" s="751">
        <v>13</v>
      </c>
      <c r="B22" s="753" t="s">
        <v>340</v>
      </c>
      <c r="C22" s="753"/>
      <c r="D22" s="759">
        <f>SUM(D17+D21)</f>
        <v>2231851</v>
      </c>
    </row>
    <row r="23" spans="1:4" s="750" customFormat="1" ht="7.5" customHeight="1">
      <c r="A23" s="760"/>
      <c r="B23" s="761"/>
      <c r="C23" s="761"/>
      <c r="D23" s="755"/>
    </row>
    <row r="24" spans="1:4" s="750" customFormat="1" ht="25.5" customHeight="1">
      <c r="A24" s="751">
        <v>14</v>
      </c>
      <c r="B24" s="753" t="s">
        <v>853</v>
      </c>
      <c r="C24" s="754"/>
      <c r="D24" s="755"/>
    </row>
    <row r="25" spans="1:4" ht="15">
      <c r="A25" s="751">
        <v>15</v>
      </c>
      <c r="B25" s="756"/>
      <c r="C25" s="757" t="s">
        <v>854</v>
      </c>
      <c r="D25" s="758">
        <v>1000000</v>
      </c>
    </row>
    <row r="26" spans="1:4" ht="15">
      <c r="A26" s="751">
        <v>16</v>
      </c>
      <c r="B26" s="756"/>
      <c r="C26" s="757" t="s">
        <v>917</v>
      </c>
      <c r="D26" s="762">
        <v>-1000000</v>
      </c>
    </row>
    <row r="27" spans="1:4" s="750" customFormat="1" ht="15.75" customHeight="1">
      <c r="A27" s="751">
        <v>17</v>
      </c>
      <c r="B27" s="753" t="s">
        <v>340</v>
      </c>
      <c r="C27" s="753"/>
      <c r="D27" s="759">
        <f>SUM(D25:D26)</f>
        <v>0</v>
      </c>
    </row>
    <row r="28" spans="1:4" s="750" customFormat="1" ht="7.5" customHeight="1">
      <c r="A28" s="760"/>
      <c r="B28" s="761"/>
      <c r="C28" s="761"/>
      <c r="D28" s="755"/>
    </row>
    <row r="29" spans="1:4" ht="14.25">
      <c r="A29" s="751">
        <v>18</v>
      </c>
      <c r="B29" s="1208" t="s">
        <v>869</v>
      </c>
      <c r="C29" s="1208"/>
      <c r="D29" s="1208"/>
    </row>
    <row r="30" spans="1:4" ht="15">
      <c r="A30" s="751">
        <v>19</v>
      </c>
      <c r="B30" s="64" t="s">
        <v>349</v>
      </c>
      <c r="C30" s="757" t="s">
        <v>890</v>
      </c>
      <c r="D30" s="758">
        <v>121735509</v>
      </c>
    </row>
    <row r="31" spans="1:4" ht="15">
      <c r="A31" s="751">
        <v>20</v>
      </c>
      <c r="B31" s="64" t="s">
        <v>349</v>
      </c>
      <c r="C31" s="757" t="s">
        <v>891</v>
      </c>
      <c r="D31" s="762">
        <v>-113802243</v>
      </c>
    </row>
    <row r="32" spans="1:4" ht="15">
      <c r="A32" s="751">
        <v>21</v>
      </c>
      <c r="B32" s="64" t="s">
        <v>349</v>
      </c>
      <c r="C32" s="757" t="s">
        <v>892</v>
      </c>
      <c r="D32" s="762">
        <f>-510500-7422766</f>
        <v>-7933266</v>
      </c>
    </row>
    <row r="33" spans="1:4" ht="14.25">
      <c r="A33" s="751">
        <v>22</v>
      </c>
      <c r="B33" s="753" t="s">
        <v>340</v>
      </c>
      <c r="C33" s="753"/>
      <c r="D33" s="759">
        <f>SUM(D30:D32)</f>
        <v>0</v>
      </c>
    </row>
    <row r="34" spans="1:4" s="750" customFormat="1" ht="7.5" customHeight="1">
      <c r="A34" s="760"/>
      <c r="B34" s="761"/>
      <c r="C34" s="761"/>
      <c r="D34" s="755"/>
    </row>
    <row r="35" spans="1:4" ht="15.75" customHeight="1">
      <c r="A35" s="751">
        <v>23</v>
      </c>
      <c r="B35" s="753" t="s">
        <v>855</v>
      </c>
      <c r="C35" s="753"/>
      <c r="D35" s="759">
        <f>SUM(D12,D33,D22,D27)</f>
        <v>2231851</v>
      </c>
    </row>
    <row r="36" spans="1:4" s="750" customFormat="1" ht="8.25" customHeight="1">
      <c r="A36" s="760"/>
      <c r="B36" s="761"/>
      <c r="C36" s="761"/>
      <c r="D36" s="755"/>
    </row>
    <row r="37" spans="1:4" s="750" customFormat="1" ht="25.5" customHeight="1">
      <c r="A37" s="751">
        <v>24</v>
      </c>
      <c r="B37" s="1208" t="s">
        <v>856</v>
      </c>
      <c r="C37" s="1208"/>
      <c r="D37" s="1208"/>
    </row>
    <row r="38" spans="1:4" ht="30">
      <c r="A38" s="751">
        <v>25</v>
      </c>
      <c r="B38" s="64" t="s">
        <v>349</v>
      </c>
      <c r="C38" s="757" t="s">
        <v>896</v>
      </c>
      <c r="D38" s="758">
        <f>15055017-5270000</f>
        <v>9785017</v>
      </c>
    </row>
    <row r="39" spans="1:4" ht="15">
      <c r="A39" s="751">
        <v>26</v>
      </c>
      <c r="B39" s="64" t="s">
        <v>349</v>
      </c>
      <c r="C39" s="757" t="s">
        <v>1034</v>
      </c>
      <c r="D39" s="758">
        <v>3134972</v>
      </c>
    </row>
    <row r="40" spans="1:4" ht="15.75" customHeight="1">
      <c r="A40" s="751">
        <v>27</v>
      </c>
      <c r="B40" s="753" t="s">
        <v>857</v>
      </c>
      <c r="C40" s="753"/>
      <c r="D40" s="759">
        <f>SUM(D38:D39)</f>
        <v>12919989</v>
      </c>
    </row>
    <row r="41" spans="1:4" s="750" customFormat="1" ht="6.75" customHeight="1">
      <c r="A41" s="760"/>
      <c r="B41" s="761"/>
      <c r="C41" s="761"/>
      <c r="D41" s="755"/>
    </row>
    <row r="42" spans="1:4" ht="15.75" customHeight="1">
      <c r="A42" s="751">
        <v>28</v>
      </c>
      <c r="B42" s="753" t="s">
        <v>858</v>
      </c>
      <c r="C42" s="753"/>
      <c r="D42" s="759">
        <f>SUM(D40,D35)</f>
        <v>15151840</v>
      </c>
    </row>
  </sheetData>
  <sheetProtection/>
  <mergeCells count="9">
    <mergeCell ref="B14:D14"/>
    <mergeCell ref="B37:D37"/>
    <mergeCell ref="C1:D1"/>
    <mergeCell ref="B3:D3"/>
    <mergeCell ref="B4:D4"/>
    <mergeCell ref="A7:A8"/>
    <mergeCell ref="B7:C7"/>
    <mergeCell ref="B8:C8"/>
    <mergeCell ref="B29:D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Pekár Krisztina</cp:lastModifiedBy>
  <cp:lastPrinted>2021-02-17T09:53:14Z</cp:lastPrinted>
  <dcterms:created xsi:type="dcterms:W3CDTF">2001-11-30T10:27:10Z</dcterms:created>
  <dcterms:modified xsi:type="dcterms:W3CDTF">2021-02-17T10:03:04Z</dcterms:modified>
  <cp:category/>
  <cp:version/>
  <cp:contentType/>
  <cp:contentStatus/>
</cp:coreProperties>
</file>