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!!!!_ONKORMANYZAT\000_MUNKATERULET_Rendeletek\rendeletek_2018\005_2018_koltsegvetes_2018\"/>
    </mc:Choice>
  </mc:AlternateContent>
  <bookViews>
    <workbookView xWindow="0" yWindow="0" windowWidth="19200" windowHeight="7440" tabRatio="899" firstSheet="14" activeTab="22"/>
  </bookViews>
  <sheets>
    <sheet name="1. 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  <sheet name="7. melléklet" sheetId="7" r:id="rId7"/>
    <sheet name="Költségvetési kiadások" sheetId="25" r:id="rId8"/>
    <sheet name="Költségvetési bevételek" sheetId="26" r:id="rId9"/>
    <sheet name="Finanszírozási kiadások" sheetId="27" r:id="rId10"/>
    <sheet name="Finanszírozási bevételek" sheetId="28" r:id="rId11"/>
    <sheet name="8. melléklet" sheetId="8" r:id="rId12"/>
    <sheet name="9. melléklet" sheetId="9" r:id="rId13"/>
    <sheet name="10. melléklet" sheetId="10" r:id="rId14"/>
    <sheet name="11. melléklet" sheetId="11" r:id="rId15"/>
    <sheet name="12. melléklet" sheetId="12" r:id="rId16"/>
    <sheet name="13. melléklet" sheetId="13" r:id="rId17"/>
    <sheet name="14. melléklet" sheetId="14" r:id="rId18"/>
    <sheet name="15. melléklet" sheetId="15" r:id="rId19"/>
    <sheet name="16. melléklet" sheetId="16" r:id="rId20"/>
    <sheet name="17. melléklet" sheetId="17" r:id="rId21"/>
    <sheet name="18. melléklet" sheetId="18" r:id="rId22"/>
    <sheet name="19. melléklet" sheetId="19" r:id="rId23"/>
    <sheet name="20. melléklet" sheetId="20" r:id="rId24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3" l="1"/>
  <c r="C14" i="13"/>
  <c r="E19" i="13"/>
  <c r="E18" i="13"/>
  <c r="D22" i="26" l="1"/>
  <c r="C41" i="26"/>
  <c r="C30" i="15"/>
  <c r="C28" i="15" s="1"/>
  <c r="C27" i="15" s="1"/>
  <c r="D12" i="18" l="1"/>
  <c r="E12" i="18"/>
  <c r="F12" i="18"/>
  <c r="G12" i="18"/>
  <c r="H12" i="18"/>
  <c r="I12" i="18"/>
  <c r="J12" i="18"/>
  <c r="K12" i="18"/>
  <c r="L12" i="18"/>
  <c r="M12" i="18"/>
  <c r="N12" i="18"/>
  <c r="C12" i="18"/>
  <c r="F16" i="11"/>
  <c r="E17" i="11" l="1"/>
  <c r="D17" i="11"/>
  <c r="C17" i="11"/>
  <c r="D28" i="19"/>
  <c r="E28" i="19"/>
  <c r="F28" i="19"/>
  <c r="G28" i="19"/>
  <c r="H28" i="19"/>
  <c r="I28" i="19"/>
  <c r="J28" i="19"/>
  <c r="K28" i="19"/>
  <c r="L28" i="19"/>
  <c r="M28" i="19"/>
  <c r="N28" i="19"/>
  <c r="C28" i="19"/>
  <c r="O24" i="19"/>
  <c r="D21" i="19"/>
  <c r="E21" i="19"/>
  <c r="F21" i="19"/>
  <c r="G21" i="19"/>
  <c r="H21" i="19"/>
  <c r="I21" i="19"/>
  <c r="J21" i="19"/>
  <c r="K21" i="19"/>
  <c r="L21" i="19"/>
  <c r="M21" i="19"/>
  <c r="N21" i="19"/>
  <c r="C21" i="19"/>
  <c r="O23" i="19"/>
  <c r="D37" i="25"/>
  <c r="C14" i="28"/>
  <c r="J24" i="17"/>
  <c r="E16" i="16"/>
  <c r="K105" i="25"/>
  <c r="I105" i="25"/>
  <c r="G105" i="25"/>
  <c r="D105" i="25"/>
  <c r="E105" i="25"/>
  <c r="M105" i="25"/>
  <c r="C47" i="25"/>
  <c r="D38" i="25"/>
  <c r="D84" i="25" l="1"/>
  <c r="D87" i="25" s="1"/>
  <c r="D77" i="25"/>
  <c r="D20" i="25"/>
  <c r="F19" i="20"/>
  <c r="D8" i="20"/>
  <c r="C87" i="25"/>
  <c r="D83" i="25" l="1"/>
  <c r="D82" i="25"/>
  <c r="G11" i="8"/>
  <c r="G24" i="25"/>
  <c r="G21" i="25"/>
  <c r="C24" i="25" l="1"/>
  <c r="D6" i="2"/>
  <c r="C6" i="2"/>
  <c r="D8" i="2"/>
  <c r="C8" i="2"/>
  <c r="D6" i="3"/>
  <c r="C6" i="3"/>
  <c r="C11" i="26"/>
  <c r="C5" i="2" s="1"/>
  <c r="D11" i="26"/>
  <c r="E11" i="26"/>
  <c r="D5" i="3" s="1"/>
  <c r="C5" i="3" l="1"/>
  <c r="D10" i="2"/>
  <c r="C10" i="2"/>
  <c r="D6" i="1"/>
  <c r="C19" i="25" l="1"/>
  <c r="D58" i="1" l="1"/>
  <c r="C58" i="1"/>
  <c r="F58" i="1" s="1"/>
  <c r="D64" i="1"/>
  <c r="I25" i="17" s="1"/>
  <c r="E64" i="1"/>
  <c r="J25" i="17" s="1"/>
  <c r="J16" i="17" s="1"/>
  <c r="D58" i="2"/>
  <c r="C58" i="2"/>
  <c r="C64" i="1" s="1"/>
  <c r="D44" i="3"/>
  <c r="C44" i="3"/>
  <c r="E41" i="3"/>
  <c r="F41" i="3"/>
  <c r="G41" i="3"/>
  <c r="I41" i="3"/>
  <c r="J41" i="3"/>
  <c r="F15" i="11"/>
  <c r="F64" i="1" l="1"/>
  <c r="K25" i="17" s="1"/>
  <c r="H25" i="17"/>
  <c r="F58" i="2"/>
  <c r="H44" i="3"/>
  <c r="D57" i="2"/>
  <c r="D63" i="1" s="1"/>
  <c r="C43" i="3"/>
  <c r="C57" i="2"/>
  <c r="C63" i="1" s="1"/>
  <c r="D57" i="1" l="1"/>
  <c r="I24" i="17" s="1"/>
  <c r="I16" i="17" s="1"/>
  <c r="C57" i="1"/>
  <c r="H24" i="17" s="1"/>
  <c r="H16" i="17" s="1"/>
  <c r="G6" i="8"/>
  <c r="G17" i="8" s="1"/>
  <c r="N6" i="25"/>
  <c r="N7" i="25"/>
  <c r="N8" i="25"/>
  <c r="N9" i="25"/>
  <c r="N10" i="25"/>
  <c r="N11" i="25"/>
  <c r="N12" i="25"/>
  <c r="N13" i="25"/>
  <c r="N14" i="25"/>
  <c r="N15" i="25"/>
  <c r="N16" i="25"/>
  <c r="N17" i="25"/>
  <c r="N19" i="25"/>
  <c r="N20" i="25"/>
  <c r="N21" i="25"/>
  <c r="N25" i="25"/>
  <c r="N26" i="25"/>
  <c r="N27" i="25"/>
  <c r="N29" i="25"/>
  <c r="N30" i="25"/>
  <c r="N32" i="25"/>
  <c r="N33" i="25"/>
  <c r="N34" i="25"/>
  <c r="N35" i="25"/>
  <c r="N36" i="25"/>
  <c r="N37" i="25"/>
  <c r="N38" i="25"/>
  <c r="N40" i="25"/>
  <c r="N41" i="25"/>
  <c r="N44" i="25"/>
  <c r="N45" i="25"/>
  <c r="N46" i="25"/>
  <c r="N47" i="25"/>
  <c r="N50" i="25"/>
  <c r="N51" i="25"/>
  <c r="N52" i="25"/>
  <c r="N53" i="25"/>
  <c r="N54" i="25"/>
  <c r="N55" i="25"/>
  <c r="N56" i="25"/>
  <c r="N59" i="25"/>
  <c r="N60" i="25"/>
  <c r="N61" i="25"/>
  <c r="N62" i="25"/>
  <c r="N64" i="25"/>
  <c r="N65" i="25"/>
  <c r="N66" i="25"/>
  <c r="N67" i="25"/>
  <c r="N68" i="25"/>
  <c r="N69" i="25"/>
  <c r="N70" i="25"/>
  <c r="N71" i="25"/>
  <c r="N72" i="25"/>
  <c r="N76" i="25"/>
  <c r="N77" i="25"/>
  <c r="N78" i="25"/>
  <c r="N79" i="25"/>
  <c r="N80" i="25"/>
  <c r="N81" i="25"/>
  <c r="N84" i="25"/>
  <c r="N85" i="25"/>
  <c r="N86" i="25"/>
  <c r="N89" i="25"/>
  <c r="N90" i="25"/>
  <c r="N91" i="25"/>
  <c r="N92" i="25"/>
  <c r="N93" i="25"/>
  <c r="N94" i="25"/>
  <c r="N95" i="25"/>
  <c r="N96" i="25"/>
  <c r="N97" i="25"/>
  <c r="N5" i="25"/>
  <c r="C74" i="25" l="1"/>
  <c r="N74" i="25" s="1"/>
  <c r="J20" i="14" l="1"/>
  <c r="I20" i="14"/>
  <c r="H20" i="14"/>
  <c r="G20" i="14"/>
  <c r="J15" i="14"/>
  <c r="I15" i="14"/>
  <c r="H15" i="14"/>
  <c r="G15" i="14"/>
  <c r="J11" i="14"/>
  <c r="I11" i="14"/>
  <c r="H11" i="14"/>
  <c r="G11" i="14"/>
  <c r="J7" i="14"/>
  <c r="J23" i="14" s="1"/>
  <c r="I7" i="14"/>
  <c r="I23" i="14" s="1"/>
  <c r="H7" i="14"/>
  <c r="H23" i="14" s="1"/>
  <c r="G7" i="14"/>
  <c r="G23" i="14" s="1"/>
  <c r="M19" i="28"/>
  <c r="E18" i="27"/>
  <c r="D18" i="27"/>
  <c r="G82" i="25"/>
  <c r="F82" i="25"/>
  <c r="N82" i="25" s="1"/>
  <c r="E9" i="13" l="1"/>
  <c r="E10" i="13"/>
  <c r="E11" i="13"/>
  <c r="E12" i="13"/>
  <c r="E13" i="13"/>
  <c r="E15" i="13"/>
  <c r="E16" i="13"/>
  <c r="E17" i="13"/>
  <c r="D8" i="13"/>
  <c r="E14" i="13" l="1"/>
  <c r="D20" i="13"/>
  <c r="D57" i="25" s="1"/>
  <c r="D27" i="7"/>
  <c r="E21" i="7"/>
  <c r="E22" i="7" s="1"/>
  <c r="D17" i="7"/>
  <c r="D42" i="6"/>
  <c r="E42" i="6"/>
  <c r="E32" i="6"/>
  <c r="E13" i="6"/>
  <c r="D42" i="5"/>
  <c r="E42" i="5"/>
  <c r="E32" i="5"/>
  <c r="E13" i="5"/>
  <c r="E39" i="4"/>
  <c r="E42" i="4" s="1"/>
  <c r="D39" i="4"/>
  <c r="D42" i="4" s="1"/>
  <c r="C31" i="4"/>
  <c r="F31" i="4" s="1"/>
  <c r="D27" i="4"/>
  <c r="C27" i="4"/>
  <c r="E13" i="4"/>
  <c r="G47" i="1"/>
  <c r="E46" i="3"/>
  <c r="F46" i="3"/>
  <c r="G46" i="3"/>
  <c r="C33" i="3"/>
  <c r="D18" i="25"/>
  <c r="E18" i="25"/>
  <c r="C6" i="1"/>
  <c r="F27" i="4" l="1"/>
  <c r="E48" i="2"/>
  <c r="D47" i="2"/>
  <c r="C47" i="2"/>
  <c r="E44" i="2"/>
  <c r="E39" i="2" s="1"/>
  <c r="E52" i="2" s="1"/>
  <c r="D46" i="2"/>
  <c r="C46" i="2"/>
  <c r="E28" i="2"/>
  <c r="E33" i="2" s="1"/>
  <c r="C29" i="2"/>
  <c r="D12" i="2"/>
  <c r="E12" i="2"/>
  <c r="D7" i="2"/>
  <c r="E7" i="2"/>
  <c r="D29" i="2"/>
  <c r="D28" i="2" s="1"/>
  <c r="H40" i="3"/>
  <c r="H43" i="3"/>
  <c r="H45" i="3"/>
  <c r="D42" i="3"/>
  <c r="D41" i="3" s="1"/>
  <c r="D33" i="3"/>
  <c r="H33" i="3" s="1"/>
  <c r="D32" i="3"/>
  <c r="E27" i="3"/>
  <c r="E38" i="3" s="1"/>
  <c r="E47" i="3" s="1"/>
  <c r="F27" i="3"/>
  <c r="F38" i="3" s="1"/>
  <c r="F47" i="3" s="1"/>
  <c r="G27" i="3"/>
  <c r="G38" i="3" s="1"/>
  <c r="G47" i="3" s="1"/>
  <c r="E22" i="3"/>
  <c r="F22" i="3"/>
  <c r="G22" i="3"/>
  <c r="C18" i="3"/>
  <c r="G13" i="3"/>
  <c r="G23" i="3" s="1"/>
  <c r="F13" i="3"/>
  <c r="F23" i="3" s="1"/>
  <c r="E13" i="3"/>
  <c r="E23" i="3" s="1"/>
  <c r="H15" i="3"/>
  <c r="H19" i="3"/>
  <c r="H20" i="3"/>
  <c r="H21" i="3"/>
  <c r="D18" i="3"/>
  <c r="H18" i="3" s="1"/>
  <c r="D7" i="3"/>
  <c r="E8" i="28"/>
  <c r="D14" i="3" s="1"/>
  <c r="E13" i="28"/>
  <c r="E16" i="28"/>
  <c r="D16" i="3" s="1"/>
  <c r="E24" i="28"/>
  <c r="E31" i="28"/>
  <c r="E8" i="27"/>
  <c r="D39" i="3" s="1"/>
  <c r="E15" i="27"/>
  <c r="E24" i="27"/>
  <c r="E25" i="27"/>
  <c r="E31" i="27"/>
  <c r="E34" i="27"/>
  <c r="E101" i="25" s="1"/>
  <c r="E23" i="26"/>
  <c r="E26" i="26"/>
  <c r="E35" i="26"/>
  <c r="E37" i="26"/>
  <c r="D8" i="3" s="1"/>
  <c r="E47" i="26"/>
  <c r="E50" i="26"/>
  <c r="E53" i="26" s="1"/>
  <c r="D9" i="3" s="1"/>
  <c r="E59" i="26"/>
  <c r="D10" i="3" s="1"/>
  <c r="E65" i="26"/>
  <c r="D11" i="3" s="1"/>
  <c r="E71" i="26"/>
  <c r="D12" i="3" s="1"/>
  <c r="E22" i="25"/>
  <c r="E23" i="25" s="1"/>
  <c r="E28" i="25"/>
  <c r="E31" i="25"/>
  <c r="E39" i="25"/>
  <c r="E42" i="25"/>
  <c r="E48" i="25"/>
  <c r="E58" i="25"/>
  <c r="D31" i="3" s="1"/>
  <c r="E63" i="25"/>
  <c r="E75" i="25" s="1"/>
  <c r="E83" i="25"/>
  <c r="D35" i="3" s="1"/>
  <c r="E88" i="25"/>
  <c r="D36" i="3" s="1"/>
  <c r="E98" i="25"/>
  <c r="D37" i="3" s="1"/>
  <c r="F18" i="25"/>
  <c r="G18" i="25"/>
  <c r="H18" i="25"/>
  <c r="I18" i="25"/>
  <c r="J18" i="25"/>
  <c r="K18" i="25"/>
  <c r="L18" i="25"/>
  <c r="M18" i="25"/>
  <c r="F22" i="25"/>
  <c r="G22" i="25"/>
  <c r="H22" i="25"/>
  <c r="I22" i="25"/>
  <c r="J22" i="25"/>
  <c r="K22" i="25"/>
  <c r="L22" i="25"/>
  <c r="M22" i="25"/>
  <c r="F23" i="25"/>
  <c r="C26" i="4" s="1"/>
  <c r="G23" i="25"/>
  <c r="D26" i="4" s="1"/>
  <c r="H23" i="25"/>
  <c r="I23" i="25"/>
  <c r="J23" i="25"/>
  <c r="K23" i="25"/>
  <c r="L23" i="25"/>
  <c r="M23" i="25"/>
  <c r="D26" i="7" s="1"/>
  <c r="F28" i="25"/>
  <c r="G28" i="25"/>
  <c r="H28" i="25"/>
  <c r="I28" i="25"/>
  <c r="I49" i="25" s="1"/>
  <c r="D28" i="6" s="1"/>
  <c r="J28" i="25"/>
  <c r="K28" i="25"/>
  <c r="L28" i="25"/>
  <c r="M28" i="25"/>
  <c r="F31" i="25"/>
  <c r="G31" i="25"/>
  <c r="H31" i="25"/>
  <c r="I31" i="25"/>
  <c r="J31" i="25"/>
  <c r="K31" i="25"/>
  <c r="L31" i="25"/>
  <c r="M31" i="25"/>
  <c r="F39" i="25"/>
  <c r="G39" i="25"/>
  <c r="G43" i="25" s="1"/>
  <c r="H39" i="25"/>
  <c r="I39" i="25"/>
  <c r="J39" i="25"/>
  <c r="L39" i="25"/>
  <c r="F42" i="25"/>
  <c r="G42" i="25"/>
  <c r="H42" i="25"/>
  <c r="I42" i="25"/>
  <c r="J42" i="25"/>
  <c r="K42" i="25"/>
  <c r="K49" i="25" s="1"/>
  <c r="L42" i="25"/>
  <c r="M42" i="25"/>
  <c r="M49" i="25" s="1"/>
  <c r="F43" i="25"/>
  <c r="F48" i="25" s="1"/>
  <c r="F49" i="25" s="1"/>
  <c r="H48" i="25"/>
  <c r="I48" i="25"/>
  <c r="J48" i="25"/>
  <c r="K48" i="25"/>
  <c r="L48" i="25"/>
  <c r="M48" i="25"/>
  <c r="H49" i="25"/>
  <c r="J49" i="25"/>
  <c r="F58" i="25"/>
  <c r="G58" i="25"/>
  <c r="D29" i="4" s="1"/>
  <c r="H58" i="25"/>
  <c r="I58" i="25"/>
  <c r="J58" i="25"/>
  <c r="K58" i="25"/>
  <c r="L58" i="25"/>
  <c r="M58" i="25"/>
  <c r="F63" i="25"/>
  <c r="G63" i="25"/>
  <c r="H63" i="25"/>
  <c r="I63" i="25"/>
  <c r="J63" i="25"/>
  <c r="K63" i="25"/>
  <c r="L63" i="25"/>
  <c r="M63" i="25"/>
  <c r="F75" i="25"/>
  <c r="C30" i="4" s="1"/>
  <c r="G75" i="25"/>
  <c r="D30" i="4" s="1"/>
  <c r="H75" i="25"/>
  <c r="I75" i="25"/>
  <c r="J75" i="25"/>
  <c r="K75" i="25"/>
  <c r="L75" i="25"/>
  <c r="M75" i="25"/>
  <c r="F83" i="25"/>
  <c r="G83" i="25"/>
  <c r="D33" i="4" s="1"/>
  <c r="H83" i="25"/>
  <c r="I83" i="25"/>
  <c r="D33" i="6" s="1"/>
  <c r="D32" i="6" s="1"/>
  <c r="J83" i="25"/>
  <c r="K83" i="25"/>
  <c r="D33" i="5" s="1"/>
  <c r="D32" i="5" s="1"/>
  <c r="L83" i="25"/>
  <c r="M83" i="25"/>
  <c r="D33" i="7" s="1"/>
  <c r="H87" i="25"/>
  <c r="N87" i="25" s="1"/>
  <c r="F88" i="25"/>
  <c r="G88" i="25"/>
  <c r="D34" i="4" s="1"/>
  <c r="H88" i="25"/>
  <c r="I88" i="25"/>
  <c r="J88" i="25"/>
  <c r="K88" i="25"/>
  <c r="D34" i="5" s="1"/>
  <c r="L88" i="25"/>
  <c r="M88" i="25"/>
  <c r="D34" i="7" s="1"/>
  <c r="F98" i="25"/>
  <c r="G98" i="25"/>
  <c r="H98" i="25"/>
  <c r="I98" i="25"/>
  <c r="J98" i="25"/>
  <c r="K98" i="25"/>
  <c r="L98" i="25"/>
  <c r="M98" i="25"/>
  <c r="D98" i="25"/>
  <c r="D88" i="25"/>
  <c r="D63" i="25"/>
  <c r="D58" i="25"/>
  <c r="D42" i="25"/>
  <c r="D39" i="25"/>
  <c r="D31" i="25"/>
  <c r="D28" i="25"/>
  <c r="D22" i="25"/>
  <c r="D71" i="26"/>
  <c r="D23" i="2" s="1"/>
  <c r="D23" i="1" s="1"/>
  <c r="F71" i="26"/>
  <c r="G71" i="26"/>
  <c r="H71" i="26"/>
  <c r="I71" i="26"/>
  <c r="J71" i="26"/>
  <c r="K71" i="26"/>
  <c r="L71" i="26"/>
  <c r="M71" i="26"/>
  <c r="D65" i="26"/>
  <c r="D22" i="2" s="1"/>
  <c r="D22" i="1" s="1"/>
  <c r="F65" i="26"/>
  <c r="G65" i="26"/>
  <c r="H65" i="26"/>
  <c r="I65" i="26"/>
  <c r="J65" i="26"/>
  <c r="K65" i="26"/>
  <c r="L65" i="26"/>
  <c r="M65" i="26"/>
  <c r="D59" i="26"/>
  <c r="D21" i="2" s="1"/>
  <c r="D21" i="1" s="1"/>
  <c r="F59" i="26"/>
  <c r="G59" i="26"/>
  <c r="H59" i="26"/>
  <c r="I59" i="26"/>
  <c r="J59" i="26"/>
  <c r="K59" i="26"/>
  <c r="L59" i="26"/>
  <c r="M59" i="26"/>
  <c r="D50" i="26"/>
  <c r="F50" i="26"/>
  <c r="G50" i="26"/>
  <c r="H50" i="26"/>
  <c r="I50" i="26"/>
  <c r="J50" i="26"/>
  <c r="K50" i="26"/>
  <c r="L50" i="26"/>
  <c r="M50" i="26"/>
  <c r="D47" i="26"/>
  <c r="D53" i="26" s="1"/>
  <c r="D20" i="2" s="1"/>
  <c r="F47" i="26"/>
  <c r="F53" i="26" s="1"/>
  <c r="G47" i="26"/>
  <c r="G53" i="26" s="1"/>
  <c r="D9" i="4" s="1"/>
  <c r="H47" i="26"/>
  <c r="H53" i="26" s="1"/>
  <c r="I47" i="26"/>
  <c r="I53" i="26" s="1"/>
  <c r="D9" i="6" s="1"/>
  <c r="D13" i="6" s="1"/>
  <c r="J47" i="26"/>
  <c r="J53" i="26" s="1"/>
  <c r="K47" i="26"/>
  <c r="K53" i="26" s="1"/>
  <c r="D9" i="5" s="1"/>
  <c r="D13" i="5" s="1"/>
  <c r="L47" i="26"/>
  <c r="L53" i="26" s="1"/>
  <c r="M47" i="26"/>
  <c r="M53" i="26" s="1"/>
  <c r="D9" i="7" s="1"/>
  <c r="D35" i="26"/>
  <c r="F35" i="26"/>
  <c r="G35" i="26"/>
  <c r="H35" i="26"/>
  <c r="I35" i="26"/>
  <c r="J35" i="26"/>
  <c r="K35" i="26"/>
  <c r="L35" i="26"/>
  <c r="M35" i="26"/>
  <c r="D26" i="26"/>
  <c r="D37" i="26" s="1"/>
  <c r="F26" i="26"/>
  <c r="F37" i="26" s="1"/>
  <c r="G26" i="26"/>
  <c r="G37" i="26" s="1"/>
  <c r="D8" i="4" s="1"/>
  <c r="H26" i="26"/>
  <c r="H37" i="26" s="1"/>
  <c r="I26" i="26"/>
  <c r="I37" i="26" s="1"/>
  <c r="J26" i="26"/>
  <c r="J37" i="26" s="1"/>
  <c r="K26" i="26"/>
  <c r="K37" i="26" s="1"/>
  <c r="L26" i="26"/>
  <c r="L37" i="26" s="1"/>
  <c r="M26" i="26"/>
  <c r="M37" i="26" s="1"/>
  <c r="D23" i="26"/>
  <c r="D11" i="2" s="1"/>
  <c r="D11" i="1" s="1"/>
  <c r="D5" i="17" s="1"/>
  <c r="F23" i="26"/>
  <c r="G23" i="26"/>
  <c r="H23" i="26"/>
  <c r="I23" i="26"/>
  <c r="J23" i="26"/>
  <c r="K23" i="26"/>
  <c r="L23" i="26"/>
  <c r="M23" i="26"/>
  <c r="G17" i="26"/>
  <c r="G72" i="26" s="1"/>
  <c r="I17" i="26"/>
  <c r="K17" i="26"/>
  <c r="K72" i="26" s="1"/>
  <c r="M17" i="26"/>
  <c r="D17" i="26"/>
  <c r="F11" i="26"/>
  <c r="F17" i="26" s="1"/>
  <c r="G11" i="26"/>
  <c r="H11" i="26"/>
  <c r="H17" i="26" s="1"/>
  <c r="I11" i="26"/>
  <c r="J11" i="26"/>
  <c r="J17" i="26" s="1"/>
  <c r="J72" i="26" s="1"/>
  <c r="K11" i="26"/>
  <c r="L11" i="26"/>
  <c r="L17" i="26" s="1"/>
  <c r="M11" i="26"/>
  <c r="D31" i="27"/>
  <c r="F31" i="27"/>
  <c r="G31" i="27"/>
  <c r="H31" i="27"/>
  <c r="I31" i="27"/>
  <c r="J31" i="27"/>
  <c r="K31" i="27"/>
  <c r="L31" i="27"/>
  <c r="M31" i="27"/>
  <c r="D24" i="27"/>
  <c r="F24" i="27"/>
  <c r="G24" i="27"/>
  <c r="H24" i="27"/>
  <c r="I24" i="27"/>
  <c r="J24" i="27"/>
  <c r="K24" i="27"/>
  <c r="L24" i="27"/>
  <c r="M24" i="27"/>
  <c r="D15" i="27"/>
  <c r="F15" i="27"/>
  <c r="F25" i="27" s="1"/>
  <c r="F34" i="27" s="1"/>
  <c r="G15" i="27"/>
  <c r="H15" i="27"/>
  <c r="H25" i="27" s="1"/>
  <c r="H34" i="27" s="1"/>
  <c r="I15" i="27"/>
  <c r="J15" i="27"/>
  <c r="J25" i="27" s="1"/>
  <c r="J34" i="27" s="1"/>
  <c r="K15" i="27"/>
  <c r="L15" i="27"/>
  <c r="L25" i="27" s="1"/>
  <c r="L34" i="27" s="1"/>
  <c r="M15" i="27"/>
  <c r="D8" i="27"/>
  <c r="D25" i="27" s="1"/>
  <c r="D34" i="27" s="1"/>
  <c r="D101" i="25" s="1"/>
  <c r="F8" i="27"/>
  <c r="G8" i="27"/>
  <c r="G25" i="27" s="1"/>
  <c r="G34" i="27" s="1"/>
  <c r="G101" i="25" s="1"/>
  <c r="H8" i="27"/>
  <c r="I8" i="27"/>
  <c r="I25" i="27" s="1"/>
  <c r="I34" i="27" s="1"/>
  <c r="I101" i="25" s="1"/>
  <c r="J8" i="27"/>
  <c r="K8" i="27"/>
  <c r="K25" i="27" s="1"/>
  <c r="K34" i="27" s="1"/>
  <c r="K101" i="25" s="1"/>
  <c r="L8" i="27"/>
  <c r="M8" i="27"/>
  <c r="M25" i="27" s="1"/>
  <c r="M34" i="27" s="1"/>
  <c r="M101" i="25" s="1"/>
  <c r="D31" i="28"/>
  <c r="F31" i="28"/>
  <c r="G31" i="28"/>
  <c r="H31" i="28"/>
  <c r="I31" i="28"/>
  <c r="J31" i="28"/>
  <c r="K31" i="28"/>
  <c r="L31" i="28"/>
  <c r="M31" i="28"/>
  <c r="D24" i="28"/>
  <c r="F24" i="28"/>
  <c r="G24" i="28"/>
  <c r="H24" i="28"/>
  <c r="I24" i="28"/>
  <c r="J24" i="28"/>
  <c r="K24" i="28"/>
  <c r="L24" i="28"/>
  <c r="M24" i="28"/>
  <c r="D16" i="28"/>
  <c r="D27" i="2" s="1"/>
  <c r="D27" i="1" s="1"/>
  <c r="D18" i="17" s="1"/>
  <c r="F16" i="28"/>
  <c r="C16" i="4" s="1"/>
  <c r="G16" i="28"/>
  <c r="D16" i="4" s="1"/>
  <c r="H16" i="28"/>
  <c r="C16" i="6" s="1"/>
  <c r="I16" i="28"/>
  <c r="D16" i="6" s="1"/>
  <c r="J16" i="28"/>
  <c r="C16" i="5" s="1"/>
  <c r="K16" i="28"/>
  <c r="D16" i="5" s="1"/>
  <c r="L16" i="28"/>
  <c r="C16" i="7" s="1"/>
  <c r="M16" i="28"/>
  <c r="D16" i="7" s="1"/>
  <c r="D21" i="7" s="1"/>
  <c r="D13" i="28"/>
  <c r="D26" i="2" s="1"/>
  <c r="F13" i="28"/>
  <c r="G13" i="28"/>
  <c r="H13" i="28"/>
  <c r="I13" i="28"/>
  <c r="J13" i="28"/>
  <c r="K13" i="28"/>
  <c r="L13" i="28"/>
  <c r="M13" i="28"/>
  <c r="N6" i="28"/>
  <c r="N7" i="28"/>
  <c r="N9" i="28"/>
  <c r="N10" i="28"/>
  <c r="N11" i="28"/>
  <c r="N12" i="28"/>
  <c r="N14" i="28"/>
  <c r="N15" i="28"/>
  <c r="N17" i="28"/>
  <c r="N18" i="28"/>
  <c r="N20" i="28"/>
  <c r="N21" i="28"/>
  <c r="N22" i="28"/>
  <c r="N23" i="28"/>
  <c r="N26" i="28"/>
  <c r="N27" i="28"/>
  <c r="N28" i="28"/>
  <c r="N29" i="28"/>
  <c r="N30" i="28"/>
  <c r="N32" i="28"/>
  <c r="N33" i="28"/>
  <c r="N5" i="28"/>
  <c r="D8" i="28"/>
  <c r="D25" i="2" s="1"/>
  <c r="D25" i="1" s="1"/>
  <c r="F8" i="28"/>
  <c r="G8" i="28"/>
  <c r="H8" i="28"/>
  <c r="I8" i="28"/>
  <c r="J8" i="28"/>
  <c r="K8" i="28"/>
  <c r="L8" i="28"/>
  <c r="M8" i="28"/>
  <c r="D34" i="18"/>
  <c r="E34" i="18"/>
  <c r="F34" i="18"/>
  <c r="G34" i="18"/>
  <c r="H34" i="18"/>
  <c r="I34" i="18"/>
  <c r="J34" i="18"/>
  <c r="K34" i="18"/>
  <c r="L34" i="18"/>
  <c r="M34" i="18"/>
  <c r="N34" i="18"/>
  <c r="C34" i="18"/>
  <c r="D32" i="18"/>
  <c r="E32" i="18"/>
  <c r="F32" i="18"/>
  <c r="G32" i="18"/>
  <c r="H32" i="18"/>
  <c r="I32" i="18"/>
  <c r="J32" i="18"/>
  <c r="K32" i="18"/>
  <c r="L32" i="18"/>
  <c r="M32" i="18"/>
  <c r="N32" i="18"/>
  <c r="C32" i="18"/>
  <c r="E23" i="1"/>
  <c r="D7" i="1"/>
  <c r="D8" i="1"/>
  <c r="D9" i="1"/>
  <c r="D10" i="1"/>
  <c r="D13" i="1"/>
  <c r="D14" i="1"/>
  <c r="D15" i="1"/>
  <c r="D16" i="1"/>
  <c r="D17" i="1"/>
  <c r="D18" i="1"/>
  <c r="D19" i="1"/>
  <c r="E11" i="2"/>
  <c r="G31" i="20"/>
  <c r="H31" i="20" s="1"/>
  <c r="F31" i="20" s="1"/>
  <c r="F29" i="20"/>
  <c r="D13" i="4" l="1"/>
  <c r="D12" i="1"/>
  <c r="M72" i="26"/>
  <c r="I72" i="26"/>
  <c r="L72" i="26"/>
  <c r="C9" i="7"/>
  <c r="H72" i="26"/>
  <c r="D20" i="1"/>
  <c r="D25" i="28"/>
  <c r="D34" i="28" s="1"/>
  <c r="D72" i="26"/>
  <c r="F30" i="4"/>
  <c r="L49" i="25"/>
  <c r="L99" i="25" s="1"/>
  <c r="H99" i="25"/>
  <c r="E25" i="28"/>
  <c r="E34" i="28" s="1"/>
  <c r="D17" i="3"/>
  <c r="M25" i="28"/>
  <c r="M34" i="28" s="1"/>
  <c r="J99" i="25"/>
  <c r="D26" i="5"/>
  <c r="K24" i="25"/>
  <c r="D27" i="5" s="1"/>
  <c r="D26" i="6"/>
  <c r="I24" i="25"/>
  <c r="D50" i="2"/>
  <c r="D13" i="3"/>
  <c r="D28" i="5"/>
  <c r="K99" i="25"/>
  <c r="K103" i="25" s="1"/>
  <c r="K107" i="25" s="1"/>
  <c r="H6" i="3"/>
  <c r="E49" i="25"/>
  <c r="D43" i="2"/>
  <c r="D23" i="25"/>
  <c r="D24" i="25" s="1"/>
  <c r="D43" i="25"/>
  <c r="D48" i="25" s="1"/>
  <c r="D49" i="25" s="1"/>
  <c r="D28" i="7"/>
  <c r="M99" i="25"/>
  <c r="M103" i="25" s="1"/>
  <c r="M107" i="25" s="1"/>
  <c r="E17" i="26"/>
  <c r="D49" i="2"/>
  <c r="D5" i="2"/>
  <c r="D5" i="1" s="1"/>
  <c r="D28" i="3"/>
  <c r="E24" i="25"/>
  <c r="F72" i="26"/>
  <c r="G48" i="25"/>
  <c r="G49" i="25" s="1"/>
  <c r="F99" i="25"/>
  <c r="C28" i="4"/>
  <c r="F26" i="4"/>
  <c r="D22" i="3"/>
  <c r="D23" i="3" s="1"/>
  <c r="D46" i="3"/>
  <c r="D30" i="3"/>
  <c r="D24" i="1"/>
  <c r="F6" i="2"/>
  <c r="D33" i="2"/>
  <c r="E24" i="2"/>
  <c r="E34" i="2" s="1"/>
  <c r="E72" i="26"/>
  <c r="D27" i="6" l="1"/>
  <c r="I99" i="25"/>
  <c r="I103" i="25" s="1"/>
  <c r="I107" i="25" s="1"/>
  <c r="D48" i="2"/>
  <c r="D40" i="2"/>
  <c r="N24" i="25"/>
  <c r="C29" i="3"/>
  <c r="D41" i="2"/>
  <c r="D24" i="2"/>
  <c r="D34" i="2" s="1"/>
  <c r="D42" i="2"/>
  <c r="D29" i="3"/>
  <c r="H29" i="3" s="1"/>
  <c r="C41" i="2"/>
  <c r="E99" i="25"/>
  <c r="E103" i="25" s="1"/>
  <c r="E107" i="25" s="1"/>
  <c r="D28" i="4"/>
  <c r="F28" i="4" s="1"/>
  <c r="G99" i="25"/>
  <c r="G103" i="25" s="1"/>
  <c r="G107" i="25" s="1"/>
  <c r="E29" i="20"/>
  <c r="G29" i="20" s="1"/>
  <c r="J31" i="20"/>
  <c r="G35" i="20"/>
  <c r="H35" i="20" s="1"/>
  <c r="G32" i="20"/>
  <c r="H32" i="20" s="1"/>
  <c r="F32" i="20" s="1"/>
  <c r="F37" i="20" s="1"/>
  <c r="G34" i="20"/>
  <c r="H34" i="20" s="1"/>
  <c r="G33" i="20"/>
  <c r="H33" i="20" s="1"/>
  <c r="G36" i="20" l="1"/>
  <c r="H36" i="20" s="1"/>
  <c r="Q34" i="18"/>
  <c r="O12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8" i="19"/>
  <c r="D10" i="19"/>
  <c r="D5" i="19" s="1"/>
  <c r="E10" i="19"/>
  <c r="E5" i="19" s="1"/>
  <c r="F10" i="19"/>
  <c r="F5" i="19" s="1"/>
  <c r="G10" i="19"/>
  <c r="G5" i="19" s="1"/>
  <c r="G18" i="19" s="1"/>
  <c r="H10" i="19"/>
  <c r="H5" i="19" s="1"/>
  <c r="I10" i="19"/>
  <c r="J10" i="19"/>
  <c r="J5" i="19" s="1"/>
  <c r="K10" i="19"/>
  <c r="K5" i="19" s="1"/>
  <c r="L10" i="19"/>
  <c r="L5" i="19" s="1"/>
  <c r="M10" i="19"/>
  <c r="N10" i="19"/>
  <c r="C10" i="19"/>
  <c r="C5" i="19" s="1"/>
  <c r="C18" i="19" s="1"/>
  <c r="D18" i="19"/>
  <c r="F18" i="19"/>
  <c r="H18" i="19"/>
  <c r="J18" i="19"/>
  <c r="L18" i="19"/>
  <c r="D29" i="20"/>
  <c r="H29" i="20" s="1"/>
  <c r="M5" i="19" l="1"/>
  <c r="M18" i="19" s="1"/>
  <c r="I5" i="19"/>
  <c r="I18" i="19" s="1"/>
  <c r="N5" i="19"/>
  <c r="N18" i="19" s="1"/>
  <c r="O24" i="18"/>
  <c r="E18" i="19"/>
  <c r="K18" i="19"/>
  <c r="D6" i="17"/>
  <c r="D12" i="12"/>
  <c r="E12" i="12"/>
  <c r="D49" i="1"/>
  <c r="I5" i="17" s="1"/>
  <c r="E18" i="6"/>
  <c r="E17" i="6" s="1"/>
  <c r="E21" i="6" s="1"/>
  <c r="E22" i="6" s="1"/>
  <c r="E18" i="5"/>
  <c r="E17" i="5" s="1"/>
  <c r="E21" i="5" s="1"/>
  <c r="E22" i="5" s="1"/>
  <c r="D53" i="1"/>
  <c r="E53" i="1"/>
  <c r="E49" i="1"/>
  <c r="J5" i="17" s="1"/>
  <c r="D50" i="1"/>
  <c r="I6" i="17" s="1"/>
  <c r="E50" i="1"/>
  <c r="E45" i="1"/>
  <c r="D47" i="1"/>
  <c r="E47" i="1"/>
  <c r="E44" i="1"/>
  <c r="D43" i="1"/>
  <c r="E43" i="1"/>
  <c r="D42" i="1"/>
  <c r="E42" i="1"/>
  <c r="D41" i="1"/>
  <c r="E41" i="1"/>
  <c r="D40" i="1"/>
  <c r="E40" i="1"/>
  <c r="E39" i="1" s="1"/>
  <c r="E21" i="1"/>
  <c r="E6" i="17" s="1"/>
  <c r="E27" i="1"/>
  <c r="E18" i="17" s="1"/>
  <c r="E22" i="1"/>
  <c r="E20" i="1"/>
  <c r="E13" i="1"/>
  <c r="E14" i="1"/>
  <c r="E15" i="1"/>
  <c r="E16" i="1"/>
  <c r="E17" i="1"/>
  <c r="E18" i="1"/>
  <c r="E19" i="1"/>
  <c r="C14" i="1"/>
  <c r="C15" i="1"/>
  <c r="C16" i="1"/>
  <c r="C17" i="1"/>
  <c r="C18" i="1"/>
  <c r="C19" i="1"/>
  <c r="C13" i="1"/>
  <c r="E12" i="1"/>
  <c r="E11" i="1"/>
  <c r="E5" i="17" s="1"/>
  <c r="E10" i="1"/>
  <c r="E9" i="1"/>
  <c r="E8" i="1"/>
  <c r="E7" i="1"/>
  <c r="C10" i="1"/>
  <c r="C9" i="1"/>
  <c r="C8" i="1"/>
  <c r="E5" i="1"/>
  <c r="I29" i="3"/>
  <c r="J29" i="3" s="1"/>
  <c r="C17" i="3"/>
  <c r="H17" i="3" s="1"/>
  <c r="C47" i="1"/>
  <c r="C28" i="2"/>
  <c r="C7" i="2"/>
  <c r="C7" i="1" s="1"/>
  <c r="C12" i="2"/>
  <c r="D20" i="14"/>
  <c r="E20" i="14"/>
  <c r="F20" i="14"/>
  <c r="C20" i="14"/>
  <c r="D11" i="14"/>
  <c r="E11" i="14"/>
  <c r="F11" i="14"/>
  <c r="C11" i="14"/>
  <c r="D34" i="3"/>
  <c r="D27" i="3"/>
  <c r="E48" i="1" l="1"/>
  <c r="J6" i="17"/>
  <c r="J28" i="17" s="1"/>
  <c r="J29" i="17" s="1"/>
  <c r="I28" i="17"/>
  <c r="I29" i="17" s="1"/>
  <c r="D38" i="3"/>
  <c r="D47" i="3" s="1"/>
  <c r="E52" i="1"/>
  <c r="D48" i="1"/>
  <c r="C27" i="7"/>
  <c r="C27" i="6"/>
  <c r="C27" i="5"/>
  <c r="C17" i="17" l="1"/>
  <c r="D9" i="16"/>
  <c r="D5" i="16"/>
  <c r="H10" i="16"/>
  <c r="D8" i="16"/>
  <c r="C6" i="16"/>
  <c r="D68" i="1"/>
  <c r="I6" i="16"/>
  <c r="I7" i="16"/>
  <c r="I8" i="16"/>
  <c r="I10" i="16"/>
  <c r="I5" i="16"/>
  <c r="F8" i="11" l="1"/>
  <c r="C65" i="26"/>
  <c r="C31" i="28"/>
  <c r="N31" i="28" s="1"/>
  <c r="C24" i="28"/>
  <c r="N24" i="28" s="1"/>
  <c r="C16" i="28"/>
  <c r="C13" i="28"/>
  <c r="C8" i="28"/>
  <c r="N33" i="27"/>
  <c r="N32" i="27"/>
  <c r="N31" i="27"/>
  <c r="C31" i="27"/>
  <c r="N30" i="27"/>
  <c r="N29" i="27"/>
  <c r="N28" i="27"/>
  <c r="N27" i="27"/>
  <c r="N26" i="27"/>
  <c r="C24" i="27"/>
  <c r="N24" i="27" s="1"/>
  <c r="N23" i="27"/>
  <c r="N22" i="27"/>
  <c r="N21" i="27"/>
  <c r="N20" i="27"/>
  <c r="G57" i="1" s="1"/>
  <c r="G63" i="1" s="1"/>
  <c r="N19" i="27"/>
  <c r="N17" i="27"/>
  <c r="G58" i="1" s="1"/>
  <c r="N16" i="27"/>
  <c r="C15" i="27"/>
  <c r="N15" i="27" s="1"/>
  <c r="N14" i="27"/>
  <c r="N13" i="27"/>
  <c r="N12" i="27"/>
  <c r="N11" i="27"/>
  <c r="N10" i="27"/>
  <c r="N9" i="27"/>
  <c r="L101" i="25"/>
  <c r="J101" i="25"/>
  <c r="H101" i="25"/>
  <c r="F101" i="25"/>
  <c r="C8" i="27"/>
  <c r="N7" i="27"/>
  <c r="N6" i="27"/>
  <c r="N5" i="27"/>
  <c r="N71" i="26"/>
  <c r="G23" i="1" s="1"/>
  <c r="C71" i="26"/>
  <c r="N70" i="26"/>
  <c r="N69" i="26"/>
  <c r="N68" i="26"/>
  <c r="N67" i="26"/>
  <c r="N66" i="26"/>
  <c r="N64" i="26"/>
  <c r="N63" i="26"/>
  <c r="N62" i="26"/>
  <c r="N61" i="26"/>
  <c r="N60" i="26"/>
  <c r="C59" i="26"/>
  <c r="C43" i="26" s="1"/>
  <c r="N58" i="26"/>
  <c r="N57" i="26"/>
  <c r="N56" i="26"/>
  <c r="N55" i="26"/>
  <c r="N54" i="26"/>
  <c r="N52" i="26"/>
  <c r="N51" i="26"/>
  <c r="C50" i="26"/>
  <c r="N50" i="26" s="1"/>
  <c r="N49" i="26"/>
  <c r="N48" i="26"/>
  <c r="C9" i="5"/>
  <c r="C9" i="6"/>
  <c r="C9" i="4"/>
  <c r="C47" i="26"/>
  <c r="N46" i="26"/>
  <c r="N45" i="26"/>
  <c r="N44" i="26"/>
  <c r="N43" i="26"/>
  <c r="N42" i="26"/>
  <c r="N41" i="26"/>
  <c r="N40" i="26"/>
  <c r="N39" i="26"/>
  <c r="N38" i="26"/>
  <c r="C8" i="4"/>
  <c r="C12" i="1" s="1"/>
  <c r="C7" i="16" s="1"/>
  <c r="N36" i="26"/>
  <c r="C35" i="26"/>
  <c r="N35" i="26" s="1"/>
  <c r="N34" i="26"/>
  <c r="N33" i="26"/>
  <c r="N32" i="26"/>
  <c r="N31" i="26"/>
  <c r="N30" i="26"/>
  <c r="N29" i="26"/>
  <c r="N28" i="26"/>
  <c r="N27" i="26"/>
  <c r="C26" i="26"/>
  <c r="N25" i="26"/>
  <c r="N24" i="26"/>
  <c r="C23" i="26"/>
  <c r="N22" i="26"/>
  <c r="N21" i="26"/>
  <c r="N20" i="26"/>
  <c r="N19" i="26"/>
  <c r="N18" i="26"/>
  <c r="N16" i="26"/>
  <c r="N15" i="26"/>
  <c r="N14" i="26"/>
  <c r="N13" i="26"/>
  <c r="N12" i="26"/>
  <c r="N10" i="26"/>
  <c r="N9" i="26"/>
  <c r="N8" i="26"/>
  <c r="N7" i="26"/>
  <c r="N6" i="26"/>
  <c r="N5" i="26"/>
  <c r="C98" i="25"/>
  <c r="C34" i="7"/>
  <c r="C34" i="5"/>
  <c r="C34" i="6"/>
  <c r="C34" i="4"/>
  <c r="C88" i="25"/>
  <c r="N88" i="25" s="1"/>
  <c r="C33" i="7"/>
  <c r="C33" i="5"/>
  <c r="C33" i="6"/>
  <c r="C33" i="4"/>
  <c r="C63" i="25"/>
  <c r="N63" i="25" s="1"/>
  <c r="C29" i="4"/>
  <c r="F29" i="4" s="1"/>
  <c r="F25" i="4" s="1"/>
  <c r="C42" i="25"/>
  <c r="N42" i="25" s="1"/>
  <c r="C39" i="25"/>
  <c r="C31" i="25"/>
  <c r="N31" i="25" s="1"/>
  <c r="C28" i="25"/>
  <c r="N28" i="25" s="1"/>
  <c r="C22" i="25"/>
  <c r="N22" i="25" s="1"/>
  <c r="C18" i="25"/>
  <c r="N18" i="25" s="1"/>
  <c r="C43" i="25" l="1"/>
  <c r="G6" i="1"/>
  <c r="C53" i="26"/>
  <c r="C39" i="3"/>
  <c r="H39" i="3" s="1"/>
  <c r="C53" i="2"/>
  <c r="C53" i="1" s="1"/>
  <c r="C26" i="2"/>
  <c r="N13" i="28"/>
  <c r="N65" i="26"/>
  <c r="G22" i="1" s="1"/>
  <c r="C22" i="2"/>
  <c r="C22" i="1" s="1"/>
  <c r="C11" i="3"/>
  <c r="H11" i="3" s="1"/>
  <c r="C51" i="2"/>
  <c r="N98" i="25"/>
  <c r="C37" i="3"/>
  <c r="H37" i="3" s="1"/>
  <c r="C37" i="26"/>
  <c r="C8" i="3" s="1"/>
  <c r="H8" i="3" s="1"/>
  <c r="C23" i="2"/>
  <c r="C23" i="1" s="1"/>
  <c r="C12" i="3"/>
  <c r="H12" i="3" s="1"/>
  <c r="C25" i="28"/>
  <c r="C14" i="3"/>
  <c r="H14" i="3" s="1"/>
  <c r="C25" i="2"/>
  <c r="C25" i="1" s="1"/>
  <c r="N8" i="28"/>
  <c r="G25" i="1" s="1"/>
  <c r="N43" i="25"/>
  <c r="N39" i="25"/>
  <c r="C27" i="2"/>
  <c r="N16" i="28"/>
  <c r="G27" i="1" s="1"/>
  <c r="C16" i="3"/>
  <c r="H16" i="3" s="1"/>
  <c r="C11" i="2"/>
  <c r="C11" i="1" s="1"/>
  <c r="C5" i="17" s="1"/>
  <c r="C7" i="3"/>
  <c r="H7" i="3" s="1"/>
  <c r="C50" i="2"/>
  <c r="C36" i="3"/>
  <c r="H36" i="3" s="1"/>
  <c r="C9" i="3"/>
  <c r="H9" i="3" s="1"/>
  <c r="C20" i="2"/>
  <c r="C20" i="1" s="1"/>
  <c r="C9" i="16" s="1"/>
  <c r="C10" i="3"/>
  <c r="H10" i="3" s="1"/>
  <c r="C21" i="2"/>
  <c r="C21" i="1" s="1"/>
  <c r="C6" i="17" s="1"/>
  <c r="H5" i="3"/>
  <c r="C5" i="1"/>
  <c r="C17" i="26"/>
  <c r="C72" i="26" s="1"/>
  <c r="C32" i="5"/>
  <c r="N23" i="26"/>
  <c r="G11" i="1" s="1"/>
  <c r="C26" i="7"/>
  <c r="C26" i="6"/>
  <c r="C26" i="5"/>
  <c r="N59" i="26"/>
  <c r="G21" i="1" s="1"/>
  <c r="C23" i="25"/>
  <c r="N23" i="25" s="1"/>
  <c r="C28" i="6"/>
  <c r="C28" i="7"/>
  <c r="G50" i="1"/>
  <c r="N53" i="26"/>
  <c r="G20" i="1" s="1"/>
  <c r="C28" i="5"/>
  <c r="C34" i="28"/>
  <c r="C74" i="26" s="1"/>
  <c r="N11" i="26"/>
  <c r="G5" i="1" s="1"/>
  <c r="N26" i="26"/>
  <c r="N47" i="26"/>
  <c r="N8" i="27"/>
  <c r="G53" i="1" s="1"/>
  <c r="O19" i="18"/>
  <c r="C39" i="4"/>
  <c r="F19" i="2"/>
  <c r="F18" i="2"/>
  <c r="F17" i="2"/>
  <c r="F16" i="2"/>
  <c r="F15" i="2"/>
  <c r="F14" i="2"/>
  <c r="F13" i="2"/>
  <c r="F19" i="1"/>
  <c r="P19" i="18" s="1"/>
  <c r="Q19" i="18" s="1"/>
  <c r="F18" i="1"/>
  <c r="P18" i="18" s="1"/>
  <c r="Q18" i="18" s="1"/>
  <c r="F17" i="1"/>
  <c r="P17" i="18" s="1"/>
  <c r="Q17" i="18" s="1"/>
  <c r="E6" i="1"/>
  <c r="E24" i="1" s="1"/>
  <c r="D7" i="12"/>
  <c r="E7" i="12"/>
  <c r="C7" i="12"/>
  <c r="C12" i="12"/>
  <c r="F12" i="12" s="1"/>
  <c r="F8" i="12"/>
  <c r="F9" i="12"/>
  <c r="F10" i="12"/>
  <c r="F11" i="12"/>
  <c r="F13" i="12"/>
  <c r="F14" i="12"/>
  <c r="F15" i="12"/>
  <c r="F16" i="12"/>
  <c r="F17" i="12"/>
  <c r="F19" i="12"/>
  <c r="C18" i="12"/>
  <c r="F18" i="12" s="1"/>
  <c r="N37" i="26" l="1"/>
  <c r="G12" i="1" s="1"/>
  <c r="H22" i="3"/>
  <c r="C22" i="3"/>
  <c r="H13" i="3"/>
  <c r="H23" i="3" s="1"/>
  <c r="C48" i="25"/>
  <c r="C49" i="25" s="1"/>
  <c r="C13" i="3"/>
  <c r="C28" i="3"/>
  <c r="H28" i="3" s="1"/>
  <c r="C40" i="2"/>
  <c r="C40" i="1" s="1"/>
  <c r="H5" i="16" s="1"/>
  <c r="F12" i="2"/>
  <c r="L103" i="25"/>
  <c r="I28" i="3"/>
  <c r="J28" i="3" s="1"/>
  <c r="C76" i="26"/>
  <c r="C105" i="25" s="1"/>
  <c r="C33" i="2"/>
  <c r="C27" i="1"/>
  <c r="C50" i="1"/>
  <c r="H6" i="17" s="1"/>
  <c r="C24" i="1"/>
  <c r="C5" i="16"/>
  <c r="N17" i="26"/>
  <c r="N72" i="26" s="1"/>
  <c r="G24" i="1" s="1"/>
  <c r="C24" i="2"/>
  <c r="J103" i="25"/>
  <c r="G40" i="1"/>
  <c r="C20" i="12"/>
  <c r="D6" i="16"/>
  <c r="F7" i="12"/>
  <c r="H103" i="25"/>
  <c r="F103" i="25"/>
  <c r="G41" i="1"/>
  <c r="C32" i="6"/>
  <c r="D15" i="14"/>
  <c r="E15" i="14"/>
  <c r="F15" i="14"/>
  <c r="C15" i="14"/>
  <c r="D7" i="14"/>
  <c r="E7" i="14"/>
  <c r="F7" i="14"/>
  <c r="C7" i="14"/>
  <c r="F47" i="1"/>
  <c r="F51" i="1"/>
  <c r="F53" i="1"/>
  <c r="F54" i="1"/>
  <c r="F57" i="1"/>
  <c r="F59" i="1"/>
  <c r="H59" i="1" s="1"/>
  <c r="F63" i="1"/>
  <c r="H63" i="1" s="1"/>
  <c r="F6" i="1"/>
  <c r="F7" i="1"/>
  <c r="P7" i="18" s="1"/>
  <c r="Q7" i="18" s="1"/>
  <c r="F8" i="1"/>
  <c r="P8" i="18" s="1"/>
  <c r="Q8" i="18" s="1"/>
  <c r="F9" i="1"/>
  <c r="F10" i="1"/>
  <c r="P10" i="18" s="1"/>
  <c r="Q10" i="18" s="1"/>
  <c r="F11" i="1"/>
  <c r="H11" i="1" s="1"/>
  <c r="F12" i="1"/>
  <c r="F13" i="1"/>
  <c r="P13" i="18" s="1"/>
  <c r="Q13" i="18" s="1"/>
  <c r="F14" i="1"/>
  <c r="P14" i="18" s="1"/>
  <c r="Q14" i="18" s="1"/>
  <c r="F15" i="1"/>
  <c r="P15" i="18" s="1"/>
  <c r="Q15" i="18" s="1"/>
  <c r="F16" i="1"/>
  <c r="P16" i="18" s="1"/>
  <c r="Q16" i="18" s="1"/>
  <c r="F20" i="1"/>
  <c r="P20" i="18" s="1"/>
  <c r="Q20" i="18" s="1"/>
  <c r="F21" i="1"/>
  <c r="F22" i="1"/>
  <c r="F23" i="1"/>
  <c r="F25" i="1"/>
  <c r="F26" i="1"/>
  <c r="F30" i="1"/>
  <c r="F31" i="1"/>
  <c r="F32" i="1"/>
  <c r="H32" i="1" s="1"/>
  <c r="F36" i="1"/>
  <c r="H36" i="1" s="1"/>
  <c r="H25" i="1" l="1"/>
  <c r="C23" i="16"/>
  <c r="F27" i="1"/>
  <c r="H27" i="1" s="1"/>
  <c r="C18" i="17"/>
  <c r="C23" i="3"/>
  <c r="P30" i="18"/>
  <c r="Q30" i="18" s="1"/>
  <c r="H30" i="1"/>
  <c r="P31" i="18"/>
  <c r="Q31" i="18" s="1"/>
  <c r="H31" i="1"/>
  <c r="P26" i="18"/>
  <c r="Q26" i="18" s="1"/>
  <c r="H26" i="1"/>
  <c r="P20" i="19"/>
  <c r="Q20" i="19" s="1"/>
  <c r="H54" i="1"/>
  <c r="P17" i="19"/>
  <c r="Q17" i="19" s="1"/>
  <c r="H51" i="1"/>
  <c r="P25" i="19"/>
  <c r="Q25" i="19" s="1"/>
  <c r="H57" i="1"/>
  <c r="N48" i="25"/>
  <c r="N49" i="25"/>
  <c r="G42" i="1" s="1"/>
  <c r="C42" i="2"/>
  <c r="I30" i="3"/>
  <c r="J30" i="3" s="1"/>
  <c r="C30" i="3"/>
  <c r="H30" i="3" s="1"/>
  <c r="C34" i="2"/>
  <c r="P6" i="18"/>
  <c r="Q6" i="18" s="1"/>
  <c r="H6" i="1"/>
  <c r="P23" i="18"/>
  <c r="Q23" i="18" s="1"/>
  <c r="H23" i="1"/>
  <c r="P21" i="18"/>
  <c r="Q21" i="18" s="1"/>
  <c r="H21" i="1"/>
  <c r="P12" i="18"/>
  <c r="Q12" i="18" s="1"/>
  <c r="H12" i="1"/>
  <c r="P22" i="18"/>
  <c r="Q22" i="18" s="1"/>
  <c r="H22" i="1"/>
  <c r="P9" i="18"/>
  <c r="Q9" i="18" s="1"/>
  <c r="H9" i="1"/>
  <c r="P19" i="19"/>
  <c r="Q19" i="19" s="1"/>
  <c r="H53" i="1"/>
  <c r="P13" i="19"/>
  <c r="Q13" i="19" s="1"/>
  <c r="H47" i="1"/>
  <c r="H20" i="1"/>
  <c r="P25" i="18"/>
  <c r="Q25" i="18" s="1"/>
  <c r="P11" i="18"/>
  <c r="Q11" i="18" s="1"/>
  <c r="C18" i="16"/>
  <c r="P27" i="18"/>
  <c r="Q27" i="18" s="1"/>
  <c r="F50" i="1"/>
  <c r="H50" i="1" s="1"/>
  <c r="F5" i="1"/>
  <c r="F24" i="1" s="1"/>
  <c r="E23" i="14"/>
  <c r="F23" i="14"/>
  <c r="D23" i="14"/>
  <c r="C23" i="14"/>
  <c r="N26" i="19"/>
  <c r="N27" i="19" s="1"/>
  <c r="M26" i="19"/>
  <c r="L26" i="19"/>
  <c r="L27" i="19" s="1"/>
  <c r="K26" i="19"/>
  <c r="J26" i="19"/>
  <c r="J27" i="19" s="1"/>
  <c r="I26" i="19"/>
  <c r="H26" i="19"/>
  <c r="H27" i="19" s="1"/>
  <c r="G26" i="19"/>
  <c r="F26" i="19"/>
  <c r="F27" i="19" s="1"/>
  <c r="E26" i="19"/>
  <c r="D26" i="19"/>
  <c r="D27" i="19" s="1"/>
  <c r="C26" i="19"/>
  <c r="O25" i="19"/>
  <c r="O22" i="19"/>
  <c r="O21" i="19"/>
  <c r="O20" i="19"/>
  <c r="O19" i="19"/>
  <c r="O16" i="19"/>
  <c r="O15" i="19"/>
  <c r="O14" i="19"/>
  <c r="O13" i="19"/>
  <c r="O12" i="19"/>
  <c r="O11" i="19"/>
  <c r="O9" i="19"/>
  <c r="O8" i="19"/>
  <c r="O7" i="19"/>
  <c r="O6" i="19"/>
  <c r="M27" i="19"/>
  <c r="K27" i="19"/>
  <c r="I27" i="19"/>
  <c r="G27" i="19"/>
  <c r="E27" i="19"/>
  <c r="H24" i="1" l="1"/>
  <c r="P24" i="18"/>
  <c r="Q24" i="18" s="1"/>
  <c r="P5" i="18"/>
  <c r="Q5" i="18" s="1"/>
  <c r="H5" i="1"/>
  <c r="P16" i="19"/>
  <c r="Q16" i="19" s="1"/>
  <c r="O26" i="19"/>
  <c r="O10" i="19"/>
  <c r="O18" i="19"/>
  <c r="C27" i="19"/>
  <c r="O5" i="19"/>
  <c r="O27" i="19" l="1"/>
  <c r="C29" i="19"/>
  <c r="D29" i="19" s="1"/>
  <c r="E29" i="19" s="1"/>
  <c r="F29" i="19" s="1"/>
  <c r="G29" i="19" s="1"/>
  <c r="H29" i="19" s="1"/>
  <c r="I29" i="19" s="1"/>
  <c r="J29" i="19" s="1"/>
  <c r="K29" i="19" s="1"/>
  <c r="L29" i="19" s="1"/>
  <c r="M29" i="19" s="1"/>
  <c r="N29" i="19" s="1"/>
  <c r="O34" i="18"/>
  <c r="O31" i="18"/>
  <c r="O30" i="18"/>
  <c r="O29" i="18"/>
  <c r="O28" i="18"/>
  <c r="O27" i="18"/>
  <c r="O26" i="18"/>
  <c r="O25" i="18"/>
  <c r="O23" i="18"/>
  <c r="O22" i="18"/>
  <c r="O21" i="18"/>
  <c r="O20" i="18"/>
  <c r="O15" i="18"/>
  <c r="O16" i="18" s="1"/>
  <c r="O14" i="18"/>
  <c r="O13" i="18"/>
  <c r="O11" i="18"/>
  <c r="O10" i="18"/>
  <c r="O9" i="18"/>
  <c r="O8" i="18"/>
  <c r="N33" i="18"/>
  <c r="M33" i="18"/>
  <c r="L33" i="18"/>
  <c r="J33" i="18"/>
  <c r="H33" i="18"/>
  <c r="G33" i="18"/>
  <c r="F33" i="18"/>
  <c r="D33" i="18"/>
  <c r="O5" i="18"/>
  <c r="O32" i="18" l="1"/>
  <c r="E33" i="18"/>
  <c r="K33" i="18"/>
  <c r="I33" i="18"/>
  <c r="O7" i="18"/>
  <c r="O6" i="18"/>
  <c r="O17" i="18" l="1"/>
  <c r="O18" i="18" l="1"/>
  <c r="K30" i="17"/>
  <c r="F30" i="17"/>
  <c r="F27" i="17"/>
  <c r="F26" i="17"/>
  <c r="F25" i="17"/>
  <c r="K24" i="17"/>
  <c r="F24" i="17"/>
  <c r="K23" i="17"/>
  <c r="F23" i="17"/>
  <c r="K22" i="17"/>
  <c r="E22" i="17"/>
  <c r="D22" i="17"/>
  <c r="C22" i="17"/>
  <c r="K21" i="17"/>
  <c r="F21" i="17"/>
  <c r="K20" i="17"/>
  <c r="F20" i="17"/>
  <c r="K19" i="17"/>
  <c r="F19" i="17"/>
  <c r="K18" i="17"/>
  <c r="F18" i="17"/>
  <c r="K17" i="17"/>
  <c r="K16" i="17" s="1"/>
  <c r="E17" i="17"/>
  <c r="E28" i="17" s="1"/>
  <c r="D17" i="17"/>
  <c r="D28" i="17" s="1"/>
  <c r="E16" i="17"/>
  <c r="D16" i="17"/>
  <c r="F8" i="17"/>
  <c r="K7" i="17"/>
  <c r="F7" i="17"/>
  <c r="K6" i="17"/>
  <c r="F6" i="17"/>
  <c r="C16" i="17"/>
  <c r="C28" i="17" s="1"/>
  <c r="C29" i="17" s="1"/>
  <c r="F5" i="17"/>
  <c r="D29" i="17" l="1"/>
  <c r="D31" i="17" s="1"/>
  <c r="E29" i="17"/>
  <c r="E31" i="17" s="1"/>
  <c r="F22" i="17"/>
  <c r="F16" i="17"/>
  <c r="C33" i="18" l="1"/>
  <c r="C35" i="18" l="1"/>
  <c r="D35" i="18" s="1"/>
  <c r="E35" i="18" s="1"/>
  <c r="F35" i="18" s="1"/>
  <c r="G35" i="18" s="1"/>
  <c r="H35" i="18" s="1"/>
  <c r="I35" i="18" s="1"/>
  <c r="J35" i="18" s="1"/>
  <c r="K35" i="18" s="1"/>
  <c r="L35" i="18" s="1"/>
  <c r="M35" i="18" s="1"/>
  <c r="N35" i="18" s="1"/>
  <c r="O33" i="18"/>
  <c r="P35" i="18" s="1"/>
  <c r="J28" i="16"/>
  <c r="I28" i="16"/>
  <c r="F25" i="16"/>
  <c r="F24" i="16"/>
  <c r="K23" i="16"/>
  <c r="F23" i="16"/>
  <c r="K22" i="16"/>
  <c r="E22" i="16"/>
  <c r="D22" i="16"/>
  <c r="C22" i="16"/>
  <c r="K21" i="16"/>
  <c r="K20" i="16"/>
  <c r="F20" i="16"/>
  <c r="K19" i="16"/>
  <c r="F19" i="16"/>
  <c r="K18" i="16"/>
  <c r="F18" i="16"/>
  <c r="K17" i="16"/>
  <c r="J16" i="16"/>
  <c r="J29" i="16" s="1"/>
  <c r="J31" i="16" s="1"/>
  <c r="D16" i="16"/>
  <c r="K10" i="16"/>
  <c r="C16" i="16"/>
  <c r="F8" i="16"/>
  <c r="F7" i="16"/>
  <c r="F6" i="16"/>
  <c r="F5" i="16"/>
  <c r="F22" i="16" l="1"/>
  <c r="F9" i="16"/>
  <c r="F16" i="16" s="1"/>
  <c r="C8" i="13" l="1"/>
  <c r="E8" i="13" s="1"/>
  <c r="C20" i="13" l="1"/>
  <c r="D20" i="12"/>
  <c r="E20" i="12"/>
  <c r="C57" i="25" l="1"/>
  <c r="E20" i="13"/>
  <c r="F20" i="12"/>
  <c r="D73" i="25"/>
  <c r="C73" i="25"/>
  <c r="F14" i="11"/>
  <c r="F13" i="11"/>
  <c r="F12" i="11"/>
  <c r="F11" i="11"/>
  <c r="F10" i="11"/>
  <c r="F9" i="11"/>
  <c r="F7" i="11"/>
  <c r="F17" i="11" s="1"/>
  <c r="N57" i="25" l="1"/>
  <c r="C58" i="25"/>
  <c r="C45" i="2"/>
  <c r="C44" i="2" s="1"/>
  <c r="N73" i="25"/>
  <c r="D45" i="2"/>
  <c r="D75" i="25"/>
  <c r="D99" i="25" s="1"/>
  <c r="D103" i="25" s="1"/>
  <c r="D107" i="25" s="1"/>
  <c r="C32" i="3"/>
  <c r="N58" i="25" l="1"/>
  <c r="G43" i="1" s="1"/>
  <c r="C31" i="3"/>
  <c r="H31" i="3" s="1"/>
  <c r="C43" i="2"/>
  <c r="C43" i="1" s="1"/>
  <c r="H8" i="16" s="1"/>
  <c r="I31" i="3"/>
  <c r="J31" i="3" s="1"/>
  <c r="D44" i="2"/>
  <c r="D45" i="1"/>
  <c r="H32" i="3"/>
  <c r="C45" i="1"/>
  <c r="E12" i="10"/>
  <c r="F12" i="10"/>
  <c r="G12" i="10"/>
  <c r="H12" i="10"/>
  <c r="I12" i="10"/>
  <c r="J12" i="10"/>
  <c r="D12" i="10"/>
  <c r="C12" i="9"/>
  <c r="D12" i="9"/>
  <c r="E12" i="9"/>
  <c r="D39" i="2" l="1"/>
  <c r="D52" i="2" s="1"/>
  <c r="D44" i="1"/>
  <c r="C44" i="1"/>
  <c r="C39" i="2"/>
  <c r="C75" i="25"/>
  <c r="F45" i="1"/>
  <c r="E42" i="7"/>
  <c r="D42" i="7"/>
  <c r="C42" i="7"/>
  <c r="F41" i="7"/>
  <c r="F40" i="7"/>
  <c r="F39" i="7"/>
  <c r="F38" i="7"/>
  <c r="F37" i="7"/>
  <c r="F35" i="7"/>
  <c r="F34" i="7"/>
  <c r="F33" i="7"/>
  <c r="E32" i="7"/>
  <c r="D32" i="7"/>
  <c r="C32" i="7"/>
  <c r="F31" i="7"/>
  <c r="F30" i="7"/>
  <c r="F29" i="7"/>
  <c r="F28" i="7"/>
  <c r="F27" i="7"/>
  <c r="F26" i="7"/>
  <c r="E25" i="7"/>
  <c r="E36" i="7" s="1"/>
  <c r="E43" i="7" s="1"/>
  <c r="D25" i="7"/>
  <c r="D36" i="7" s="1"/>
  <c r="D43" i="7" s="1"/>
  <c r="C25" i="7"/>
  <c r="F20" i="7"/>
  <c r="F19" i="7"/>
  <c r="F16" i="7"/>
  <c r="F15" i="7"/>
  <c r="F14" i="7"/>
  <c r="D13" i="7"/>
  <c r="D22" i="7" s="1"/>
  <c r="C13" i="7"/>
  <c r="F12" i="7"/>
  <c r="F11" i="7"/>
  <c r="F10" i="7"/>
  <c r="F9" i="7"/>
  <c r="F8" i="7"/>
  <c r="F7" i="7"/>
  <c r="F6" i="7"/>
  <c r="F5" i="7"/>
  <c r="C27" i="3" l="1"/>
  <c r="N75" i="25"/>
  <c r="F44" i="1"/>
  <c r="P10" i="19" s="1"/>
  <c r="Q10" i="19" s="1"/>
  <c r="D39" i="1"/>
  <c r="I9" i="16"/>
  <c r="I16" i="16" s="1"/>
  <c r="I29" i="16" s="1"/>
  <c r="I31" i="16" s="1"/>
  <c r="P11" i="19"/>
  <c r="Q11" i="19" s="1"/>
  <c r="G44" i="1"/>
  <c r="H44" i="1" s="1"/>
  <c r="G45" i="1"/>
  <c r="H45" i="1" s="1"/>
  <c r="F25" i="7"/>
  <c r="F36" i="7" s="1"/>
  <c r="F43" i="7" s="1"/>
  <c r="F32" i="7"/>
  <c r="H9" i="16"/>
  <c r="K9" i="16" s="1"/>
  <c r="F42" i="7"/>
  <c r="C36" i="7"/>
  <c r="F13" i="7"/>
  <c r="C42" i="6"/>
  <c r="F41" i="6"/>
  <c r="F40" i="6"/>
  <c r="F39" i="6"/>
  <c r="F38" i="6"/>
  <c r="F37" i="6"/>
  <c r="C25" i="6"/>
  <c r="C36" i="6" s="1"/>
  <c r="F20" i="6"/>
  <c r="F19" i="6"/>
  <c r="F16" i="6"/>
  <c r="F15" i="6"/>
  <c r="F14" i="6"/>
  <c r="D18" i="6"/>
  <c r="C13" i="6"/>
  <c r="F12" i="6"/>
  <c r="F11" i="6"/>
  <c r="F10" i="6"/>
  <c r="F9" i="6"/>
  <c r="F8" i="6"/>
  <c r="F7" i="6"/>
  <c r="F6" i="6"/>
  <c r="F5" i="6"/>
  <c r="F13" i="6" l="1"/>
  <c r="F42" i="6"/>
  <c r="D17" i="6"/>
  <c r="D21" i="6" s="1"/>
  <c r="D22" i="6" s="1"/>
  <c r="I19" i="28"/>
  <c r="I25" i="28" s="1"/>
  <c r="I34" i="28" s="1"/>
  <c r="D52" i="1"/>
  <c r="D67" i="1"/>
  <c r="C43" i="7"/>
  <c r="C18" i="7" s="1"/>
  <c r="F18" i="7" s="1"/>
  <c r="F17" i="7" s="1"/>
  <c r="F21" i="7" s="1"/>
  <c r="F22" i="7" s="1"/>
  <c r="C43" i="6"/>
  <c r="L19" i="28" l="1"/>
  <c r="L25" i="28" s="1"/>
  <c r="L34" i="28" s="1"/>
  <c r="C17" i="7"/>
  <c r="C21" i="7" s="1"/>
  <c r="C13" i="5"/>
  <c r="C42" i="5"/>
  <c r="F41" i="5"/>
  <c r="F40" i="5"/>
  <c r="F39" i="5"/>
  <c r="F38" i="5"/>
  <c r="F37" i="5"/>
  <c r="F42" i="5" s="1"/>
  <c r="F35" i="5"/>
  <c r="F34" i="5"/>
  <c r="F33" i="5"/>
  <c r="F31" i="5"/>
  <c r="F30" i="5"/>
  <c r="F29" i="5"/>
  <c r="F28" i="5"/>
  <c r="F27" i="5"/>
  <c r="F26" i="5"/>
  <c r="E25" i="5"/>
  <c r="E36" i="5" s="1"/>
  <c r="E43" i="5" s="1"/>
  <c r="D25" i="5"/>
  <c r="D36" i="5" s="1"/>
  <c r="D43" i="5" s="1"/>
  <c r="C25" i="5"/>
  <c r="C36" i="5" s="1"/>
  <c r="F20" i="5"/>
  <c r="F19" i="5"/>
  <c r="F16" i="5"/>
  <c r="F15" i="5"/>
  <c r="F14" i="5"/>
  <c r="F12" i="5"/>
  <c r="F11" i="5"/>
  <c r="F10" i="5"/>
  <c r="F9" i="5"/>
  <c r="F8" i="5"/>
  <c r="F7" i="5"/>
  <c r="F6" i="5"/>
  <c r="F5" i="5"/>
  <c r="F13" i="5" l="1"/>
  <c r="F32" i="5"/>
  <c r="D18" i="5"/>
  <c r="C22" i="7"/>
  <c r="C43" i="5"/>
  <c r="F25" i="5"/>
  <c r="F36" i="5" s="1"/>
  <c r="F43" i="5" s="1"/>
  <c r="D17" i="5" l="1"/>
  <c r="D21" i="5" s="1"/>
  <c r="D22" i="5" s="1"/>
  <c r="K19" i="28"/>
  <c r="K25" i="28" s="1"/>
  <c r="K34" i="28" s="1"/>
  <c r="C18" i="5"/>
  <c r="J19" i="28" s="1"/>
  <c r="C42" i="4"/>
  <c r="F41" i="4"/>
  <c r="F40" i="4"/>
  <c r="F39" i="4"/>
  <c r="F38" i="4"/>
  <c r="F37" i="4"/>
  <c r="F35" i="4"/>
  <c r="F34" i="4"/>
  <c r="F33" i="4"/>
  <c r="E32" i="4"/>
  <c r="D32" i="4"/>
  <c r="C32" i="4"/>
  <c r="E25" i="4"/>
  <c r="D25" i="4"/>
  <c r="F20" i="4"/>
  <c r="F19" i="4"/>
  <c r="F16" i="4"/>
  <c r="F15" i="4"/>
  <c r="F14" i="4"/>
  <c r="C13" i="4"/>
  <c r="F12" i="4"/>
  <c r="F11" i="4"/>
  <c r="F10" i="4"/>
  <c r="F9" i="4"/>
  <c r="F8" i="4"/>
  <c r="F7" i="4"/>
  <c r="F6" i="4"/>
  <c r="F5" i="4"/>
  <c r="E36" i="4" l="1"/>
  <c r="E43" i="4" s="1"/>
  <c r="F42" i="4"/>
  <c r="C17" i="5"/>
  <c r="F18" i="5"/>
  <c r="F17" i="5" s="1"/>
  <c r="F21" i="5" s="1"/>
  <c r="F22" i="5" s="1"/>
  <c r="F13" i="4"/>
  <c r="F46" i="1"/>
  <c r="D36" i="4"/>
  <c r="D43" i="4" s="1"/>
  <c r="F32" i="4"/>
  <c r="F36" i="4" s="1"/>
  <c r="F43" i="4" s="1"/>
  <c r="D18" i="4"/>
  <c r="J25" i="28"/>
  <c r="J34" i="28" s="1"/>
  <c r="J74" i="26" s="1"/>
  <c r="J76" i="26" s="1"/>
  <c r="J105" i="25" s="1"/>
  <c r="J107" i="25" s="1"/>
  <c r="C21" i="5"/>
  <c r="L74" i="26"/>
  <c r="L76" i="26" s="1"/>
  <c r="L105" i="25" s="1"/>
  <c r="L107" i="25" s="1"/>
  <c r="E18" i="4"/>
  <c r="E17" i="4" s="1"/>
  <c r="E21" i="4" s="1"/>
  <c r="E22" i="4" s="1"/>
  <c r="D17" i="4" l="1"/>
  <c r="D21" i="4" s="1"/>
  <c r="D22" i="4" s="1"/>
  <c r="G19" i="28"/>
  <c r="G25" i="28" s="1"/>
  <c r="G34" i="28" s="1"/>
  <c r="P12" i="19"/>
  <c r="Q12" i="19" s="1"/>
  <c r="H46" i="1"/>
  <c r="D29" i="1"/>
  <c r="D28" i="1" s="1"/>
  <c r="E29" i="1"/>
  <c r="E28" i="1" s="1"/>
  <c r="E56" i="2"/>
  <c r="E55" i="2" s="1"/>
  <c r="F40" i="1"/>
  <c r="H40" i="1" s="1"/>
  <c r="C22" i="5"/>
  <c r="K5" i="16"/>
  <c r="D56" i="2" l="1"/>
  <c r="D55" i="2" s="1"/>
  <c r="E21" i="16"/>
  <c r="D21" i="16"/>
  <c r="D17" i="16" s="1"/>
  <c r="D28" i="16" s="1"/>
  <c r="D29" i="16" s="1"/>
  <c r="P6" i="19"/>
  <c r="Q6" i="19" s="1"/>
  <c r="E35" i="1"/>
  <c r="E33" i="1"/>
  <c r="E34" i="1" s="1"/>
  <c r="E30" i="16"/>
  <c r="E17" i="16"/>
  <c r="E28" i="16" s="1"/>
  <c r="E29" i="16" s="1"/>
  <c r="E56" i="1"/>
  <c r="E55" i="1" s="1"/>
  <c r="E60" i="2"/>
  <c r="E61" i="2" s="1"/>
  <c r="D60" i="2"/>
  <c r="D61" i="2" s="1"/>
  <c r="D33" i="1"/>
  <c r="D34" i="1" s="1"/>
  <c r="D35" i="1"/>
  <c r="F59" i="2"/>
  <c r="F57" i="2"/>
  <c r="F54" i="2"/>
  <c r="F53" i="2"/>
  <c r="F51" i="2"/>
  <c r="F50" i="2"/>
  <c r="F47" i="2"/>
  <c r="F46" i="2"/>
  <c r="F45" i="2"/>
  <c r="F41" i="2"/>
  <c r="F40" i="2"/>
  <c r="F32" i="2"/>
  <c r="F31" i="2"/>
  <c r="F30" i="2"/>
  <c r="F29" i="2"/>
  <c r="F28" i="2" s="1"/>
  <c r="F27" i="2"/>
  <c r="F26" i="2"/>
  <c r="F25" i="2"/>
  <c r="F23" i="2"/>
  <c r="F22" i="2"/>
  <c r="F21" i="2"/>
  <c r="F20" i="2"/>
  <c r="F11" i="2"/>
  <c r="F10" i="2"/>
  <c r="F9" i="2"/>
  <c r="F8" i="2"/>
  <c r="F5" i="2"/>
  <c r="D30" i="16" l="1"/>
  <c r="D31" i="16" s="1"/>
  <c r="D33" i="16" s="1"/>
  <c r="D56" i="1"/>
  <c r="D55" i="1" s="1"/>
  <c r="D60" i="1" s="1"/>
  <c r="D61" i="1" s="1"/>
  <c r="F44" i="2"/>
  <c r="E31" i="16"/>
  <c r="E33" i="16" s="1"/>
  <c r="E37" i="1"/>
  <c r="E62" i="1"/>
  <c r="E60" i="1"/>
  <c r="E61" i="1" s="1"/>
  <c r="D37" i="1"/>
  <c r="F33" i="2"/>
  <c r="F24" i="2"/>
  <c r="F7" i="2"/>
  <c r="E65" i="1" l="1"/>
  <c r="D62" i="1"/>
  <c r="D65" i="1" s="1"/>
  <c r="F34" i="2"/>
  <c r="F27" i="6"/>
  <c r="F29" i="6"/>
  <c r="F31" i="6"/>
  <c r="F33" i="6"/>
  <c r="F35" i="6"/>
  <c r="F28" i="6"/>
  <c r="F30" i="6"/>
  <c r="F34" i="6"/>
  <c r="F26" i="6"/>
  <c r="E25" i="6"/>
  <c r="E36" i="6" s="1"/>
  <c r="E43" i="6" s="1"/>
  <c r="D25" i="6"/>
  <c r="D36" i="6" s="1"/>
  <c r="D43" i="6" s="1"/>
  <c r="D66" i="1" l="1"/>
  <c r="F32" i="6"/>
  <c r="F25" i="6"/>
  <c r="F43" i="2"/>
  <c r="F36" i="6" l="1"/>
  <c r="F43" i="6" s="1"/>
  <c r="C18" i="6" s="1"/>
  <c r="H19" i="28" s="1"/>
  <c r="F43" i="1"/>
  <c r="C17" i="6" l="1"/>
  <c r="C21" i="6" s="1"/>
  <c r="F18" i="6"/>
  <c r="F17" i="6" s="1"/>
  <c r="F21" i="6" s="1"/>
  <c r="F22" i="6" s="1"/>
  <c r="P9" i="19"/>
  <c r="Q9" i="19" s="1"/>
  <c r="H43" i="1"/>
  <c r="H25" i="28"/>
  <c r="H34" i="28" s="1"/>
  <c r="K8" i="16"/>
  <c r="F42" i="2"/>
  <c r="H27" i="3" l="1"/>
  <c r="F39" i="2"/>
  <c r="C22" i="6"/>
  <c r="F17" i="17"/>
  <c r="H74" i="26" l="1"/>
  <c r="H76" i="26" s="1"/>
  <c r="H105" i="25" s="1"/>
  <c r="H107" i="25" s="1"/>
  <c r="F28" i="17"/>
  <c r="F29" i="17" l="1"/>
  <c r="C31" i="17"/>
  <c r="F31" i="17" l="1"/>
  <c r="C83" i="25"/>
  <c r="N83" i="25" s="1"/>
  <c r="C49" i="2" l="1"/>
  <c r="C35" i="3"/>
  <c r="H35" i="3" s="1"/>
  <c r="H34" i="3" s="1"/>
  <c r="H38" i="3" s="1"/>
  <c r="G49" i="1"/>
  <c r="I31" i="17" s="1"/>
  <c r="I33" i="16" s="1"/>
  <c r="C99" i="25"/>
  <c r="N99" i="25" s="1"/>
  <c r="G52" i="1" l="1"/>
  <c r="C34" i="3"/>
  <c r="C49" i="1"/>
  <c r="H5" i="17" s="1"/>
  <c r="C48" i="2"/>
  <c r="F49" i="2"/>
  <c r="F48" i="2" s="1"/>
  <c r="F52" i="2" s="1"/>
  <c r="F49" i="1" l="1"/>
  <c r="C48" i="1"/>
  <c r="C38" i="3"/>
  <c r="C52" i="2"/>
  <c r="F48" i="1" l="1"/>
  <c r="P14" i="19" s="1"/>
  <c r="Q14" i="19" s="1"/>
  <c r="H49" i="1"/>
  <c r="H28" i="17"/>
  <c r="P15" i="19"/>
  <c r="Q15" i="19" s="1"/>
  <c r="C68" i="1"/>
  <c r="F68" i="1" s="1"/>
  <c r="J31" i="17" l="1"/>
  <c r="J33" i="16" s="1"/>
  <c r="K5" i="17"/>
  <c r="H29" i="17"/>
  <c r="K28" i="17"/>
  <c r="H31" i="17" l="1"/>
  <c r="K31" i="17" s="1"/>
  <c r="K29" i="17"/>
  <c r="C42" i="1"/>
  <c r="F42" i="1" s="1"/>
  <c r="C41" i="1"/>
  <c r="C25" i="4"/>
  <c r="C36" i="4" s="1"/>
  <c r="P8" i="19" l="1"/>
  <c r="Q8" i="19" s="1"/>
  <c r="H42" i="1"/>
  <c r="F41" i="1"/>
  <c r="H41" i="1" s="1"/>
  <c r="C39" i="1"/>
  <c r="H6" i="16"/>
  <c r="H7" i="16"/>
  <c r="K7" i="16" s="1"/>
  <c r="C43" i="4" l="1"/>
  <c r="C67" i="1"/>
  <c r="F67" i="1" s="1"/>
  <c r="C52" i="1"/>
  <c r="K6" i="16"/>
  <c r="K16" i="16" s="1"/>
  <c r="H16" i="16"/>
  <c r="P7" i="19"/>
  <c r="Q7" i="19" s="1"/>
  <c r="F39" i="1"/>
  <c r="F52" i="1" l="1"/>
  <c r="P5" i="19"/>
  <c r="Q5" i="19" s="1"/>
  <c r="F18" i="4"/>
  <c r="C18" i="4"/>
  <c r="F19" i="28" s="1"/>
  <c r="H52" i="1" l="1"/>
  <c r="C29" i="1"/>
  <c r="C17" i="4"/>
  <c r="F17" i="4"/>
  <c r="F21" i="4" s="1"/>
  <c r="F22" i="4" s="1"/>
  <c r="P18" i="19"/>
  <c r="Q18" i="19" s="1"/>
  <c r="C21" i="4" l="1"/>
  <c r="C22" i="4" s="1"/>
  <c r="C56" i="2"/>
  <c r="C55" i="2" s="1"/>
  <c r="N19" i="28"/>
  <c r="G29" i="1" s="1"/>
  <c r="F25" i="28"/>
  <c r="C21" i="16"/>
  <c r="F29" i="1"/>
  <c r="C28" i="1"/>
  <c r="H29" i="1" l="1"/>
  <c r="C33" i="1"/>
  <c r="C34" i="1" s="1"/>
  <c r="C35" i="1"/>
  <c r="G28" i="1"/>
  <c r="G35" i="1"/>
  <c r="C30" i="16"/>
  <c r="F30" i="16" s="1"/>
  <c r="C17" i="16"/>
  <c r="C28" i="16" s="1"/>
  <c r="C29" i="16" s="1"/>
  <c r="F21" i="16"/>
  <c r="F17" i="16" s="1"/>
  <c r="F28" i="16" s="1"/>
  <c r="F29" i="16" s="1"/>
  <c r="F28" i="1"/>
  <c r="P29" i="18"/>
  <c r="Q29" i="18" s="1"/>
  <c r="N25" i="28"/>
  <c r="F34" i="28"/>
  <c r="F56" i="2"/>
  <c r="F55" i="2" s="1"/>
  <c r="C56" i="1"/>
  <c r="F31" i="16" l="1"/>
  <c r="F33" i="16" s="1"/>
  <c r="C62" i="1"/>
  <c r="F62" i="1" s="1"/>
  <c r="C55" i="1"/>
  <c r="C18" i="27"/>
  <c r="H28" i="1"/>
  <c r="C31" i="16"/>
  <c r="C33" i="16" s="1"/>
  <c r="C37" i="1"/>
  <c r="F74" i="26"/>
  <c r="F76" i="26" s="1"/>
  <c r="F105" i="25" s="1"/>
  <c r="F107" i="25" s="1"/>
  <c r="N34" i="28"/>
  <c r="H24" i="16"/>
  <c r="F56" i="1"/>
  <c r="F55" i="1" s="1"/>
  <c r="C60" i="2"/>
  <c r="C61" i="2" s="1"/>
  <c r="P28" i="18"/>
  <c r="Q28" i="18" s="1"/>
  <c r="F35" i="1"/>
  <c r="H35" i="1" s="1"/>
  <c r="F33" i="1"/>
  <c r="F34" i="1" l="1"/>
  <c r="F37" i="1" s="1"/>
  <c r="P33" i="18" s="1"/>
  <c r="Q33" i="18" s="1"/>
  <c r="P32" i="18"/>
  <c r="Q32" i="18" s="1"/>
  <c r="K24" i="16"/>
  <c r="H28" i="16"/>
  <c r="H30" i="16"/>
  <c r="K30" i="16" s="1"/>
  <c r="F60" i="2"/>
  <c r="F61" i="2" s="1"/>
  <c r="G61" i="2" s="1"/>
  <c r="P22" i="19"/>
  <c r="Q22" i="19" s="1"/>
  <c r="C60" i="1"/>
  <c r="C61" i="1" s="1"/>
  <c r="G33" i="1"/>
  <c r="H33" i="1" s="1"/>
  <c r="N74" i="26"/>
  <c r="N76" i="26" s="1"/>
  <c r="N105" i="25" s="1"/>
  <c r="G34" i="1"/>
  <c r="G37" i="1" l="1"/>
  <c r="H37" i="1" s="1"/>
  <c r="H34" i="1"/>
  <c r="C25" i="27"/>
  <c r="N18" i="27"/>
  <c r="G56" i="1" s="1"/>
  <c r="G55" i="1" s="1"/>
  <c r="C42" i="3"/>
  <c r="C41" i="3" s="1"/>
  <c r="K28" i="16"/>
  <c r="H29" i="16"/>
  <c r="F60" i="1"/>
  <c r="F61" i="1" s="1"/>
  <c r="F65" i="1" s="1"/>
  <c r="P21" i="19"/>
  <c r="Q21" i="19" s="1"/>
  <c r="C65" i="1"/>
  <c r="C66" i="1" s="1"/>
  <c r="F66" i="1" s="1"/>
  <c r="G62" i="1" l="1"/>
  <c r="H56" i="1"/>
  <c r="H62" i="1"/>
  <c r="P26" i="19"/>
  <c r="Q26" i="19" s="1"/>
  <c r="K29" i="16"/>
  <c r="H31" i="16"/>
  <c r="H42" i="3"/>
  <c r="C46" i="3"/>
  <c r="C47" i="3" s="1"/>
  <c r="N25" i="27"/>
  <c r="C34" i="27"/>
  <c r="K31" i="16" l="1"/>
  <c r="K33" i="16" s="1"/>
  <c r="K35" i="16" s="1"/>
  <c r="H33" i="16"/>
  <c r="H41" i="3"/>
  <c r="H46" i="3" s="1"/>
  <c r="H47" i="3" s="1"/>
  <c r="K47" i="3" s="1"/>
  <c r="C101" i="25"/>
  <c r="C103" i="25" s="1"/>
  <c r="C107" i="25" s="1"/>
  <c r="N34" i="27"/>
  <c r="P27" i="19" l="1"/>
  <c r="Q27" i="19" s="1"/>
  <c r="G60" i="1"/>
  <c r="H60" i="1" s="1"/>
  <c r="N101" i="25"/>
  <c r="N103" i="25" s="1"/>
  <c r="N107" i="25" s="1"/>
  <c r="G61" i="1"/>
  <c r="G65" i="1" l="1"/>
  <c r="G66" i="1" s="1"/>
  <c r="H61" i="1"/>
  <c r="H65" i="1" l="1"/>
</calcChain>
</file>

<file path=xl/comments1.xml><?xml version="1.0" encoding="utf-8"?>
<comments xmlns="http://schemas.openxmlformats.org/spreadsheetml/2006/main">
  <authors>
    <author>szabo.attila</author>
    <author>User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Hosszútávú közc. 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Közter+rendészet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Sárga Robi
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Védőnők helyettesítése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Anyakönyv 500.000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Közter túlóra
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Török Sándorné jubjut.
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Jelenikné Fülöp Lenke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Caffetéria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Caffetéria 6.800.000
Szemüveg, egyéb 200.000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Közter caffetéria
</t>
        </r>
      </text>
    </comment>
    <comment ref="L12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8 fő * 55.000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Közter munkábajárás, kiküldetés
</t>
        </r>
      </text>
    </comment>
    <comment ref="G15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Tóth László
dr. Horváth Anett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Tődőszürés
Nyári tábor
Piacfelügyelet
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Nyári tábor:1.500.000
ONKORMUT: 950.782
ASP: 737.704+661.977
VEKOP: 5.250.000
</t>
        </r>
      </text>
    </comment>
    <comment ref="G20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Választás jegyzőkönyvvezetők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díjak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Gyógyszer stb…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Magyar Közlöny 200.000
Szakkönyvek 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Irodaszer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Igazgatás: patron, anyakönyvi kivonatok300.000
Irodaszer
Adó: csekk, irodaszer, kábel, DDR,RAM, lábtámasz 7.000, iratmegsemmisítő 40.000, 3 db hangszóró 15.000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Mezőőri egyenruha B' 700.000
Közter egyenruha B' 700.000
üzemanyag
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CompuTREND Kft. 1 000 000   
CoSer Bt. 18 000 000   
eGovTanácsadó Kft. 474 798   
Háry Péter 18 000   
Vitarex Stúdió Kft. 729 513   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Vitarex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Igazgatás: Kiméra, helyi vizuál program 300.000
Debreceni Gergő 960.000
eKözig 155.000
E-Szoftverfejlesztő 400.000
EV2 150.000
Invert 140.000
Opten 1.000.000
Trembeczki 530.532
Egyéb ...
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DIGI Távközlési és Szolgáltató Kft. 357 804   
Gold Patrol Kft. 838 200   
Mikroháló Kft. 2 095 500   
Multi Alarm Zrt. 106 680   
Telenor Magyarország Zrt 6 000 000   
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FlexCom Kommunikációs Kft 45 720   
Gold Patrol Kft. 840 000   
Helpynet Kft. 1 257 300   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Telenor 2.000.000
Invitech 600.000
Flex Com 72.000
Egyéb ...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Közétkeztetés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Nyári tábor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Irodaház II. bérleti díj
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Mobil WC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Fénymásoló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Közter szőnyeg
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Eurovill Kft. 2 177 887   
Marton Szakértő Kft. 26 924   
OTIS Felvonó Kft. 578 820   
Pyro-Fób Tűzvédelmi és Szolgáltató Bt 500 000   
Sipiczki János 168 000   
Thüring Lift Kft. 251 460   
Tri-Ton Szervíz Bt. 94 701   
MegaProtect Service Biztonságtechnikai Kft.2.500.000
+ 20. sz. melléklet
</t>
        </r>
      </text>
    </comment>
    <comment ref="D35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20. sz. melléklet
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PC, nyomtató javítás  B' 200.000
Lőfegyver karbantartás B'160.000
Kamera karbantartás B' 160.000
Gáztartály B' 800.000
Egyéb karbantartás B' 1.000.000
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Cseuz László 2 754 250   
Dr. Takács Györgyi 730 000   
Fit-Med Egészségügyi Szolgáltató Kft 501 489   
Marthi Zsuzsanna 120 000   
Péceli Gyermekekért Bt. 1 060 000   
PERLA-PED KFT. 980 160   
Sourcing Hungary Szolgáltató Kft 1 706 108   
Imperial Tender Közbeszerzési és Tanácsadó Kft 3.810.00
Orvosi ügyelet 11.500.000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Amelion Kft. 3 657 600   
Budapesti Műszaki és Gazdaságtudományi Egyetem 2 032 000   
Cseuz László 2 874 000   
Dr. László Jenő Ügyvédi Iroda 3 810 000   
Dr. Várkonyi Ügyvédi Iroda 3 250 000   
Lévai András EV 1 700 000   
Orvosi nyílászáró: 1.003.881+1.500.000
ONKORMUT:Lévai 570.000 Disszemináció 254.000
IPARI PARK TERVEZŐ ÖNRÉSZ: 2.000.000
ASP: települési portál 236.848
Óvoda építés önrész: 50.262.631
VEKOP 27.547.000
EU alapellátás 8.277.000
Csapadékvíz elvezető pályázat 8.731.250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szabo.attila:
</t>
        </r>
        <r>
          <rPr>
            <sz val="9"/>
            <color indexed="81"/>
            <rFont val="Tahoma"/>
            <family val="2"/>
            <charset val="238"/>
          </rPr>
          <t xml:space="preserve">Alkalmassági 30.000
Gabala 1.680.000
Közpénz 600.000
Továbbképzés 200.000
NKE 1.000.000
Egyéb …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Közter pszichológiai alkalmassági
</t>
        </r>
      </text>
    </comment>
    <comment ref="C38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Litzler Bt. 889 000   
NHKV Zrt. 1 300 000   
SEPTOX Kft. 300 000   
Szomorú Szív Kft. 254 000   
Töves-Gold Magánnyomozó és Állatmentő Kft. 3 048 000   
Pressz 10.000.000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Erzsébet Utalványforgalmazó Zrt. 76 200   
Fon-Bau Kft. 891 670   
HAMSZA Hajózási, Közlekedési és Kereskedelmi Kft. 4 445 000   
Kortye Vilmos 3 810 000   
Sal Endre 4 321 163   
Szentirmai Zoltán e.v. 2 250 000   
Szlávik és Kolláth Kft. 1 651 000   
Szlávik és Kolláth Kft. 1 146 691   
SZ-T Építőmester Ipari. Kereskedelmi és Szolgáltató Kft. 6 858 000   
ONKORMUT: LUMIX 3.290.000
Ipari park önrész 29.777.778
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Posta ktg.
Igazgatás: Erzsébet utalvány posta ktg.</t>
        </r>
      </text>
    </comment>
    <comment ref="G38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Választás szállítás, stb…
</t>
        </r>
      </text>
    </comment>
    <comment ref="L38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Szállítás
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Merkantil áfa 335.151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DPMV ÁFA 71.650.000+13.477.900
Egyéb áfa: 01. hó 8.000.000+1.500.000x11 hó
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DPMV 327.886
</t>
        </r>
      </text>
    </comment>
    <comment ref="D47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Közfoglalkoztatottak bér 10%a
Merkantil kamat 153.857
Laci bácsi sport rendezvényei 450.000
GJ adó 60%: 929.621</t>
        </r>
      </text>
    </comment>
    <comment ref="F47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Artisjus 40.000
Egyéb …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Lőfegyver vizsga
Választás étel
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Segélyek
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Segély
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VEKOP: 97.732.666
Telekcsere: 16.400.000
vis maior támfal 22.022.461
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Office licence
Irattár PC+monitor 150.000
Adó 1 db nyomtató
</t>
        </r>
      </text>
    </comment>
    <comment ref="L78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Laptop
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Irodai szék 
Mikró 30.000
választási PC asztal 40.000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Közter:fényképező, memória kártya, olvasó, távcső, éjjellátó B' 150.000
egyéb tárgyi eszköz beszerzés B' 100.000
</t>
        </r>
      </text>
    </comment>
    <comment ref="L79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3 szék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Orvosi nyílászáró: 20.195.216
ONKORMUT: 47.247.910
vis maior 25.143.075
5 vis maior 198.287.361</t>
        </r>
      </text>
    </comment>
    <comment ref="D87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Orvosi nyílászáró: 5.652.708
</t>
        </r>
      </text>
    </comment>
  </commentList>
</comments>
</file>

<file path=xl/comments2.xml><?xml version="1.0" encoding="utf-8"?>
<comments xmlns="http://schemas.openxmlformats.org/spreadsheetml/2006/main">
  <authors>
    <author>szabo.attila</author>
  </authors>
  <commentList>
    <comment ref="C9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Iskolaorvos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ONKORMUT: 28.312.633
VEKOP: 130.529.666
vis maior támfal 22.628.767
5 vis maior 178.455.000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Úthasználati díj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DPMV 230.455.888
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Terembérlés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DPMV áfa: 62.223.090
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Esküvő
</t>
        </r>
      </text>
    </comment>
  </commentList>
</comments>
</file>

<file path=xl/comments3.xml><?xml version="1.0" encoding="utf-8"?>
<comments xmlns="http://schemas.openxmlformats.org/spreadsheetml/2006/main">
  <authors>
    <author>szabo.attila</author>
  </authors>
  <commentList>
    <comment ref="C17" authorId="0" shapeId="0">
      <text>
        <r>
          <rPr>
            <b/>
            <sz val="9"/>
            <color indexed="81"/>
            <rFont val="Tahoma"/>
            <charset val="1"/>
          </rPr>
          <t>szabo.attila:</t>
        </r>
        <r>
          <rPr>
            <sz val="9"/>
            <color indexed="81"/>
            <rFont val="Tahoma"/>
            <charset val="1"/>
          </rPr>
          <t xml:space="preserve">
Kincstári megeleőlegezés
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Merkantil Bank</t>
        </r>
      </text>
    </comment>
  </commentList>
</comments>
</file>

<file path=xl/comments4.xml><?xml version="1.0" encoding="utf-8"?>
<comments xmlns="http://schemas.openxmlformats.org/spreadsheetml/2006/main">
  <authors>
    <author>szabo.attila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  <charset val="238"/>
          </rPr>
          <t>szabo.attila:</t>
        </r>
        <r>
          <rPr>
            <sz val="9"/>
            <color indexed="81"/>
            <rFont val="Tahoma"/>
            <family val="2"/>
            <charset val="238"/>
          </rPr>
          <t xml:space="preserve">
Pályázatok 71 M</t>
        </r>
      </text>
    </comment>
  </commentList>
</comments>
</file>

<file path=xl/sharedStrings.xml><?xml version="1.0" encoding="utf-8"?>
<sst xmlns="http://schemas.openxmlformats.org/spreadsheetml/2006/main" count="1884" uniqueCount="729">
  <si>
    <t xml:space="preserve">Bevételek </t>
  </si>
  <si>
    <t>Sorszám</t>
  </si>
  <si>
    <t>Megnevezés</t>
  </si>
  <si>
    <t>összesen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</si>
  <si>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</si>
  <si>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</si>
  <si>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</si>
  <si>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</si>
  <si>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</si>
  <si>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ebből egyéb működési célú támogatások bevételei</t>
  </si>
  <si>
    <t>2.11</t>
  </si>
  <si>
    <t>-ebből oeptől átvett támogatások</t>
  </si>
  <si>
    <t>2.12</t>
  </si>
  <si>
    <t>-ebből társulásoktól átvett támogatások</t>
  </si>
  <si>
    <t>2.13</t>
  </si>
  <si>
    <t>-ebből elkülönített állami pénzalapoktól átvett támogatások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</si>
  <si>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</si>
  <si>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</si>
  <si>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</si>
  <si>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</si>
  <si>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</si>
  <si>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</si>
  <si>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</si>
  <si>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</si>
  <si>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</si>
  <si>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</si>
  <si>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</si>
  <si>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</si>
  <si>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</si>
  <si>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</si>
  <si>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</si>
  <si>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</si>
  <si>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</si>
  <si>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</si>
  <si>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</si>
  <si>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</si>
  <si>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</si>
  <si>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</si>
  <si>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</si>
  <si>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</si>
  <si>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</si>
  <si>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</si>
  <si>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</si>
  <si>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-ebből lekötött bankbetétek megszüntetése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</si>
  <si>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</si>
  <si>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</si>
  <si>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</si>
  <si>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</si>
  <si>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</si>
  <si>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</si>
  <si>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</si>
  <si>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</si>
  <si>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</si>
  <si>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- finanszírozás</t>
  </si>
  <si>
    <t>19.</t>
  </si>
  <si>
    <t>- lekötött bankbetétek megszüntetése</t>
  </si>
  <si>
    <t>20.</t>
  </si>
  <si>
    <t>Mindösszesen: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</si>
  <si>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</si>
  <si>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</si>
  <si>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</si>
  <si>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</si>
  <si>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</si>
  <si>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</si>
  <si>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</si>
  <si>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</si>
  <si>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</si>
  <si>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</si>
  <si>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</si>
  <si>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</si>
  <si>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</si>
  <si>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</si>
  <si>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</si>
  <si>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</si>
  <si>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</si>
  <si>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</si>
  <si>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</si>
  <si>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</si>
  <si>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</si>
  <si>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</si>
  <si>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</si>
  <si>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</si>
  <si>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</si>
  <si>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</si>
  <si>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</si>
  <si>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</si>
  <si>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- ebből irányítószervi támogatás</t>
  </si>
  <si>
    <t>Külföldi finanszírozás kiadásai</t>
  </si>
  <si>
    <t>FINANSZÍROZÁSI KIADÁSOK ÖSSZESEN:</t>
  </si>
  <si>
    <t>KÖLTSÉGVETÉSI ÉS FINANSZÍROZÁSI KIADÁSOK ÖSSZESEN:</t>
  </si>
  <si>
    <t>Költségvetési egyenleg</t>
  </si>
  <si>
    <r>
      <t>ebből:  Működési bevételek és kiadások  egyenlege</t>
    </r>
    <r>
      <rPr>
        <i/>
        <sz val="8"/>
        <color theme="1"/>
        <rFont val="Calibri"/>
        <family val="2"/>
        <charset val="238"/>
        <scheme val="minor"/>
      </rPr>
      <t xml:space="preserve">
 [Bevételek (1.+2.+4.+5.+7.+12.) - Kiadások(1.)]</t>
    </r>
  </si>
  <si>
    <r>
      <t xml:space="preserve">ebből: Felhalmozási bevételek és kiadások egyenlege  
</t>
    </r>
    <r>
      <rPr>
        <i/>
        <sz val="8"/>
        <color theme="1"/>
        <rFont val="Calibri"/>
        <family val="2"/>
        <charset val="238"/>
        <scheme val="minor"/>
      </rPr>
      <t>[Bevételek (6.+8.) - Kiadások(2.)]</t>
    </r>
  </si>
  <si>
    <t>adatok forintban</t>
  </si>
  <si>
    <t>Pécel Város Önkormányzatának költségvetése</t>
  </si>
  <si>
    <t>Kötelező feladat</t>
  </si>
  <si>
    <t>Önként vállalt feladat</t>
  </si>
  <si>
    <t>Állami feladat</t>
  </si>
  <si>
    <t>Összesen</t>
  </si>
  <si>
    <t>Maradvány igénybevétele B8131</t>
  </si>
  <si>
    <t>ssz.</t>
  </si>
  <si>
    <t>Önkormányzat</t>
  </si>
  <si>
    <t>Védőnői szolgálat</t>
  </si>
  <si>
    <t>Önkormányzat összesen</t>
  </si>
  <si>
    <t>Felhalmozási célú támogatások áll.házt.belülről</t>
  </si>
  <si>
    <t>Működési bevételek B4</t>
  </si>
  <si>
    <t>- ebből központi irányítószervi támogatás</t>
  </si>
  <si>
    <t>Személyi juttatások K1</t>
  </si>
  <si>
    <t>Munkaadókat terhelő járulékok és szociális hozz.adó  K2</t>
  </si>
  <si>
    <t>Dologi kiadások K3</t>
  </si>
  <si>
    <t>Ellátottak pénzbeli juttatásai K4</t>
  </si>
  <si>
    <t>Egyéb működési kiadások  K5</t>
  </si>
  <si>
    <t>Tartalékok K512</t>
  </si>
  <si>
    <t>Beruházások K6</t>
  </si>
  <si>
    <t>Belföldi finanszírozás kiadásai K9</t>
  </si>
  <si>
    <t>Péceli Polgármesteri Hivatal költségvetése</t>
  </si>
  <si>
    <t>Működési célú támogatások államháztartáson belülrőlB1</t>
  </si>
  <si>
    <t>Felhalmozási célú támogatások áll.házt. belülről</t>
  </si>
  <si>
    <t>ebből irányítószervi támogatás</t>
  </si>
  <si>
    <t>Lázár Ervin Városi Könyvtár és Szemere Pál Művelődési Ház költségvetése</t>
  </si>
  <si>
    <t>Pécel Város Óvodái és Bölcsődéje költségvetése</t>
  </si>
  <si>
    <t>sorszám</t>
  </si>
  <si>
    <t>megnevezés</t>
  </si>
  <si>
    <t>megjegyzés</t>
  </si>
  <si>
    <t>Céltartalék</t>
  </si>
  <si>
    <t>Polgármesteri keret</t>
  </si>
  <si>
    <t>Általános tartalék</t>
  </si>
  <si>
    <t>Fejlesztési céltartalék</t>
  </si>
  <si>
    <t>-ebből Általános fejlesztési tartalék</t>
  </si>
  <si>
    <t>-ebből Környezetvédelmi alap</t>
  </si>
  <si>
    <t>Tartalékok összesen:</t>
  </si>
  <si>
    <t>tőketörlesztés</t>
  </si>
  <si>
    <t>kamat</t>
  </si>
  <si>
    <t>Összesen:</t>
  </si>
  <si>
    <t>Hitel futamidő vége</t>
  </si>
  <si>
    <t>Pécel Város Önkormányzatának fennálló több évre kiható kötelezettségvállalásainak részletezése</t>
  </si>
  <si>
    <t>Civil szervezetek támogatása</t>
  </si>
  <si>
    <t>ebből: ellátottak térítési díjának, kártérítésének méltányossági alapon történő elengedése</t>
  </si>
  <si>
    <t>ebből: lakásépítéshez, lakásfelújításhoz nyújtott kölcsön elengedése</t>
  </si>
  <si>
    <t>ebből: a helyiségek, eszközök hasznosításából származó bevételből nyújtott kedvezmény, mentesség összege</t>
  </si>
  <si>
    <t>Átengedett központi adóból</t>
  </si>
  <si>
    <t>3.1</t>
  </si>
  <si>
    <t xml:space="preserve"> Pécel Város  Önkormányzata bevételeiből</t>
  </si>
  <si>
    <t>eredeti előirányzat</t>
  </si>
  <si>
    <t xml:space="preserve">Rendszeres települési támogatások </t>
  </si>
  <si>
    <t>Települési adósságcsökkentési támogatás</t>
  </si>
  <si>
    <t>Települési ápoláshoz kapcsolódó rendszeres támogatás</t>
  </si>
  <si>
    <t>Települési lakhatáshoz kapcsolódó rendszeres támogatás</t>
  </si>
  <si>
    <t>Családi napközi támogatás</t>
  </si>
  <si>
    <t>Kamatmentes kölcsön</t>
  </si>
  <si>
    <t xml:space="preserve">Nem rendszeres települési támogatások  </t>
  </si>
  <si>
    <t>Rendkívüli települési támogatás</t>
  </si>
  <si>
    <t>Köztemetés</t>
  </si>
  <si>
    <t>Támogatások összesen:</t>
  </si>
  <si>
    <t>álláshely</t>
  </si>
  <si>
    <t>ebből: - köztisztviselő</t>
  </si>
  <si>
    <t>4/a.</t>
  </si>
  <si>
    <t>4/b.</t>
  </si>
  <si>
    <t xml:space="preserve">Pécel Város Önkormányzata </t>
  </si>
  <si>
    <t>tájékoztató adatok</t>
  </si>
  <si>
    <t>Beruházás előirányzata</t>
  </si>
  <si>
    <t>Bevételek</t>
  </si>
  <si>
    <t>Támogatás</t>
  </si>
  <si>
    <t>-ebből előleg</t>
  </si>
  <si>
    <t>Önrész</t>
  </si>
  <si>
    <t>-ebből támogatási szerződés szerint elszámolandó</t>
  </si>
  <si>
    <t>Beruházás</t>
  </si>
  <si>
    <t>Szolgáltatások költsége</t>
  </si>
  <si>
    <t>-ebből projekt előkészítés</t>
  </si>
  <si>
    <t>-ebből projekt menedzsment költsége</t>
  </si>
  <si>
    <t>Eszközbeszerzés</t>
  </si>
  <si>
    <t>Működési célú támogatások áll.házt.belülről</t>
  </si>
  <si>
    <t>Munkaadókat terhelő járulékok és szociális hozzájárulási adó</t>
  </si>
  <si>
    <t>Dologi kiadások</t>
  </si>
  <si>
    <t>Ellátottak pénzbeli juttatása</t>
  </si>
  <si>
    <t>Egyéb működési célú kiadások</t>
  </si>
  <si>
    <t>MŰKÖDÉSI CÉLÚ KÖLTSÉGVETÉSI BEVÉTELEK ÖSSZESEN:</t>
  </si>
  <si>
    <t>MŰKÖDÉSI CÉLÚ KÖLTSÉGVETÉSI KIADÁSOK ÖSSZESEN:</t>
  </si>
  <si>
    <t>Hiány belső finanszírozásának bevételei</t>
  </si>
  <si>
    <t>Értékpapír vásárlása,visszavásárlása</t>
  </si>
  <si>
    <t>13.1</t>
  </si>
  <si>
    <t>Költségvetési maradvány igénybevétele</t>
  </si>
  <si>
    <t>Likviditási célú hitelek törlesztése</t>
  </si>
  <si>
    <t>13.2</t>
  </si>
  <si>
    <t>Vállalkozási maradvány igénybevétele</t>
  </si>
  <si>
    <t>Rövid lejáratú hitelek törlesztése</t>
  </si>
  <si>
    <t>13.3</t>
  </si>
  <si>
    <t>Betét visszavonásából származó bevétel</t>
  </si>
  <si>
    <t>Hosszú lejáratú hitelek törlesztése</t>
  </si>
  <si>
    <t>13.4</t>
  </si>
  <si>
    <t>Egyéb belső finanszírozási bevételek</t>
  </si>
  <si>
    <t>Kölcsön törlesztése</t>
  </si>
  <si>
    <t>Hiány külső finanszírozásának bevételei</t>
  </si>
  <si>
    <t>Forgatási célú értékpapírok vásárlása</t>
  </si>
  <si>
    <t>14.1</t>
  </si>
  <si>
    <t>Likviditási célú hitelek kölcsönök felvétele</t>
  </si>
  <si>
    <t>Betét elhelyezése</t>
  </si>
  <si>
    <t>14.2</t>
  </si>
  <si>
    <t>Értékpapírok bevételei</t>
  </si>
  <si>
    <t>14.3</t>
  </si>
  <si>
    <t>Egyéb külső finanszírozási bevételek</t>
  </si>
  <si>
    <t>MŰKÖDÉSI CÉLÚ FINANSZÍROZÁSI BEVÉTELEK ÖSSZESEN:</t>
  </si>
  <si>
    <t>MŰKÖDÉSI CÉLÚ FINANSZÍROZÁSI KIADÁSOK ÖSSZESEN:</t>
  </si>
  <si>
    <t>BEVÉTELEK  ÖSSZESEN:</t>
  </si>
  <si>
    <t>KIADÁSOK ÖSSZESEN:</t>
  </si>
  <si>
    <t>Finanszírozás nélkül</t>
  </si>
  <si>
    <t>MINDÖSSZESEN:</t>
  </si>
  <si>
    <t>Felhalmozási célú támogatások államháztartáson belülről</t>
  </si>
  <si>
    <t>Egyéb felhalmozási kiadások</t>
  </si>
  <si>
    <t>Egyéb felhalmozási célú bevételek</t>
  </si>
  <si>
    <t>FELHALMOZÁSI CÉLÚ KÖLTSÉGVETÉSI BEVÉTELEK ÖSSZESEN:</t>
  </si>
  <si>
    <t>Hitelek törlesztése</t>
  </si>
  <si>
    <t>Befektetési célú értékpapírok vásárlása</t>
  </si>
  <si>
    <t>Hosszú lejáratú hitelek,kölcsönök felvétele</t>
  </si>
  <si>
    <t>Likviditási célú hitelek,kölcsönök felvétele</t>
  </si>
  <si>
    <t>Pénzügyi lizing kiadásai</t>
  </si>
  <si>
    <t>Rövid lejáratú hitelek,kölcsönök felvétele</t>
  </si>
  <si>
    <t>Értékpapírok kibocsátása</t>
  </si>
  <si>
    <t>FELHALMOZÁSI CÉLÚ FINANSZÍROZÁSI BEVÉTELEK ÖSSZESEN:</t>
  </si>
  <si>
    <t>FELHALMOZÁSI CÉLÚ FINANSZÍROZÁSI KIADÁSOK ÖSSZESEN:</t>
  </si>
  <si>
    <t>január</t>
  </si>
  <si>
    <t>február</t>
  </si>
  <si>
    <t>március</t>
  </si>
  <si>
    <t>április</t>
  </si>
  <si>
    <t>május</t>
  </si>
  <si>
    <t>junius</t>
  </si>
  <si>
    <t>július</t>
  </si>
  <si>
    <t>augusztus</t>
  </si>
  <si>
    <t>szeptember</t>
  </si>
  <si>
    <t>október</t>
  </si>
  <si>
    <t>november</t>
  </si>
  <si>
    <t>december</t>
  </si>
  <si>
    <t>összesen:</t>
  </si>
  <si>
    <t xml:space="preserve">Munkaadókat terh.járulékok és szoc.hozz.adó  </t>
  </si>
  <si>
    <t>Hitel, kölcsöntörl. államházt. kívülre</t>
  </si>
  <si>
    <t>Intézmény</t>
  </si>
  <si>
    <t>Bruttó összeg</t>
  </si>
  <si>
    <t>1</t>
  </si>
  <si>
    <t>2</t>
  </si>
  <si>
    <t>4</t>
  </si>
  <si>
    <t>5</t>
  </si>
  <si>
    <t>6</t>
  </si>
  <si>
    <t>8</t>
  </si>
  <si>
    <t>9</t>
  </si>
  <si>
    <t>10</t>
  </si>
  <si>
    <t>Pécel Város Önkormányzata</t>
  </si>
  <si>
    <t>Péceli Család- és Gyermekjóléti Szolgálat költségvetése</t>
  </si>
  <si>
    <t>Péceli Polgármesteri Hivatal</t>
  </si>
  <si>
    <t>Pécel Város Óvodái és Bölcsődéje</t>
  </si>
  <si>
    <t>4/c.</t>
  </si>
  <si>
    <t>4/d.</t>
  </si>
  <si>
    <t>- polgármester, alpolgármester</t>
  </si>
  <si>
    <t>- védőnők</t>
  </si>
  <si>
    <t>2.4</t>
  </si>
  <si>
    <t>2.5</t>
  </si>
  <si>
    <t>Magánszemélyek kommunális adója</t>
  </si>
  <si>
    <t>Késedelmi pótlék</t>
  </si>
  <si>
    <t>-</t>
  </si>
  <si>
    <t xml:space="preserve">Bursa Hungarica </t>
  </si>
  <si>
    <t>Óvoda telekcsere</t>
  </si>
  <si>
    <t>- ebből kommunálisadó</t>
  </si>
  <si>
    <t>- ebből talajterhelési díj</t>
  </si>
  <si>
    <t>- ebből pótlék, bírság</t>
  </si>
  <si>
    <t>01 - K1-K8. Költségvetési kiadások</t>
  </si>
  <si>
    <t>Hivatal</t>
  </si>
  <si>
    <t>PVOB</t>
  </si>
  <si>
    <t>Könyvtár</t>
  </si>
  <si>
    <t>Családsegítő</t>
  </si>
  <si>
    <t>#</t>
  </si>
  <si>
    <t>Eredeti előirányzat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</si>
  <si>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</si>
  <si>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</si>
  <si>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</si>
  <si>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</si>
  <si>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</si>
  <si>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</si>
  <si>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</si>
  <si>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</si>
  <si>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</si>
  <si>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</si>
  <si>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</si>
  <si>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</si>
  <si>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</si>
  <si>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</si>
  <si>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</si>
  <si>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</si>
  <si>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</si>
  <si>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</si>
  <si>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</si>
  <si>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</si>
  <si>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</si>
  <si>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</si>
  <si>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</si>
  <si>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</si>
  <si>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(K1113)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</si>
  <si>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</si>
  <si>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</si>
  <si>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</si>
  <si>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</si>
  <si>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</si>
  <si>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</si>
  <si>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</si>
  <si>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</si>
  <si>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</si>
  <si>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</si>
  <si>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</si>
  <si>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</si>
  <si>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</si>
  <si>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(K2)</t>
  </si>
  <si>
    <t>21</t>
  </si>
  <si>
    <t>Szakmai anyagok beszerzése (K311)</t>
  </si>
  <si>
    <t>22</t>
  </si>
  <si>
    <t>Üzemeltetési anyagok beszerzése (K312)</t>
  </si>
  <si>
    <t>23</t>
  </si>
  <si>
    <t>Árubeszerzés (K313)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</si>
  <si>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</si>
  <si>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</si>
  <si>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</si>
  <si>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</si>
  <si>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</si>
  <si>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</si>
  <si>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</si>
  <si>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</si>
  <si>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</si>
  <si>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</si>
  <si>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29</t>
  </si>
  <si>
    <t>Vásárolt élelmezés (K332)</t>
  </si>
  <si>
    <t>30</t>
  </si>
  <si>
    <t>Bérleti és lízing díjak (K333)</t>
  </si>
  <si>
    <t>31</t>
  </si>
  <si>
    <t>Karbantartási, kisjavítási szolgáltatások (K334)</t>
  </si>
  <si>
    <t>32</t>
  </si>
  <si>
    <t>Közvetített szolgáltatások (K335)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</si>
  <si>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</si>
  <si>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</si>
  <si>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</si>
  <si>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</si>
  <si>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</si>
  <si>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</si>
  <si>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36</t>
  </si>
  <si>
    <t>Kiküldetések kiadásai (K341)</t>
  </si>
  <si>
    <t>37</t>
  </si>
  <si>
    <t>Reklám- és propagandakiadások (K342)</t>
  </si>
  <si>
    <t>38</t>
  </si>
  <si>
    <t>Kiküldetések, reklám- és propagandakiadások (=36+37) (K34)</t>
  </si>
  <si>
    <t>39</t>
  </si>
  <si>
    <t>Működési célú előzetesen felszámított általános forgalmi adó (K351)</t>
  </si>
  <si>
    <t>40</t>
  </si>
  <si>
    <t>Fizetendő általános forgalmi adó  (K352)</t>
  </si>
  <si>
    <t>41</t>
  </si>
  <si>
    <t>Kamatkiadások  (K353)</t>
  </si>
  <si>
    <t>42</t>
  </si>
  <si>
    <t>Egyéb pénzügyi műveletek kiadásai (K354)</t>
  </si>
  <si>
    <t>43</t>
  </si>
  <si>
    <t>Egyéb dologi kiadások (K355)</t>
  </si>
  <si>
    <t>44</t>
  </si>
  <si>
    <t>Különféle befizetések és egyéb dologi kiadások (=39+…+43) (K35)</t>
  </si>
  <si>
    <t>45</t>
  </si>
  <si>
    <t>Dologi kiadások (=24+27+35+38+44) (K3)</t>
  </si>
  <si>
    <t>46</t>
  </si>
  <si>
    <t>Társadalombiztosítási ellátások (K41)</t>
  </si>
  <si>
    <t>47</t>
  </si>
  <si>
    <t>Családi támogatások (K42)</t>
  </si>
  <si>
    <t>48</t>
  </si>
  <si>
    <t>Pénzbeli kárpótlások, kártérítések (K43)</t>
  </si>
  <si>
    <t>49</t>
  </si>
  <si>
    <t>Betegséggel kapcsolatos (nem társadalombiztosítási) ellátások (K44)</t>
  </si>
  <si>
    <t>50</t>
  </si>
  <si>
    <t>Foglalkoztatással, munkanélküliséggel kapcsolatos ellátások (K45)</t>
  </si>
  <si>
    <t>51</t>
  </si>
  <si>
    <t>Lakhatással kapcsolatos ellátások (K46)</t>
  </si>
  <si>
    <t>52</t>
  </si>
  <si>
    <t>Intézményi ellátottak pénzbeli juttatásai (K47)</t>
  </si>
  <si>
    <t>53</t>
  </si>
  <si>
    <t>Egyéb nem intézményi ellátások (K48)</t>
  </si>
  <si>
    <t>54</t>
  </si>
  <si>
    <t>Ellátottak pénzbeli juttatásai (=46+...+53) (K4)</t>
  </si>
  <si>
    <t>55</t>
  </si>
  <si>
    <t>Nemzetközi kötelezettségek (K501)</t>
  </si>
  <si>
    <t>56</t>
  </si>
  <si>
    <t>A helyi önkormányzatok előző évi elszámolásából származó kiadások (K5021)</t>
  </si>
  <si>
    <t>57</t>
  </si>
  <si>
    <t>A helyi önkormányzatok törvényi előíráson alapuló befizetései (K5022)</t>
  </si>
  <si>
    <t>58</t>
  </si>
  <si>
    <t>Egyéb elvonások, befizetések (K5023)</t>
  </si>
  <si>
    <t>59</t>
  </si>
  <si>
    <t>Elvonások és befizetések (=56+57+58) (K502)</t>
  </si>
  <si>
    <t>60</t>
  </si>
  <si>
    <t>Működési célú garancia- és kezességvállalásból származó kifizetés államháztartáson belülre (K503)</t>
  </si>
  <si>
    <t>61</t>
  </si>
  <si>
    <t>Működési célú visszatérítendő támogatások, kölcsönök nyújtása államháztartáson belülre (K504)</t>
  </si>
  <si>
    <t>62</t>
  </si>
  <si>
    <t>Működési célú visszatérítendő támogatások, kölcsönök törlesztése államháztartáson belülre (K505)</t>
  </si>
  <si>
    <t>63</t>
  </si>
  <si>
    <t>Egyéb működési célú támogatások államháztartáson belülre (K506)</t>
  </si>
  <si>
    <t>64</t>
  </si>
  <si>
    <t>Működési célú garancia- és kezességvállalásból származó kifizetés államháztartáson kívülre (K507)</t>
  </si>
  <si>
    <t>65</t>
  </si>
  <si>
    <t>Működési célú visszatérítendő támogatások, kölcsönök nyújtása államháztartáson kívülre (K508)</t>
  </si>
  <si>
    <t>66</t>
  </si>
  <si>
    <t>Árkiegészítések, ártámogatások (K509)</t>
  </si>
  <si>
    <t>67</t>
  </si>
  <si>
    <t>Kamattámogatások (K510)</t>
  </si>
  <si>
    <t>68</t>
  </si>
  <si>
    <t>Működési célú támogatások az Európai Uniónak (K511)</t>
  </si>
  <si>
    <t>69</t>
  </si>
  <si>
    <t>Egyéb működési célú támogatások államháztartáson kívülre (K512)</t>
  </si>
  <si>
    <t>70</t>
  </si>
  <si>
    <t>Tartalékok (K513)</t>
  </si>
  <si>
    <t>71</t>
  </si>
  <si>
    <t>Egyéb működési célú kiadások (=55+59+…+70) (K5)</t>
  </si>
  <si>
    <t>72</t>
  </si>
  <si>
    <t>Immateriális javak beszerzése, létesítése (K61)</t>
  </si>
  <si>
    <t>73</t>
  </si>
  <si>
    <t>Ingatlanok beszerzése, létesítése (K62)</t>
  </si>
  <si>
    <t>74</t>
  </si>
  <si>
    <t>Informatikai eszközök beszerzése, létesítése (K63)</t>
  </si>
  <si>
    <t>75</t>
  </si>
  <si>
    <t>Egyéb tárgyi eszközök beszerzése, létesítése (K64)</t>
  </si>
  <si>
    <t>76</t>
  </si>
  <si>
    <t>Részesedések beszerzése (K65)</t>
  </si>
  <si>
    <t>77</t>
  </si>
  <si>
    <t>Meglévő részesedések növeléséhez kapcsolódó kiadások (K66)</t>
  </si>
  <si>
    <t>78</t>
  </si>
  <si>
    <t>Beruházási célú előzetesen felszámított általános forgalmi adó (K67)</t>
  </si>
  <si>
    <t>79</t>
  </si>
  <si>
    <t>Beruházások (=72+…+78) (K6)</t>
  </si>
  <si>
    <t>80</t>
  </si>
  <si>
    <t>Ingatlanok felújítása (K71)</t>
  </si>
  <si>
    <t>81</t>
  </si>
  <si>
    <t>Informatikai eszközök felújítása (K72)</t>
  </si>
  <si>
    <t>82</t>
  </si>
  <si>
    <t>Egyéb tárgyi eszközök felújítása  (K73)</t>
  </si>
  <si>
    <t>83</t>
  </si>
  <si>
    <t>Felújítási célú előzetesen felszámított általános forgalmi adó (K74)</t>
  </si>
  <si>
    <t>84</t>
  </si>
  <si>
    <t>Felújítások (=80+...+83) (K7)</t>
  </si>
  <si>
    <t>85</t>
  </si>
  <si>
    <t>Felhalmozási célú garancia- és kezességvállalásból származó kifizetés államháztartáson belülre (K81)</t>
  </si>
  <si>
    <t>86</t>
  </si>
  <si>
    <t>Felhalmozási célú visszatérítendő támogatások, kölcsönök nyújtása államháztartáson belülre (K82)</t>
  </si>
  <si>
    <t>87</t>
  </si>
  <si>
    <t>Felhalmozási célú visszatérítendő támogatások, kölcsönök törlesztése államháztartáson belülre (K83)</t>
  </si>
  <si>
    <t>88</t>
  </si>
  <si>
    <t>Egyéb felhalmozási célú támogatások államháztartáson belülre (K84)</t>
  </si>
  <si>
    <t>89</t>
  </si>
  <si>
    <t>Felhalmozási célú garancia- és kezességvállalásból származó kifizetés államháztartáson kívülre (K85)</t>
  </si>
  <si>
    <t>90</t>
  </si>
  <si>
    <t>Felhalmozási célú visszatérítendő támogatások, kölcsönök nyújtása államháztartáson kívülre (K86)</t>
  </si>
  <si>
    <t>91</t>
  </si>
  <si>
    <t>Lakástámogatás (K87)</t>
  </si>
  <si>
    <t>92</t>
  </si>
  <si>
    <t>Felhalmozási célú támogatások az Európai Uniónak (K88)</t>
  </si>
  <si>
    <t>93</t>
  </si>
  <si>
    <t>Egyéb felhalmozási célú támogatások államháztartáson kívülre  (K89)</t>
  </si>
  <si>
    <t>94</t>
  </si>
  <si>
    <t>Egyéb felhalmozási célú kiadások (=85+…+93) (K8)</t>
  </si>
  <si>
    <t>95</t>
  </si>
  <si>
    <t>Költségvetési kiadások (=19+20+45+54+71+79+84+94)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</si>
  <si>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</si>
  <si>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</si>
  <si>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</si>
  <si>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</si>
  <si>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</si>
  <si>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</si>
  <si>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</si>
  <si>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</si>
  <si>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</si>
  <si>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</si>
  <si>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</si>
  <si>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</si>
  <si>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Működési célú támogatások államháztartáson belülről (=07+…+12)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</si>
  <si>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</si>
  <si>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</si>
  <si>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</si>
  <si>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</si>
  <si>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</si>
  <si>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Felhalmozási célú támogatások államháztartáson belülről (=14+…+18) (B2)</t>
  </si>
  <si>
    <t>Magánszemélyek jövedelemadói (B311)</t>
  </si>
  <si>
    <t>Társaságok jövedelemadói  (B312)</t>
  </si>
  <si>
    <t>Jövedelemadók (=20+21) (B31)</t>
  </si>
  <si>
    <t>Szociális hozzájárulási adó és járulékok (B32)</t>
  </si>
  <si>
    <t>Bérhez és foglalkoztatáshoz kapcsolódó adók (B33)</t>
  </si>
  <si>
    <t>Vagyoni tipusú adók  (B34)</t>
  </si>
  <si>
    <t>Értékesítési és forgalmi adók  (B351)</t>
  </si>
  <si>
    <t>Fogyasztási adók  (B352)</t>
  </si>
  <si>
    <t>Pénzügyi monopóliumok nyereségét terhelő adók  (B353)</t>
  </si>
  <si>
    <t>Gépjárműadók (B354)</t>
  </si>
  <si>
    <t>Egyéb áruhasználati és szolgáltatási adók  (B355)</t>
  </si>
  <si>
    <t>Termékek és szolgáltatások adói (=26+…+30)  (B35)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</si>
  <si>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</si>
  <si>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</si>
  <si>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</si>
  <si>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</si>
  <si>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</si>
  <si>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</si>
  <si>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</si>
  <si>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</si>
  <si>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</si>
  <si>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(B4081)</t>
  </si>
  <si>
    <t>Egyéb kapott (járó) kamatok és kamatjellegű bevételek (B4082)</t>
  </si>
  <si>
    <t>Kamatbevételek és más nyereségjellegű bevételek (=41+42) (B408)</t>
  </si>
  <si>
    <t>Részesedésekből származó pénzügyi műveletek bevételei (B4091)</t>
  </si>
  <si>
    <t>Más egyéb pénzügyi műveletek bevételei (B4092)</t>
  </si>
  <si>
    <t>Egyéb pénzügyi műveletek bevételei (=44+45) (B409)</t>
  </si>
  <si>
    <t>Biztosító által fizetett kártérítés (B410)</t>
  </si>
  <si>
    <t>Egyéb működési bevételek (B411)</t>
  </si>
  <si>
    <t>Működési bevételek (=34+…+40+43+46+...+48) (B4)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</si>
  <si>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</si>
  <si>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</si>
  <si>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</si>
  <si>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</si>
  <si>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</si>
  <si>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bevételek (=50+…+54)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</si>
  <si>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</si>
  <si>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</si>
  <si>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</si>
  <si>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</si>
  <si>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</si>
  <si>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Működési célú átvett pénzeszközök (=56+…+60)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</si>
  <si>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</si>
  <si>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</si>
  <si>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</si>
  <si>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(B74)</t>
  </si>
  <si>
    <t>Egyéb felhalmozási célú átvett pénzeszközök (B75)</t>
  </si>
  <si>
    <t>Felhalmozási célú átvett pénzeszközök (=62+…+66) (B7)</t>
  </si>
  <si>
    <t>Költségvetési bevételek (=13+19+33+49+55+61+67) (B1-B7)</t>
  </si>
  <si>
    <t>Hosszú lejáratú hitelek, kölcsönök törlesztése pénzügyi vállalkozásnak (K9111)</t>
  </si>
  <si>
    <t>Likviditási célú hitelek, kölcsönök törlesztése pénzügyi vállalkozásnak (K9112)</t>
  </si>
  <si>
    <t>Rövid lejáratú hitelek, kölcsönök törlesztése pénzügyi vállalkozásnak (K9113)</t>
  </si>
  <si>
    <t>Hitel-, kölcsöntörlesztés államháztartáson kívülre (=01+02+03) (K911)</t>
  </si>
  <si>
    <t>Forgatási célú belföldi értékpapírok vásárlása (K9121)</t>
  </si>
  <si>
    <t>Befektetési célú belföldi értékpapírok vásárlása (K9122)</t>
  </si>
  <si>
    <t>Kincstárjegyek beváltása (K9123)</t>
  </si>
  <si>
    <t>Éven belüli lejáratú belföldi értékpapírok beváltása (K9124)</t>
  </si>
  <si>
    <t>Belföldi kötvények beváltása (K9125)</t>
  </si>
  <si>
    <t>Éven túli lejáratú belföldi értékpapírok beváltása (K9126)</t>
  </si>
  <si>
    <t>Belföldi értékpapírok kiadásai (=05+…+10)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</si>
  <si>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</si>
  <si>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</si>
  <si>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</si>
  <si>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</si>
  <si>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</si>
  <si>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</si>
  <si>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</si>
  <si>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</si>
  <si>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(=18+19) (K919)</t>
  </si>
  <si>
    <t>Belföldi finanszírozás kiadásai (=04+11+…+17+20) (K91)</t>
  </si>
  <si>
    <t>Forgatási célú külföldi értékpapírok vásárlása (K921)</t>
  </si>
  <si>
    <t>Befektetési célú külföldi értékpapírok vásárlása (K922)</t>
  </si>
  <si>
    <t>Külföldi értékpapírok beváltása (K923)</t>
  </si>
  <si>
    <t>Hitelek, kölcsönök törlesztése külföldi kormányoknak és nemzetközi szervezeteknek (K924)</t>
  </si>
  <si>
    <t>Hitelek, kölcsönök törlesztése külföldi pénzintézeteknek (K925)</t>
  </si>
  <si>
    <t>Külföldi finanszírozás kiadásai (=22+…+26) (K92)</t>
  </si>
  <si>
    <t>Adóssághoz nem kapcsolódó származékos ügyletek kiadásai (K93)</t>
  </si>
  <si>
    <t>Váltókiadások (K94)</t>
  </si>
  <si>
    <t>Finanszírozási kiadások (=21+27+28+29)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</si>
  <si>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</si>
  <si>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</si>
  <si>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</si>
  <si>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</si>
  <si>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</si>
  <si>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</si>
  <si>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</si>
  <si>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</si>
  <si>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(=05+..+08) (B812)</t>
  </si>
  <si>
    <t>Előző év költségvetési maradványának igénybevétele (B8131)</t>
  </si>
  <si>
    <t>Előző év vállalkozási maradványának igénybevétele (B8132)</t>
  </si>
  <si>
    <t>Maradvány igénybevétele (=10+11)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</si>
  <si>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</si>
  <si>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</si>
  <si>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</si>
  <si>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</si>
  <si>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</si>
  <si>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</si>
  <si>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</si>
  <si>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(=18+19) (B819)</t>
  </si>
  <si>
    <t>Belföldi finanszírozás bevételei (=04+09+12+…+17+20)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</si>
  <si>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</si>
  <si>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</si>
  <si>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</si>
  <si>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</si>
  <si>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</si>
  <si>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(=22+…+26) (B82)</t>
  </si>
  <si>
    <t>Adóssághoz nem kapcsolódó származékos ügyletek bevételei (B83)</t>
  </si>
  <si>
    <t>Váltóbevételek (B84)</t>
  </si>
  <si>
    <t>Finanszírozási bevételek (=21+27+28+29) (B8)</t>
  </si>
  <si>
    <t>02 - B1-B7. Költségvetési bevételek</t>
  </si>
  <si>
    <t>03 - K9. Finanszírozási kiadások</t>
  </si>
  <si>
    <t>04 - B8.  Finanszírozási bevételek</t>
  </si>
  <si>
    <t>Közlekedési koncepció I. részlet</t>
  </si>
  <si>
    <t>Rét utcai híd javítása</t>
  </si>
  <si>
    <t>Tas vezér utcán kiemelt szegély építése</t>
  </si>
  <si>
    <t>3</t>
  </si>
  <si>
    <t>7</t>
  </si>
  <si>
    <t>Útszélesítés kiépítése József A. u. - Maglódi út torkolatánál</t>
  </si>
  <si>
    <t>-ebből vis maior önrész</t>
  </si>
  <si>
    <t>Pécel Város Önkormányzata és költségvetési szerveinek költségvetése</t>
  </si>
  <si>
    <t>-ebből OEP-től átvett támogatások</t>
  </si>
  <si>
    <t>- ebből magánszemélyek kommunális adója</t>
  </si>
  <si>
    <t>Folyószámlahitel, kölcsöntörlesztés államháztartáson kívülre</t>
  </si>
  <si>
    <t xml:space="preserve">Működési célú támogatások államháztartáson belülről </t>
  </si>
  <si>
    <t xml:space="preserve">-ebből OEP-től átvett támogatások </t>
  </si>
  <si>
    <t xml:space="preserve">Működési célú támogatások áll.házt. belülről </t>
  </si>
  <si>
    <t xml:space="preserve">Működési bevételek </t>
  </si>
  <si>
    <t xml:space="preserve">Felhalmozási bevételek </t>
  </si>
  <si>
    <t xml:space="preserve">Maradvány igénybevétele </t>
  </si>
  <si>
    <t>Pécel Város Önkormányzata és az önkormányzati irányíás alatt álló költségvetési szervek egyéb sajátos bevételeiből</t>
  </si>
  <si>
    <t>ebből: egyéb nyújtott kedvezmény vagy kölcsön elengedésének összege</t>
  </si>
  <si>
    <t xml:space="preserve">Iparűzési adó </t>
  </si>
  <si>
    <t>Építményadó</t>
  </si>
  <si>
    <t>Telekadó</t>
  </si>
  <si>
    <t>Gépjárműadó</t>
  </si>
  <si>
    <t>- munka törvénykönyve hatálya alá tartozó</t>
  </si>
  <si>
    <t xml:space="preserve">             - munka törvénykönyve hatálya alá tartozó</t>
  </si>
  <si>
    <t>Lázár Ervin Városi Könyvtár és Szemere Pál Művelődési Ház (közalkalmazott)</t>
  </si>
  <si>
    <t>Gesztenyés Óvoda (közalkalmazott)</t>
  </si>
  <si>
    <t>Napsugár Bölcsőde (közalkalmazott)</t>
  </si>
  <si>
    <t xml:space="preserve">Kimutatás az európai uniós támogatásokkal megvalósuló projektekről </t>
  </si>
  <si>
    <t>Egészségügyi települési támogatás</t>
  </si>
  <si>
    <t xml:space="preserve"> létszám (fő)</t>
  </si>
  <si>
    <t>ebből: - közalkalmazott</t>
  </si>
  <si>
    <t xml:space="preserve">Péceli Család- és Gyermekjóléti Szolgálat </t>
  </si>
  <si>
    <t xml:space="preserve">Finanszírozás </t>
  </si>
  <si>
    <t>Székhelyintézmény (közalkalmazott)</t>
  </si>
  <si>
    <t>2018. évi összevont bevételi és kiadási kiemelt előirányzatonként</t>
  </si>
  <si>
    <t>2018. évi  bevételi és kiadási kiemelt előirányzatonként</t>
  </si>
  <si>
    <t>2018. évi  bevételi és kiadási kiemelt feladatonként</t>
  </si>
  <si>
    <t>Tájékoztató  melléklet az önkormányzat 2018. évi költségvetéséről szóló  ../2018 (….) rendeletéhez</t>
  </si>
  <si>
    <t>Tájékoztató melléklet az önkormányzat 2018. évi költségvetéséről szóló  ../2018 (….) rendeletéhez</t>
  </si>
  <si>
    <t>Pécel Város Önkormányzata összesített 2018. évi működési  bevételei és kiadásai</t>
  </si>
  <si>
    <t>Pécel Város Önkormányzata összesített 2018. évi felhalmozási  bevételei és kiadásai</t>
  </si>
  <si>
    <t>Pécel Város Önkormányzatának 2018. évi bevételi előirányzat felhasználási ütemterve</t>
  </si>
  <si>
    <t>Pécel Város Önkormányzatának 2018. évi kiadási előirányzat felhasználási ütemterve</t>
  </si>
  <si>
    <t>2018.évi fejlesztések, beruházások:</t>
  </si>
  <si>
    <t>Pécel Város Önkormányzata 2018. évre tervezett szociális ellátásainak részletezése</t>
  </si>
  <si>
    <t>Pécel  Város Önkormányzata és költségvetési szervei engedélyezett létszámkerete 2018-ben</t>
  </si>
  <si>
    <t>teljes munkaidős (fő)</t>
  </si>
  <si>
    <t>részmunka- idős (fő)</t>
  </si>
  <si>
    <t>Pécel Város Önkormányzatának 2018. évi kötelezettségei</t>
  </si>
  <si>
    <t>Pécel Város Önkormányzata 2018. évi tartalékok részletezése</t>
  </si>
  <si>
    <t>Pécel Város Önkormányzatának 2018. évi működési célú pénzeszköz átadása államháztartáson kívülre, civil és egyéb szervezetek részére</t>
  </si>
  <si>
    <t xml:space="preserve">Pécel Város Önkormányzatának 2018. évi közvetett támogatásai </t>
  </si>
  <si>
    <t>PM_ONKORMUT_2016 (útépítés) - részben pályázati forrásból</t>
  </si>
  <si>
    <t>Rét utcai buszmegálló javítása, helyi járat megállók fejlesztése</t>
  </si>
  <si>
    <t>Maglódi út buszforduló javítása</t>
  </si>
  <si>
    <t>Közvilágítás bővítése</t>
  </si>
  <si>
    <t>VEKOP 6.2.2 pályázat - részben pályázati forrásból</t>
  </si>
  <si>
    <t>Hősök útja támfal - részben pályázati forrásból</t>
  </si>
  <si>
    <t>Orvosi rendelő energetikai korszerűsítése - részben pályázati forrásból</t>
  </si>
  <si>
    <t>PM_EUALAPELLATAS_2017 (orvosi rendelő építése) - részben pályázati forrásból</t>
  </si>
  <si>
    <t>Közterületen faültetések, szemeteskukák elhelyezése</t>
  </si>
  <si>
    <t>Napsugár bölcsőde füstelvezető, lapostető javítás</t>
  </si>
  <si>
    <t>Orvosi rendelő elektromos hálózat felújítása</t>
  </si>
  <si>
    <t>Pekáry kastély gázmérő áthelyezés, tető javítás</t>
  </si>
  <si>
    <t>Start mintaprogram beruházásai - pályázati forrásból</t>
  </si>
  <si>
    <t>Száraz-hegyen védett övezetet jelző táblák</t>
  </si>
  <si>
    <t xml:space="preserve"> </t>
  </si>
  <si>
    <t>2018. eredeti előirányzat</t>
  </si>
  <si>
    <t>VEKOP - 6.2.2-15-2016-00005  - a leromlott településrészeken élő alacsony státuszú lakosság életkörülményeinek javítása, társadalmi és fizikai rehabilitációja Pest megyében tárgyú pályázat - teljes költség</t>
  </si>
  <si>
    <t>K62</t>
  </si>
  <si>
    <t>K71</t>
  </si>
  <si>
    <t>K73</t>
  </si>
  <si>
    <t>K64</t>
  </si>
  <si>
    <t xml:space="preserve"> kiadások</t>
  </si>
  <si>
    <t>bevételek</t>
  </si>
  <si>
    <t>KTM</t>
  </si>
  <si>
    <t>K334</t>
  </si>
  <si>
    <t>KM</t>
  </si>
  <si>
    <t>-óvodai kapacitás bővítés</t>
  </si>
  <si>
    <t>2017-ben érk.</t>
  </si>
  <si>
    <t>2018-ban várjuk</t>
  </si>
  <si>
    <t>beruh.</t>
  </si>
  <si>
    <t>maradv.</t>
  </si>
  <si>
    <t>támogatás.</t>
  </si>
  <si>
    <t>honnan vegyem a forrását???</t>
  </si>
  <si>
    <t>Göngyöleg</t>
  </si>
  <si>
    <t>Védőnők</t>
  </si>
  <si>
    <t>Ellenőrzés</t>
  </si>
  <si>
    <t>2018.01.01. - 2018.05.15.</t>
  </si>
  <si>
    <t>- ebből pénzügyi lízing kiadásai</t>
  </si>
  <si>
    <t>- ebből kincstári megelőlegezés visszafizetése</t>
  </si>
  <si>
    <t>Pályázat</t>
  </si>
  <si>
    <t>- ebből Lakóépület felújítása, korszrűsítése alap</t>
  </si>
  <si>
    <t>- ebből Közműfejlesztési alap</t>
  </si>
  <si>
    <t>-ebből Útfenntartási (emelt szintű útfelújítás) alap</t>
  </si>
  <si>
    <t>?</t>
  </si>
  <si>
    <t>K336/K351</t>
  </si>
  <si>
    <t>K62/K64+ B25</t>
  </si>
  <si>
    <t>PVOB székhely lépcső, tető széldeszka és vizesblokk, Gesztenyés óvoda felújítás</t>
  </si>
  <si>
    <t>Új óvodai építés önereje</t>
  </si>
  <si>
    <t>PMH esővízcsatorna felújítás, részleges nyílászáró csere</t>
  </si>
  <si>
    <t>Kincstári megelőlegezés visszafizetése</t>
  </si>
  <si>
    <t>ebből pénzügyi lízing kiadásai</t>
  </si>
  <si>
    <t>ebből kincstári megelőlegezés visszafizetése</t>
  </si>
  <si>
    <t>2018.05.16 - 2018.12.31.</t>
  </si>
  <si>
    <t>-ebből szakmai megvalósítás költsége</t>
  </si>
  <si>
    <t>KÖFOP-1.2.1-VEKOP-16-2017-01272 azonosító számú pályázat-(ASP rendszer csatlakozása) teljes költség</t>
  </si>
  <si>
    <t>Pécel Üzemeltető Kft. fenntartói támogatása</t>
  </si>
  <si>
    <t>Ipartestületek Országos Szövetsége támogatása</t>
  </si>
  <si>
    <t>Létfenntartási települési támogatás</t>
  </si>
  <si>
    <t>Temetési települési támogatás</t>
  </si>
  <si>
    <t>Szivárvány Óvoda (közalkalmazott)</t>
  </si>
  <si>
    <t>Volánbusz Zrt. költségtérítési hozzájárulása</t>
  </si>
  <si>
    <t>Péceli Rendezvényszervező, Ingatlanhasznosító és -fejlesztő Kft. deminimis támogatása</t>
  </si>
  <si>
    <t>Péceli Polgárőrség Bűnmegelőzési és Önvédelmi Egyesülete működési támogatása</t>
  </si>
  <si>
    <t>Ray-Med Kft. működési célú támogatása</t>
  </si>
  <si>
    <t>Gödöllő-Vác Térségi Környezetvédelmi  és Vízgazdálkodási Társulat önkormányzati hozzájárulása</t>
  </si>
  <si>
    <t>Millenniumi Nemzeti Hagyományőrző Alapítvány működési célú támogatása</t>
  </si>
  <si>
    <t>1.  melléklet az 5/2018. (III. 9.) önkormányzati rendelethez</t>
  </si>
  <si>
    <t>2.  melléklet az 5/2018. (III. 9.) önkormányzati rendelethez</t>
  </si>
  <si>
    <t>3.  melléklet az 5/2018. (III. 9.) önkormányzati rendelethez</t>
  </si>
  <si>
    <t>4. melléklet az 5/2018. (III. 9.) önkormányzati rendelethez</t>
  </si>
  <si>
    <t>5.  melléklet az 5/2018. (III. 9.) önkormányzati rendelethez</t>
  </si>
  <si>
    <t>6.  melléklet az 5/2018. (III. 9.) önkormányzati rendelethez</t>
  </si>
  <si>
    <t>7.  melléklet az 5/2018. (III. 9.) önkormányzati rendelethez</t>
  </si>
  <si>
    <t>8.  melléklet az 5/2018. (III. 9.) önkormányzati rendelethez</t>
  </si>
  <si>
    <t>9.  melléklet az 5/2018. (III. 9.) önkormányzati rendelethez</t>
  </si>
  <si>
    <t>10.  melléklet az 5/2018. (III. 9.) önkormányzati rendelethez</t>
  </si>
  <si>
    <t>11.  melléklet az 5/2018. (III. 9.) önkormányzati rendelethez</t>
  </si>
  <si>
    <t>13.  melléklet az 5/2018. (III. 9.) önkormányzati rendelethez</t>
  </si>
  <si>
    <t>14.  melléklet az 5/2018. (III. 9.) önkormányzati rendelethez</t>
  </si>
  <si>
    <t>15.  melléklet az 5/2018. (III. 9.) önkormányzati rendelethez</t>
  </si>
  <si>
    <t>16.  melléklet az 5/2018. (III. 9.) önkormányzati rendelethez</t>
  </si>
  <si>
    <t>17.  melléklet az 5/2018. (III. 9.) önkormányzati rendelethez</t>
  </si>
  <si>
    <t>18.  melléklet az 5/2018. (III. 9.) önkormányzati rendelethez</t>
  </si>
  <si>
    <t>20.  melléklet az 5/2018. (III. 9.) önkormányzati rendelethez</t>
  </si>
  <si>
    <t>12.  melléklet az 5/2018. (III. 9.) önkormányzati rendelethez</t>
  </si>
  <si>
    <t>19.  melléklet az 5/2018. (III. 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</si>
</sst>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3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8"/>
      <color indexed="8"/>
      <name val="Calibri"/>
      <family val="2"/>
      <charset val="238"/>
    </font>
    <font>
      <b/>
      <i/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"/>
      <family val="2"/>
      <charset val="238"/>
    </font>
    <font>
      <sz val="8"/>
      <color rgb="FF333333"/>
      <name val="Verdana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7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35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0" fillId="0" borderId="0" xfId="0" applyNumberForma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3" fontId="3" fillId="0" borderId="1" xfId="0" applyNumberFormat="1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3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3" fontId="5" fillId="0" borderId="3" xfId="0" applyNumberFormat="1" applyFont="1" applyBorder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3" fontId="6" fillId="0" borderId="1" xfId="0" applyNumberFormat="1" applyFont="1" applyBorder="1"/>
    <xf numFmtId="3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0" xfId="0" applyNumberFormat="1" applyFont="1"/>
    <xf numFmtId="3" fontId="6" fillId="0" borderId="5" xfId="0" applyNumberFormat="1" applyFont="1" applyBorder="1" applyAlignment="1"/>
    <xf numFmtId="3" fontId="8" fillId="0" borderId="1" xfId="0" applyNumberFormat="1" applyFont="1" applyBorder="1" applyAlignment="1"/>
    <xf numFmtId="0" fontId="0" fillId="0" borderId="0" xfId="0" applyAlignment="1">
      <alignment vertical="center" wrapText="1"/>
    </xf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3" fontId="5" fillId="0" borderId="0" xfId="0" applyNumberFormat="1" applyFont="1" applyBorder="1"/>
    <xf numFmtId="1" fontId="3" fillId="0" borderId="0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11" fillId="0" borderId="1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/>
    <xf numFmtId="0" fontId="3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2" fillId="0" borderId="0" xfId="0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/>
    <xf numFmtId="0" fontId="0" fillId="0" borderId="0" xfId="0" applyFont="1"/>
    <xf numFmtId="49" fontId="3" fillId="0" borderId="1" xfId="0" applyNumberFormat="1" applyFont="1" applyBorder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/>
    <xf numFmtId="49" fontId="5" fillId="0" borderId="1" xfId="0" applyNumberFormat="1" applyFont="1" applyBorder="1"/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left" wrapText="1"/>
    </xf>
    <xf numFmtId="3" fontId="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5" fillId="0" borderId="1" xfId="0" applyFont="1" applyBorder="1" applyAlignment="1"/>
    <xf numFmtId="3" fontId="6" fillId="0" borderId="1" xfId="0" applyNumberFormat="1" applyFont="1" applyBorder="1" applyAlignment="1">
      <alignment horizontal="right"/>
    </xf>
    <xf numFmtId="0" fontId="8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wrapText="1"/>
    </xf>
    <xf numFmtId="3" fontId="15" fillId="0" borderId="1" xfId="0" applyNumberFormat="1" applyFont="1" applyBorder="1"/>
    <xf numFmtId="3" fontId="16" fillId="0" borderId="1" xfId="0" applyNumberFormat="1" applyFont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/>
    <xf numFmtId="0" fontId="10" fillId="0" borderId="1" xfId="0" applyFont="1" applyBorder="1"/>
    <xf numFmtId="0" fontId="10" fillId="0" borderId="1" xfId="0" applyFont="1" applyBorder="1" applyAlignment="1"/>
    <xf numFmtId="49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Border="1"/>
    <xf numFmtId="3" fontId="12" fillId="0" borderId="1" xfId="0" applyNumberFormat="1" applyFont="1" applyBorder="1" applyAlignment="1"/>
    <xf numFmtId="3" fontId="10" fillId="0" borderId="1" xfId="0" applyNumberFormat="1" applyFont="1" applyBorder="1" applyAlignment="1">
      <alignment wrapText="1"/>
    </xf>
    <xf numFmtId="0" fontId="10" fillId="0" borderId="0" xfId="0" applyFont="1"/>
    <xf numFmtId="0" fontId="4" fillId="0" borderId="0" xfId="0" applyFont="1" applyAlignment="1">
      <alignment horizont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2" fontId="4" fillId="0" borderId="1" xfId="0" applyNumberFormat="1" applyFont="1" applyBorder="1"/>
    <xf numFmtId="0" fontId="4" fillId="0" borderId="1" xfId="0" applyFont="1" applyFill="1" applyBorder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/>
    <xf numFmtId="0" fontId="11" fillId="0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49" fontId="11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Border="1" applyAlignment="1"/>
    <xf numFmtId="3" fontId="14" fillId="0" borderId="0" xfId="0" applyNumberFormat="1" applyFont="1"/>
    <xf numFmtId="0" fontId="7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/>
    <xf numFmtId="49" fontId="1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17" fillId="0" borderId="0" xfId="1"/>
    <xf numFmtId="0" fontId="18" fillId="2" borderId="1" xfId="1" applyFont="1" applyFill="1" applyBorder="1" applyAlignment="1">
      <alignment horizontal="center" vertical="top" wrapText="1"/>
    </xf>
    <xf numFmtId="3" fontId="20" fillId="0" borderId="1" xfId="1" applyNumberFormat="1" applyFont="1" applyBorder="1" applyAlignment="1">
      <alignment horizontal="right" vertical="top" wrapText="1"/>
    </xf>
    <xf numFmtId="3" fontId="22" fillId="0" borderId="1" xfId="1" applyNumberFormat="1" applyFont="1" applyBorder="1" applyAlignment="1">
      <alignment horizontal="right" vertical="top" wrapText="1"/>
    </xf>
    <xf numFmtId="0" fontId="23" fillId="0" borderId="0" xfId="1" applyFont="1"/>
    <xf numFmtId="3" fontId="17" fillId="0" borderId="0" xfId="1" applyNumberFormat="1"/>
    <xf numFmtId="3" fontId="3" fillId="0" borderId="1" xfId="0" applyNumberFormat="1" applyFont="1" applyBorder="1" applyAlignment="1"/>
    <xf numFmtId="3" fontId="5" fillId="0" borderId="1" xfId="0" applyNumberFormat="1" applyFont="1" applyBorder="1" applyAlignment="1"/>
    <xf numFmtId="0" fontId="1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/>
    <xf numFmtId="3" fontId="20" fillId="0" borderId="0" xfId="1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17" fillId="0" borderId="0" xfId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Fill="1" applyAlignment="1">
      <alignment vertical="center" wrapText="1"/>
    </xf>
    <xf numFmtId="0" fontId="25" fillId="0" borderId="0" xfId="0" applyFont="1"/>
    <xf numFmtId="164" fontId="0" fillId="0" borderId="0" xfId="0" applyNumberFormat="1"/>
    <xf numFmtId="164" fontId="5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3" fontId="23" fillId="0" borderId="0" xfId="1" applyNumberFormat="1" applyFont="1"/>
    <xf numFmtId="0" fontId="10" fillId="0" borderId="0" xfId="0" applyFont="1" applyBorder="1" applyAlignment="1"/>
    <xf numFmtId="3" fontId="0" fillId="0" borderId="0" xfId="0" applyNumberFormat="1" applyFont="1" applyBorder="1" applyAlignment="1">
      <alignment wrapText="1"/>
    </xf>
    <xf numFmtId="3" fontId="0" fillId="0" borderId="0" xfId="0" applyNumberFormat="1" applyFont="1" applyBorder="1"/>
    <xf numFmtId="3" fontId="12" fillId="0" borderId="0" xfId="0" applyNumberFormat="1" applyFont="1" applyBorder="1" applyAlignment="1"/>
    <xf numFmtId="3" fontId="10" fillId="0" borderId="0" xfId="0" applyNumberFormat="1" applyFont="1" applyBorder="1" applyAlignment="1">
      <alignment wrapText="1"/>
    </xf>
    <xf numFmtId="49" fontId="26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wrapText="1"/>
    </xf>
    <xf numFmtId="0" fontId="27" fillId="0" borderId="1" xfId="0" applyFont="1" applyBorder="1"/>
    <xf numFmtId="3" fontId="28" fillId="0" borderId="1" xfId="0" applyNumberFormat="1" applyFont="1" applyBorder="1" applyAlignment="1"/>
    <xf numFmtId="3" fontId="28" fillId="0" borderId="0" xfId="0" applyNumberFormat="1" applyFont="1" applyBorder="1" applyAlignment="1"/>
    <xf numFmtId="0" fontId="27" fillId="0" borderId="0" xfId="0" applyFont="1"/>
    <xf numFmtId="3" fontId="16" fillId="0" borderId="0" xfId="0" applyNumberFormat="1" applyFont="1" applyBorder="1"/>
    <xf numFmtId="0" fontId="29" fillId="0" borderId="0" xfId="1" applyFont="1"/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3" fontId="10" fillId="0" borderId="0" xfId="0" applyNumberFormat="1" applyFont="1"/>
    <xf numFmtId="0" fontId="6" fillId="0" borderId="0" xfId="0" applyFont="1"/>
    <xf numFmtId="3" fontId="6" fillId="0" borderId="0" xfId="0" applyNumberFormat="1" applyFont="1"/>
    <xf numFmtId="164" fontId="3" fillId="0" borderId="0" xfId="0" applyNumberFormat="1" applyFont="1" applyAlignment="1">
      <alignment wrapText="1"/>
    </xf>
    <xf numFmtId="0" fontId="6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/>
    <xf numFmtId="0" fontId="3" fillId="0" borderId="1" xfId="0" applyFont="1" applyBorder="1" applyAlignment="1"/>
    <xf numFmtId="164" fontId="3" fillId="0" borderId="1" xfId="0" applyNumberFormat="1" applyFont="1" applyBorder="1"/>
    <xf numFmtId="164" fontId="3" fillId="0" borderId="1" xfId="0" applyNumberFormat="1" applyFont="1" applyBorder="1" applyAlignment="1"/>
    <xf numFmtId="164" fontId="5" fillId="0" borderId="1" xfId="0" applyNumberFormat="1" applyFont="1" applyBorder="1"/>
    <xf numFmtId="2" fontId="11" fillId="0" borderId="12" xfId="0" applyNumberFormat="1" applyFont="1" applyBorder="1" applyAlignment="1">
      <alignment horizontal="center"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right"/>
    </xf>
    <xf numFmtId="2" fontId="4" fillId="0" borderId="13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2" fontId="11" fillId="0" borderId="13" xfId="0" applyNumberFormat="1" applyFont="1" applyBorder="1" applyAlignment="1">
      <alignment horizontal="right"/>
    </xf>
    <xf numFmtId="2" fontId="11" fillId="0" borderId="13" xfId="0" applyNumberFormat="1" applyFont="1" applyBorder="1"/>
    <xf numFmtId="2" fontId="4" fillId="0" borderId="13" xfId="0" applyNumberFormat="1" applyFont="1" applyBorder="1"/>
    <xf numFmtId="2" fontId="4" fillId="0" borderId="14" xfId="0" applyNumberFormat="1" applyFont="1" applyFill="1" applyBorder="1"/>
    <xf numFmtId="2" fontId="4" fillId="0" borderId="15" xfId="0" applyNumberFormat="1" applyFont="1" applyFill="1" applyBorder="1"/>
    <xf numFmtId="2" fontId="4" fillId="0" borderId="16" xfId="0" applyNumberFormat="1" applyFont="1" applyFill="1" applyBorder="1"/>
    <xf numFmtId="0" fontId="12" fillId="0" borderId="9" xfId="0" applyFont="1" applyBorder="1"/>
    <xf numFmtId="0" fontId="12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11" fillId="0" borderId="12" xfId="0" applyFont="1" applyBorder="1" applyAlignment="1">
      <alignment horizontal="center"/>
    </xf>
    <xf numFmtId="49" fontId="11" fillId="0" borderId="13" xfId="0" applyNumberFormat="1" applyFont="1" applyBorder="1"/>
    <xf numFmtId="16" fontId="11" fillId="0" borderId="12" xfId="0" applyNumberFormat="1" applyFont="1" applyBorder="1" applyAlignment="1">
      <alignment horizontal="center"/>
    </xf>
    <xf numFmtId="0" fontId="11" fillId="0" borderId="13" xfId="0" applyFont="1" applyBorder="1"/>
    <xf numFmtId="0" fontId="7" fillId="0" borderId="14" xfId="0" applyFont="1" applyBorder="1"/>
    <xf numFmtId="0" fontId="4" fillId="0" borderId="16" xfId="0" applyFont="1" applyFill="1" applyBorder="1"/>
    <xf numFmtId="49" fontId="3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horizontal="right"/>
    </xf>
    <xf numFmtId="164" fontId="0" fillId="0" borderId="1" xfId="0" applyNumberFormat="1" applyBorder="1"/>
    <xf numFmtId="164" fontId="10" fillId="0" borderId="1" xfId="0" applyNumberFormat="1" applyFont="1" applyBorder="1"/>
    <xf numFmtId="0" fontId="0" fillId="0" borderId="1" xfId="0" applyBorder="1" applyAlignment="1">
      <alignment horizontal="center"/>
    </xf>
    <xf numFmtId="0" fontId="18" fillId="2" borderId="2" xfId="1" applyFont="1" applyFill="1" applyBorder="1" applyAlignment="1">
      <alignment horizontal="center" vertical="top" wrapText="1"/>
    </xf>
    <xf numFmtId="3" fontId="0" fillId="3" borderId="1" xfId="0" applyNumberFormat="1" applyFill="1" applyBorder="1" applyAlignment="1">
      <alignment wrapText="1"/>
    </xf>
    <xf numFmtId="3" fontId="0" fillId="3" borderId="1" xfId="0" applyNumberFormat="1" applyFont="1" applyFill="1" applyBorder="1"/>
    <xf numFmtId="3" fontId="12" fillId="3" borderId="1" xfId="0" applyNumberFormat="1" applyFont="1" applyFill="1" applyBorder="1" applyAlignment="1"/>
    <xf numFmtId="3" fontId="27" fillId="0" borderId="1" xfId="0" applyNumberFormat="1" applyFont="1" applyBorder="1"/>
    <xf numFmtId="0" fontId="18" fillId="2" borderId="12" xfId="1" applyFont="1" applyFill="1" applyBorder="1" applyAlignment="1">
      <alignment horizontal="center" vertical="top" wrapText="1"/>
    </xf>
    <xf numFmtId="0" fontId="18" fillId="2" borderId="13" xfId="1" applyFont="1" applyFill="1" applyBorder="1" applyAlignment="1">
      <alignment horizontal="center" vertical="top" wrapText="1"/>
    </xf>
    <xf numFmtId="3" fontId="20" fillId="0" borderId="12" xfId="1" applyNumberFormat="1" applyFont="1" applyBorder="1" applyAlignment="1">
      <alignment horizontal="right" vertical="top" wrapText="1"/>
    </xf>
    <xf numFmtId="3" fontId="20" fillId="0" borderId="13" xfId="1" applyNumberFormat="1" applyFont="1" applyBorder="1" applyAlignment="1">
      <alignment horizontal="right" vertical="top" wrapText="1"/>
    </xf>
    <xf numFmtId="3" fontId="22" fillId="0" borderId="12" xfId="1" applyNumberFormat="1" applyFont="1" applyBorder="1" applyAlignment="1">
      <alignment horizontal="right" vertical="top" wrapText="1"/>
    </xf>
    <xf numFmtId="3" fontId="22" fillId="0" borderId="13" xfId="1" applyNumberFormat="1" applyFont="1" applyBorder="1" applyAlignment="1">
      <alignment horizontal="right" vertical="top" wrapText="1"/>
    </xf>
    <xf numFmtId="3" fontId="22" fillId="0" borderId="14" xfId="1" applyNumberFormat="1" applyFont="1" applyBorder="1" applyAlignment="1">
      <alignment horizontal="right" vertical="top" wrapText="1"/>
    </xf>
    <xf numFmtId="3" fontId="22" fillId="0" borderId="15" xfId="1" applyNumberFormat="1" applyFont="1" applyBorder="1" applyAlignment="1">
      <alignment horizontal="right" vertical="top" wrapText="1"/>
    </xf>
    <xf numFmtId="3" fontId="22" fillId="0" borderId="16" xfId="1" applyNumberFormat="1" applyFont="1" applyBorder="1" applyAlignment="1">
      <alignment horizontal="right" vertical="top" wrapText="1"/>
    </xf>
    <xf numFmtId="0" fontId="19" fillId="2" borderId="20" xfId="1" applyFont="1" applyFill="1" applyBorder="1" applyAlignment="1">
      <alignment horizontal="center" vertical="top" wrapText="1"/>
    </xf>
    <xf numFmtId="0" fontId="19" fillId="2" borderId="21" xfId="1" applyFont="1" applyFill="1" applyBorder="1" applyAlignment="1">
      <alignment horizontal="center" vertical="top" wrapText="1"/>
    </xf>
    <xf numFmtId="3" fontId="21" fillId="0" borderId="21" xfId="1" applyNumberFormat="1" applyFont="1" applyBorder="1" applyAlignment="1">
      <alignment horizontal="right" vertical="top" wrapText="1"/>
    </xf>
    <xf numFmtId="3" fontId="24" fillId="0" borderId="21" xfId="1" applyNumberFormat="1" applyFont="1" applyBorder="1" applyAlignment="1">
      <alignment horizontal="right" vertical="top" wrapText="1"/>
    </xf>
    <xf numFmtId="3" fontId="22" fillId="0" borderId="22" xfId="1" applyNumberFormat="1" applyFont="1" applyBorder="1" applyAlignment="1">
      <alignment horizontal="right" vertical="top" wrapText="1"/>
    </xf>
    <xf numFmtId="0" fontId="18" fillId="2" borderId="9" xfId="1" applyFont="1" applyFill="1" applyBorder="1" applyAlignment="1">
      <alignment horizontal="center" vertical="top" wrapText="1"/>
    </xf>
    <xf numFmtId="0" fontId="20" fillId="0" borderId="12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left" vertical="top" wrapText="1"/>
    </xf>
    <xf numFmtId="0" fontId="22" fillId="0" borderId="12" xfId="1" applyFont="1" applyBorder="1" applyAlignment="1">
      <alignment horizontal="center" vertical="top" wrapText="1"/>
    </xf>
    <xf numFmtId="0" fontId="22" fillId="0" borderId="13" xfId="1" applyFont="1" applyBorder="1" applyAlignment="1">
      <alignment horizontal="left" vertical="top" wrapText="1"/>
    </xf>
    <xf numFmtId="0" fontId="22" fillId="0" borderId="14" xfId="1" applyFont="1" applyBorder="1" applyAlignment="1">
      <alignment horizontal="center" vertical="top" wrapText="1"/>
    </xf>
    <xf numFmtId="0" fontId="22" fillId="0" borderId="16" xfId="1" applyFont="1" applyBorder="1" applyAlignment="1">
      <alignment horizontal="left" vertical="top" wrapText="1"/>
    </xf>
    <xf numFmtId="0" fontId="20" fillId="0" borderId="25" xfId="1" applyFont="1" applyBorder="1" applyAlignment="1">
      <alignment horizontal="left" vertical="top" wrapText="1"/>
    </xf>
    <xf numFmtId="3" fontId="20" fillId="0" borderId="2" xfId="1" applyNumberFormat="1" applyFont="1" applyBorder="1" applyAlignment="1">
      <alignment horizontal="right" vertical="top" wrapText="1"/>
    </xf>
    <xf numFmtId="3" fontId="22" fillId="0" borderId="2" xfId="1" applyNumberFormat="1" applyFont="1" applyBorder="1" applyAlignment="1">
      <alignment horizontal="right" vertical="top" wrapText="1"/>
    </xf>
    <xf numFmtId="3" fontId="22" fillId="0" borderId="26" xfId="1" applyNumberFormat="1" applyFont="1" applyBorder="1" applyAlignment="1">
      <alignment horizontal="right" vertical="top" wrapText="1"/>
    </xf>
    <xf numFmtId="0" fontId="17" fillId="0" borderId="27" xfId="1" applyBorder="1"/>
    <xf numFmtId="0" fontId="17" fillId="0" borderId="25" xfId="1" applyBorder="1"/>
    <xf numFmtId="3" fontId="17" fillId="0" borderId="28" xfId="1" applyNumberFormat="1" applyBorder="1"/>
    <xf numFmtId="3" fontId="17" fillId="0" borderId="29" xfId="1" applyNumberFormat="1" applyBorder="1"/>
    <xf numFmtId="3" fontId="24" fillId="0" borderId="22" xfId="1" applyNumberFormat="1" applyFont="1" applyBorder="1" applyAlignment="1">
      <alignment horizontal="right" vertical="top" wrapText="1"/>
    </xf>
    <xf numFmtId="49" fontId="26" fillId="0" borderId="1" xfId="0" applyNumberFormat="1" applyFont="1" applyBorder="1"/>
    <xf numFmtId="164" fontId="34" fillId="0" borderId="1" xfId="0" applyNumberFormat="1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4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0" fontId="17" fillId="0" borderId="0" xfId="1" applyAlignment="1">
      <alignment horizontal="right"/>
    </xf>
    <xf numFmtId="0" fontId="18" fillId="2" borderId="3" xfId="1" applyFont="1" applyFill="1" applyBorder="1" applyAlignment="1">
      <alignment horizontal="center" vertical="top" wrapText="1"/>
    </xf>
    <xf numFmtId="0" fontId="18" fillId="2" borderId="0" xfId="1" applyFont="1" applyFill="1" applyBorder="1" applyAlignment="1">
      <alignment horizontal="center" vertical="top" wrapText="1"/>
    </xf>
    <xf numFmtId="0" fontId="18" fillId="2" borderId="23" xfId="1" applyFont="1" applyFill="1" applyBorder="1" applyAlignment="1">
      <alignment horizontal="center" vertical="center" wrapText="1"/>
    </xf>
    <xf numFmtId="0" fontId="18" fillId="2" borderId="24" xfId="1" applyFont="1" applyFill="1" applyBorder="1" applyAlignment="1">
      <alignment horizontal="center" vertical="center" wrapText="1"/>
    </xf>
    <xf numFmtId="0" fontId="18" fillId="2" borderId="17" xfId="1" applyFont="1" applyFill="1" applyBorder="1" applyAlignment="1">
      <alignment horizontal="center" vertical="top" wrapText="1"/>
    </xf>
    <xf numFmtId="0" fontId="18" fillId="2" borderId="19" xfId="1" applyFont="1" applyFill="1" applyBorder="1" applyAlignment="1">
      <alignment horizontal="center" vertical="top" wrapText="1"/>
    </xf>
    <xf numFmtId="0" fontId="18" fillId="2" borderId="18" xfId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opLeftCell="A49" zoomScale="110" zoomScaleNormal="110" workbookViewId="0">
      <selection activeCell="D1" sqref="D1:F2"/>
    </sheetView>
  </sheetViews>
  <sheetFormatPr defaultRowHeight="14.5" x14ac:dyDescent="0.35"/>
  <cols>
    <col min="1" max="1" width="6.54296875" style="17" bestFit="1" customWidth="1"/>
    <col min="2" max="2" width="45.453125" style="28" customWidth="1"/>
    <col min="3" max="3" width="11.7265625" customWidth="1"/>
    <col min="4" max="4" width="13.1796875" customWidth="1"/>
    <col min="5" max="5" width="10.1796875" customWidth="1"/>
    <col min="6" max="6" width="12.7265625" customWidth="1"/>
    <col min="7" max="7" width="12" style="209" hidden="1" customWidth="1"/>
    <col min="8" max="8" width="11.54296875" hidden="1" customWidth="1"/>
    <col min="9" max="9" width="0" hidden="1" customWidth="1"/>
    <col min="10" max="10" width="12.81640625" bestFit="1" customWidth="1"/>
  </cols>
  <sheetData>
    <row r="1" spans="1:8" x14ac:dyDescent="0.35">
      <c r="A1" s="293" t="s">
        <v>597</v>
      </c>
      <c r="B1" s="294"/>
      <c r="C1" s="294"/>
      <c r="D1" s="295" t="s">
        <v>709</v>
      </c>
      <c r="E1" s="295"/>
      <c r="F1" s="296"/>
    </row>
    <row r="2" spans="1:8" x14ac:dyDescent="0.35">
      <c r="A2" s="293" t="s">
        <v>625</v>
      </c>
      <c r="B2" s="297"/>
      <c r="C2" s="297"/>
      <c r="D2" s="296"/>
      <c r="E2" s="296"/>
      <c r="F2" s="296"/>
    </row>
    <row r="3" spans="1:8" x14ac:dyDescent="0.35">
      <c r="A3" s="1"/>
      <c r="B3" s="2" t="s">
        <v>0</v>
      </c>
      <c r="C3" s="3"/>
      <c r="D3" s="4"/>
      <c r="E3" s="4"/>
      <c r="F3" s="4" t="s">
        <v>93</v>
      </c>
    </row>
    <row r="4" spans="1:8" ht="21" x14ac:dyDescent="0.35">
      <c r="A4" s="5" t="s">
        <v>1</v>
      </c>
      <c r="B4" s="6" t="s">
        <v>2</v>
      </c>
      <c r="C4" s="32" t="s">
        <v>95</v>
      </c>
      <c r="D4" s="32" t="s">
        <v>96</v>
      </c>
      <c r="E4" s="32" t="s">
        <v>97</v>
      </c>
      <c r="F4" s="31" t="s">
        <v>98</v>
      </c>
      <c r="G4" s="212" t="s">
        <v>678</v>
      </c>
    </row>
    <row r="5" spans="1:8" x14ac:dyDescent="0.35">
      <c r="A5" s="7" t="s">
        <v>4</v>
      </c>
      <c r="B5" s="8" t="s">
        <v>5</v>
      </c>
      <c r="C5" s="9">
        <f>'2. melléklet'!C5</f>
        <v>776293066</v>
      </c>
      <c r="D5" s="9">
        <f>'2. melléklet'!D5</f>
        <v>0</v>
      </c>
      <c r="E5" s="9">
        <f>'2. melléklet'!E5</f>
        <v>0</v>
      </c>
      <c r="F5" s="10">
        <f>SUM(C5:E5)</f>
        <v>776293066</v>
      </c>
      <c r="G5" s="210">
        <f>'Költségvetési bevételek'!N11-'Költségvetési bevételek'!N9</f>
        <v>776293066</v>
      </c>
      <c r="H5" s="11">
        <f>F5-G5</f>
        <v>0</v>
      </c>
    </row>
    <row r="6" spans="1:8" x14ac:dyDescent="0.35">
      <c r="A6" s="7" t="s">
        <v>6</v>
      </c>
      <c r="B6" s="8" t="s">
        <v>7</v>
      </c>
      <c r="C6" s="9">
        <f>'2. melléklet'!C6</f>
        <v>27354000</v>
      </c>
      <c r="D6" s="9">
        <f>'2. melléklet'!D6</f>
        <v>8796502</v>
      </c>
      <c r="E6" s="9">
        <f t="shared" ref="E6" si="0">SUM(E7:E10)</f>
        <v>0</v>
      </c>
      <c r="F6" s="10">
        <f t="shared" ref="F6:F36" si="1">SUM(C6:E6)</f>
        <v>36150502</v>
      </c>
      <c r="G6" s="210">
        <f>'Költségvetési bevételek'!N16+'Költségvetési bevételek'!N9</f>
        <v>36150502</v>
      </c>
      <c r="H6" s="11">
        <f t="shared" ref="H6:H65" si="2">F6-G6</f>
        <v>0</v>
      </c>
    </row>
    <row r="7" spans="1:8" x14ac:dyDescent="0.35">
      <c r="A7" s="7" t="s">
        <v>8</v>
      </c>
      <c r="B7" s="8" t="s">
        <v>9</v>
      </c>
      <c r="C7" s="9">
        <f>'2. melléklet'!C7</f>
        <v>27354000</v>
      </c>
      <c r="D7" s="9">
        <f>'2. melléklet'!D7</f>
        <v>8796502</v>
      </c>
      <c r="E7" s="9">
        <f>'2. melléklet'!E7</f>
        <v>0</v>
      </c>
      <c r="F7" s="10">
        <f t="shared" si="1"/>
        <v>36150502</v>
      </c>
      <c r="H7" s="11"/>
    </row>
    <row r="8" spans="1:8" x14ac:dyDescent="0.35">
      <c r="A8" s="7" t="s">
        <v>10</v>
      </c>
      <c r="B8" s="8" t="s">
        <v>598</v>
      </c>
      <c r="C8" s="9">
        <f>'2. melléklet'!C8</f>
        <v>27354000</v>
      </c>
      <c r="D8" s="9">
        <f>'2. melléklet'!D8</f>
        <v>0</v>
      </c>
      <c r="E8" s="9">
        <f>'2. melléklet'!E8</f>
        <v>0</v>
      </c>
      <c r="F8" s="10">
        <f t="shared" si="1"/>
        <v>27354000</v>
      </c>
      <c r="H8" s="11"/>
    </row>
    <row r="9" spans="1:8" x14ac:dyDescent="0.35">
      <c r="A9" s="7" t="s">
        <v>12</v>
      </c>
      <c r="B9" s="8" t="s">
        <v>13</v>
      </c>
      <c r="C9" s="9">
        <f>'2. melléklet'!C9</f>
        <v>0</v>
      </c>
      <c r="D9" s="9">
        <f>'2. melléklet'!D9</f>
        <v>0</v>
      </c>
      <c r="E9" s="9">
        <f>'2. melléklet'!E9</f>
        <v>0</v>
      </c>
      <c r="F9" s="10">
        <f t="shared" si="1"/>
        <v>0</v>
      </c>
      <c r="G9" s="4"/>
      <c r="H9" s="11">
        <f t="shared" si="2"/>
        <v>0</v>
      </c>
    </row>
    <row r="10" spans="1:8" x14ac:dyDescent="0.35">
      <c r="A10" s="7" t="s">
        <v>14</v>
      </c>
      <c r="B10" s="8" t="s">
        <v>15</v>
      </c>
      <c r="C10" s="9">
        <f>'2. melléklet'!C10</f>
        <v>0</v>
      </c>
      <c r="D10" s="9">
        <f>'2. melléklet'!D10</f>
        <v>8796502</v>
      </c>
      <c r="E10" s="9">
        <f>'2. melléklet'!E10</f>
        <v>0</v>
      </c>
      <c r="F10" s="10">
        <f t="shared" si="1"/>
        <v>8796502</v>
      </c>
      <c r="H10" s="11"/>
    </row>
    <row r="11" spans="1:8" x14ac:dyDescent="0.35">
      <c r="A11" s="7" t="s">
        <v>16</v>
      </c>
      <c r="B11" s="8" t="s">
        <v>17</v>
      </c>
      <c r="C11" s="9">
        <f>'2. melléklet'!C11</f>
        <v>0</v>
      </c>
      <c r="D11" s="9">
        <f>'2. melléklet'!D11</f>
        <v>359926067</v>
      </c>
      <c r="E11" s="9">
        <f>'2. melléklet'!E11</f>
        <v>0</v>
      </c>
      <c r="F11" s="10">
        <f t="shared" si="1"/>
        <v>359926067</v>
      </c>
      <c r="G11" s="211">
        <f>'Költségvetési bevételek'!N23</f>
        <v>359926067</v>
      </c>
      <c r="H11" s="11">
        <f t="shared" si="2"/>
        <v>0</v>
      </c>
    </row>
    <row r="12" spans="1:8" x14ac:dyDescent="0.35">
      <c r="A12" s="7" t="s">
        <v>18</v>
      </c>
      <c r="B12" s="8" t="s">
        <v>19</v>
      </c>
      <c r="C12" s="9">
        <f>'2. melléklet'!C12+'4. melléklet'!C8</f>
        <v>505000000</v>
      </c>
      <c r="D12" s="9">
        <f>'2. melléklet'!D12+'4. melléklet'!D8</f>
        <v>0</v>
      </c>
      <c r="E12" s="9">
        <f>'2. melléklet'!E12+'4. melléklet'!E8</f>
        <v>0</v>
      </c>
      <c r="F12" s="10">
        <f t="shared" si="1"/>
        <v>505000000</v>
      </c>
      <c r="G12" s="210">
        <f>'Költségvetési bevételek'!N37</f>
        <v>505000000</v>
      </c>
      <c r="H12" s="11">
        <f t="shared" si="2"/>
        <v>0</v>
      </c>
    </row>
    <row r="13" spans="1:8" x14ac:dyDescent="0.35">
      <c r="A13" s="7"/>
      <c r="B13" s="8" t="s">
        <v>20</v>
      </c>
      <c r="C13" s="9">
        <f>'2. melléklet'!C13</f>
        <v>58045000</v>
      </c>
      <c r="D13" s="9">
        <f>'2. melléklet'!D13</f>
        <v>0</v>
      </c>
      <c r="E13" s="9">
        <f>'2. melléklet'!E13</f>
        <v>0</v>
      </c>
      <c r="F13" s="10">
        <f t="shared" si="1"/>
        <v>58045000</v>
      </c>
      <c r="G13" s="4"/>
      <c r="H13" s="11"/>
    </row>
    <row r="14" spans="1:8" x14ac:dyDescent="0.35">
      <c r="A14" s="7"/>
      <c r="B14" s="8" t="s">
        <v>21</v>
      </c>
      <c r="C14" s="9">
        <f>'2. melléklet'!C14</f>
        <v>11542000</v>
      </c>
      <c r="D14" s="9">
        <f>'2. melléklet'!D14</f>
        <v>0</v>
      </c>
      <c r="E14" s="9">
        <f>'2. melléklet'!E14</f>
        <v>0</v>
      </c>
      <c r="F14" s="10">
        <f t="shared" si="1"/>
        <v>11542000</v>
      </c>
      <c r="G14" s="4"/>
      <c r="H14" s="11"/>
    </row>
    <row r="15" spans="1:8" x14ac:dyDescent="0.35">
      <c r="A15" s="7"/>
      <c r="B15" s="8" t="s">
        <v>22</v>
      </c>
      <c r="C15" s="9">
        <f>'2. melléklet'!C15</f>
        <v>315625000</v>
      </c>
      <c r="D15" s="9">
        <f>'2. melléklet'!D15</f>
        <v>0</v>
      </c>
      <c r="E15" s="9">
        <f>'2. melléklet'!E15</f>
        <v>0</v>
      </c>
      <c r="F15" s="10">
        <f t="shared" si="1"/>
        <v>315625000</v>
      </c>
      <c r="G15" s="4"/>
      <c r="H15" s="11"/>
    </row>
    <row r="16" spans="1:8" x14ac:dyDescent="0.35">
      <c r="A16" s="7"/>
      <c r="B16" s="8" t="s">
        <v>23</v>
      </c>
      <c r="C16" s="9">
        <f>'2. melléklet'!C16</f>
        <v>46160000</v>
      </c>
      <c r="D16" s="9">
        <f>'2. melléklet'!D16</f>
        <v>0</v>
      </c>
      <c r="E16" s="9">
        <f>'2. melléklet'!E16</f>
        <v>0</v>
      </c>
      <c r="F16" s="10">
        <f t="shared" si="1"/>
        <v>46160000</v>
      </c>
      <c r="H16" s="11"/>
    </row>
    <row r="17" spans="1:8" x14ac:dyDescent="0.35">
      <c r="A17" s="7"/>
      <c r="B17" s="8" t="s">
        <v>599</v>
      </c>
      <c r="C17" s="9">
        <f>'2. melléklet'!C17</f>
        <v>64740000</v>
      </c>
      <c r="D17" s="9">
        <f>'2. melléklet'!D17</f>
        <v>0</v>
      </c>
      <c r="E17" s="9">
        <f>'2. melléklet'!E17</f>
        <v>0</v>
      </c>
      <c r="F17" s="10">
        <f t="shared" si="1"/>
        <v>64740000</v>
      </c>
      <c r="H17" s="11"/>
    </row>
    <row r="18" spans="1:8" x14ac:dyDescent="0.35">
      <c r="A18" s="7"/>
      <c r="B18" s="8" t="s">
        <v>261</v>
      </c>
      <c r="C18" s="9">
        <f>'2. melléklet'!C18</f>
        <v>1967000</v>
      </c>
      <c r="D18" s="9">
        <f>'2. melléklet'!D18</f>
        <v>0</v>
      </c>
      <c r="E18" s="9">
        <f>'2. melléklet'!E18</f>
        <v>0</v>
      </c>
      <c r="F18" s="10">
        <f t="shared" si="1"/>
        <v>1967000</v>
      </c>
      <c r="H18" s="11"/>
    </row>
    <row r="19" spans="1:8" x14ac:dyDescent="0.35">
      <c r="A19" s="7"/>
      <c r="B19" s="8" t="s">
        <v>262</v>
      </c>
      <c r="C19" s="9">
        <f>'2. melléklet'!C19</f>
        <v>6921000</v>
      </c>
      <c r="D19" s="9">
        <f>'2. melléklet'!D19</f>
        <v>0</v>
      </c>
      <c r="E19" s="9">
        <f>'2. melléklet'!E19</f>
        <v>0</v>
      </c>
      <c r="F19" s="10">
        <f t="shared" si="1"/>
        <v>6921000</v>
      </c>
      <c r="H19" s="11"/>
    </row>
    <row r="20" spans="1:8" x14ac:dyDescent="0.35">
      <c r="A20" s="7" t="s">
        <v>24</v>
      </c>
      <c r="B20" s="8" t="s">
        <v>25</v>
      </c>
      <c r="C20" s="9">
        <f>'2. melléklet'!C20+'4. melléklet'!C9+'5. melléklet'!C9+'6. melléklet'!C9+'7. melléklet'!C9</f>
        <v>418889048.11000001</v>
      </c>
      <c r="D20" s="9">
        <f>'2. melléklet'!D20+'4. melléklet'!D9+'5. melléklet'!D9+'6. melléklet'!D9+'7. melléklet'!D9</f>
        <v>31000000</v>
      </c>
      <c r="E20" s="9">
        <f>'2. melléklet'!E20+'4. melléklet'!E9+'5. melléklet'!E9+'6. melléklet'!E9+'7. melléklet'!E9</f>
        <v>0</v>
      </c>
      <c r="F20" s="10">
        <f t="shared" si="1"/>
        <v>449889048.11000001</v>
      </c>
      <c r="G20" s="210">
        <f>'Költségvetési bevételek'!N53</f>
        <v>449889048.11000001</v>
      </c>
      <c r="H20" s="11">
        <f t="shared" si="2"/>
        <v>0</v>
      </c>
    </row>
    <row r="21" spans="1:8" x14ac:dyDescent="0.35">
      <c r="A21" s="7" t="s">
        <v>26</v>
      </c>
      <c r="B21" s="8" t="s">
        <v>27</v>
      </c>
      <c r="C21" s="9">
        <f>'2. melléklet'!C21+'4. melléklet'!C10+'5. melléklet'!C10+'6. melléklet'!C10+'7. melléklet'!C10</f>
        <v>64566929</v>
      </c>
      <c r="D21" s="9">
        <f>'2. melléklet'!D21+'4. melléklet'!D10+'5. melléklet'!D10+'6. melléklet'!D10+'7. melléklet'!D10</f>
        <v>0</v>
      </c>
      <c r="E21" s="9">
        <f>'2. melléklet'!E21+'4. melléklet'!E10+'5. melléklet'!E10+'6. melléklet'!E10+'7. melléklet'!E10</f>
        <v>0</v>
      </c>
      <c r="F21" s="10">
        <f t="shared" si="1"/>
        <v>64566929</v>
      </c>
      <c r="G21" s="210">
        <f>'Költségvetési bevételek'!N59</f>
        <v>64566929</v>
      </c>
      <c r="H21" s="11">
        <f t="shared" si="2"/>
        <v>0</v>
      </c>
    </row>
    <row r="22" spans="1:8" x14ac:dyDescent="0.35">
      <c r="A22" s="7" t="s">
        <v>28</v>
      </c>
      <c r="B22" s="8" t="s">
        <v>29</v>
      </c>
      <c r="C22" s="9">
        <f>'2. melléklet'!C22+'4. melléklet'!C11+'5. melléklet'!C11+'6. melléklet'!C11+'7. melléklet'!C11</f>
        <v>0</v>
      </c>
      <c r="D22" s="9">
        <f>'2. melléklet'!D22+'4. melléklet'!D11+'5. melléklet'!D11+'6. melléklet'!D11+'7. melléklet'!D11</f>
        <v>0</v>
      </c>
      <c r="E22" s="9">
        <f>'2. melléklet'!E22</f>
        <v>0</v>
      </c>
      <c r="F22" s="10">
        <f t="shared" si="1"/>
        <v>0</v>
      </c>
      <c r="G22" s="210">
        <f>'Költségvetési bevételek'!N65</f>
        <v>0</v>
      </c>
      <c r="H22" s="11">
        <f t="shared" si="2"/>
        <v>0</v>
      </c>
    </row>
    <row r="23" spans="1:8" x14ac:dyDescent="0.35">
      <c r="A23" s="7" t="s">
        <v>30</v>
      </c>
      <c r="B23" s="8" t="s">
        <v>31</v>
      </c>
      <c r="C23" s="9">
        <f>'2. melléklet'!C23+'4. melléklet'!C12+'5. melléklet'!C12+'6. melléklet'!C12+'7. melléklet'!C12</f>
        <v>0</v>
      </c>
      <c r="D23" s="9">
        <f>'2. melléklet'!D23+'4. melléklet'!D12+'5. melléklet'!D12+'6. melléklet'!D12+'7. melléklet'!D12</f>
        <v>0</v>
      </c>
      <c r="E23" s="9">
        <f>'2. melléklet'!E23+'4. melléklet'!E12+'5. melléklet'!E12+'6. melléklet'!E12+'7. melléklet'!E12</f>
        <v>0</v>
      </c>
      <c r="F23" s="10">
        <f t="shared" si="1"/>
        <v>0</v>
      </c>
      <c r="G23" s="210">
        <f>'Költségvetési bevételek'!N71</f>
        <v>0</v>
      </c>
      <c r="H23" s="11">
        <f t="shared" si="2"/>
        <v>0</v>
      </c>
    </row>
    <row r="24" spans="1:8" x14ac:dyDescent="0.35">
      <c r="A24" s="12" t="s">
        <v>32</v>
      </c>
      <c r="B24" s="13" t="s">
        <v>33</v>
      </c>
      <c r="C24" s="9">
        <f>C5+C6+C11+C12+C20+C21+C22+C23</f>
        <v>1792103043.1100001</v>
      </c>
      <c r="D24" s="9">
        <f t="shared" ref="D24:F24" si="3">D5+D6+D11+D12+D20+D21+D22+D23</f>
        <v>399722569</v>
      </c>
      <c r="E24" s="9">
        <f t="shared" si="3"/>
        <v>0</v>
      </c>
      <c r="F24" s="10">
        <f t="shared" si="3"/>
        <v>2191825612.1100001</v>
      </c>
      <c r="G24" s="29">
        <f>'Költségvetési bevételek'!N72</f>
        <v>2191825612.1100001</v>
      </c>
      <c r="H24" s="11">
        <f t="shared" si="2"/>
        <v>0</v>
      </c>
    </row>
    <row r="25" spans="1:8" x14ac:dyDescent="0.35">
      <c r="A25" s="7" t="s">
        <v>34</v>
      </c>
      <c r="B25" s="8" t="s">
        <v>35</v>
      </c>
      <c r="C25" s="9">
        <f>'2. melléklet'!C25</f>
        <v>120000000</v>
      </c>
      <c r="D25" s="9">
        <f>'2. melléklet'!D25</f>
        <v>0</v>
      </c>
      <c r="E25" s="9"/>
      <c r="F25" s="10">
        <f t="shared" si="1"/>
        <v>120000000</v>
      </c>
      <c r="G25" s="210">
        <f>'Finanszírozási bevételek'!N8</f>
        <v>120000000</v>
      </c>
      <c r="H25" s="11">
        <f t="shared" si="2"/>
        <v>0</v>
      </c>
    </row>
    <row r="26" spans="1:8" x14ac:dyDescent="0.35">
      <c r="A26" s="7" t="s">
        <v>36</v>
      </c>
      <c r="B26" s="8" t="s">
        <v>37</v>
      </c>
      <c r="C26" s="9">
        <v>0</v>
      </c>
      <c r="D26" s="9">
        <v>0</v>
      </c>
      <c r="E26" s="9">
        <v>0</v>
      </c>
      <c r="F26" s="10">
        <f t="shared" si="1"/>
        <v>0</v>
      </c>
      <c r="H26" s="11">
        <f t="shared" si="2"/>
        <v>0</v>
      </c>
    </row>
    <row r="27" spans="1:8" x14ac:dyDescent="0.35">
      <c r="A27" s="7" t="s">
        <v>38</v>
      </c>
      <c r="B27" s="8" t="s">
        <v>39</v>
      </c>
      <c r="C27" s="9">
        <f>'2. melléklet'!C27+'4. melléklet'!C16+'5. melléklet'!C16+'6. melléklet'!C16+'7. melléklet'!C16</f>
        <v>175783880</v>
      </c>
      <c r="D27" s="9">
        <f>'2. melléklet'!D27+'4. melléklet'!D16+'5. melléklet'!D16+'6. melléklet'!D16+'7. melléklet'!D16</f>
        <v>0</v>
      </c>
      <c r="E27" s="9">
        <f>'2. melléklet'!E27+'4. melléklet'!E16+'5. melléklet'!E16+'6. melléklet'!E16+'7. melléklet'!E16</f>
        <v>0</v>
      </c>
      <c r="F27" s="10">
        <f t="shared" si="1"/>
        <v>175783880</v>
      </c>
      <c r="G27" s="210">
        <f>'Finanszírozási bevételek'!N16</f>
        <v>175783880</v>
      </c>
      <c r="H27" s="11">
        <f t="shared" si="2"/>
        <v>0</v>
      </c>
    </row>
    <row r="28" spans="1:8" x14ac:dyDescent="0.35">
      <c r="A28" s="7" t="s">
        <v>40</v>
      </c>
      <c r="B28" s="8" t="s">
        <v>41</v>
      </c>
      <c r="C28" s="9">
        <f>SUM(C29:C30)</f>
        <v>675412939.89999998</v>
      </c>
      <c r="D28" s="9">
        <f t="shared" ref="D28:F28" si="4">SUM(D29:D30)</f>
        <v>29463299.829999998</v>
      </c>
      <c r="E28" s="9">
        <f t="shared" si="4"/>
        <v>0</v>
      </c>
      <c r="F28" s="10">
        <f t="shared" si="4"/>
        <v>704876239.73000002</v>
      </c>
      <c r="G28" s="210">
        <f>SUM(G29:G30)</f>
        <v>704876239.73000002</v>
      </c>
      <c r="H28" s="11">
        <f t="shared" si="2"/>
        <v>0</v>
      </c>
    </row>
    <row r="29" spans="1:8" x14ac:dyDescent="0.35">
      <c r="A29" s="7"/>
      <c r="B29" s="8" t="s">
        <v>42</v>
      </c>
      <c r="C29" s="9">
        <f>'2. melléklet'!C29+'4. melléklet'!C18+'5. melléklet'!C18+'6. melléklet'!C18+'7. melléklet'!C18</f>
        <v>675412939.89999998</v>
      </c>
      <c r="D29" s="9">
        <f>'2. melléklet'!D29+'4. melléklet'!D18+'5. melléklet'!D18+'6. melléklet'!D18+'7. melléklet'!D18</f>
        <v>29463299.829999998</v>
      </c>
      <c r="E29" s="9">
        <f>'2. melléklet'!E29+'4. melléklet'!E18+'5. melléklet'!E18+'6. melléklet'!E18+'7. melléklet'!E18</f>
        <v>0</v>
      </c>
      <c r="F29" s="10">
        <f t="shared" si="1"/>
        <v>704876239.73000002</v>
      </c>
      <c r="G29" s="210">
        <f>'Finanszírozási bevételek'!N19</f>
        <v>704876239.73000002</v>
      </c>
      <c r="H29" s="11">
        <f t="shared" si="2"/>
        <v>0</v>
      </c>
    </row>
    <row r="30" spans="1:8" x14ac:dyDescent="0.35">
      <c r="A30" s="14"/>
      <c r="B30" s="8" t="s">
        <v>43</v>
      </c>
      <c r="C30" s="9">
        <v>0</v>
      </c>
      <c r="D30" s="9">
        <v>0</v>
      </c>
      <c r="E30" s="9">
        <v>0</v>
      </c>
      <c r="F30" s="10">
        <f t="shared" si="1"/>
        <v>0</v>
      </c>
      <c r="G30" s="4"/>
      <c r="H30" s="11">
        <f t="shared" si="2"/>
        <v>0</v>
      </c>
    </row>
    <row r="31" spans="1:8" x14ac:dyDescent="0.35">
      <c r="A31" s="7" t="s">
        <v>44</v>
      </c>
      <c r="B31" s="8" t="s">
        <v>45</v>
      </c>
      <c r="C31" s="9">
        <v>0</v>
      </c>
      <c r="D31" s="9">
        <v>0</v>
      </c>
      <c r="E31" s="9">
        <v>0</v>
      </c>
      <c r="F31" s="10">
        <f t="shared" si="1"/>
        <v>0</v>
      </c>
      <c r="H31" s="11">
        <f t="shared" si="2"/>
        <v>0</v>
      </c>
    </row>
    <row r="32" spans="1:8" x14ac:dyDescent="0.35">
      <c r="A32" s="7" t="s">
        <v>46</v>
      </c>
      <c r="B32" s="8" t="s">
        <v>47</v>
      </c>
      <c r="C32" s="9">
        <v>0</v>
      </c>
      <c r="D32" s="9">
        <v>0</v>
      </c>
      <c r="E32" s="9">
        <v>0</v>
      </c>
      <c r="F32" s="10">
        <f t="shared" si="1"/>
        <v>0</v>
      </c>
      <c r="H32" s="11">
        <f t="shared" si="2"/>
        <v>0</v>
      </c>
    </row>
    <row r="33" spans="1:8" x14ac:dyDescent="0.35">
      <c r="A33" s="7" t="s">
        <v>48</v>
      </c>
      <c r="B33" s="13" t="s">
        <v>49</v>
      </c>
      <c r="C33" s="9">
        <f>C25+C26+C27+C28+C31+C32</f>
        <v>971196819.89999998</v>
      </c>
      <c r="D33" s="9">
        <f t="shared" ref="D33:F33" si="5">D25+D26+D27+D28+D31+D32</f>
        <v>29463299.829999998</v>
      </c>
      <c r="E33" s="9">
        <f t="shared" si="5"/>
        <v>0</v>
      </c>
      <c r="F33" s="10">
        <f t="shared" si="5"/>
        <v>1000660119.73</v>
      </c>
      <c r="G33" s="210">
        <f>'Finanszírozási bevételek'!N34</f>
        <v>1000660119.73</v>
      </c>
      <c r="H33" s="11">
        <f t="shared" si="2"/>
        <v>0</v>
      </c>
    </row>
    <row r="34" spans="1:8" x14ac:dyDescent="0.35">
      <c r="A34" s="7" t="s">
        <v>50</v>
      </c>
      <c r="B34" s="13" t="s">
        <v>51</v>
      </c>
      <c r="C34" s="9">
        <f t="shared" ref="C34:F34" si="6">C24+C33</f>
        <v>2763299863.0100002</v>
      </c>
      <c r="D34" s="9">
        <f t="shared" si="6"/>
        <v>429185868.82999998</v>
      </c>
      <c r="E34" s="9">
        <f t="shared" si="6"/>
        <v>0</v>
      </c>
      <c r="F34" s="10">
        <f t="shared" si="6"/>
        <v>3192485731.8400002</v>
      </c>
      <c r="G34" s="210">
        <f>'Költségvetési bevételek'!N72+'Finanszírozási bevételek'!N34</f>
        <v>3192485731.8400002</v>
      </c>
      <c r="H34" s="11">
        <f t="shared" si="2"/>
        <v>0</v>
      </c>
    </row>
    <row r="35" spans="1:8" x14ac:dyDescent="0.35">
      <c r="A35" s="7" t="s">
        <v>52</v>
      </c>
      <c r="B35" s="8" t="s">
        <v>53</v>
      </c>
      <c r="C35" s="9">
        <f>C28</f>
        <v>675412939.89999998</v>
      </c>
      <c r="D35" s="9">
        <f t="shared" ref="D35:F35" si="7">D28</f>
        <v>29463299.829999998</v>
      </c>
      <c r="E35" s="9">
        <f t="shared" si="7"/>
        <v>0</v>
      </c>
      <c r="F35" s="10">
        <f t="shared" si="7"/>
        <v>704876239.73000002</v>
      </c>
      <c r="G35" s="210">
        <f>G29</f>
        <v>704876239.73000002</v>
      </c>
      <c r="H35" s="11">
        <f t="shared" si="2"/>
        <v>0</v>
      </c>
    </row>
    <row r="36" spans="1:8" x14ac:dyDescent="0.35">
      <c r="A36" s="20" t="s">
        <v>54</v>
      </c>
      <c r="B36" s="8" t="s">
        <v>55</v>
      </c>
      <c r="C36" s="15">
        <v>0</v>
      </c>
      <c r="D36" s="16">
        <v>0</v>
      </c>
      <c r="E36" s="16">
        <v>0</v>
      </c>
      <c r="F36" s="10">
        <f t="shared" si="1"/>
        <v>0</v>
      </c>
      <c r="H36" s="11">
        <f t="shared" si="2"/>
        <v>0</v>
      </c>
    </row>
    <row r="37" spans="1:8" x14ac:dyDescent="0.35">
      <c r="A37" s="7" t="s">
        <v>56</v>
      </c>
      <c r="B37" s="13" t="s">
        <v>57</v>
      </c>
      <c r="C37" s="10">
        <f>C34-C35</f>
        <v>2087886923.1100001</v>
      </c>
      <c r="D37" s="10">
        <f t="shared" ref="D37:F37" si="8">D34-D35</f>
        <v>399722569</v>
      </c>
      <c r="E37" s="10">
        <f t="shared" si="8"/>
        <v>0</v>
      </c>
      <c r="F37" s="10">
        <f t="shared" si="8"/>
        <v>2487609492.1100001</v>
      </c>
      <c r="G37" s="210">
        <f>G34-G35</f>
        <v>2487609492.1100001</v>
      </c>
      <c r="H37" s="11">
        <f t="shared" si="2"/>
        <v>0</v>
      </c>
    </row>
    <row r="38" spans="1:8" x14ac:dyDescent="0.35">
      <c r="B38" s="18" t="s">
        <v>58</v>
      </c>
      <c r="C38" s="19"/>
      <c r="F38" s="4" t="s">
        <v>93</v>
      </c>
      <c r="H38" s="11"/>
    </row>
    <row r="39" spans="1:8" x14ac:dyDescent="0.35">
      <c r="A39" s="20" t="s">
        <v>4</v>
      </c>
      <c r="B39" s="21" t="s">
        <v>59</v>
      </c>
      <c r="C39" s="22">
        <f t="shared" ref="C39:F39" si="9">C40+C41+C42+C43+C44+C47</f>
        <v>1521922410.595</v>
      </c>
      <c r="D39" s="22">
        <f t="shared" si="9"/>
        <v>309332926.15000004</v>
      </c>
      <c r="E39" s="22">
        <f t="shared" si="9"/>
        <v>0</v>
      </c>
      <c r="F39" s="43">
        <f t="shared" si="9"/>
        <v>1831255336.7449999</v>
      </c>
      <c r="H39" s="11"/>
    </row>
    <row r="40" spans="1:8" x14ac:dyDescent="0.35">
      <c r="A40" s="7" t="s">
        <v>60</v>
      </c>
      <c r="B40" s="8" t="s">
        <v>61</v>
      </c>
      <c r="C40" s="9">
        <f>'2. melléklet'!C40+'4. melléklet'!C26+'5. melléklet'!C26+'6. melléklet'!C26+'7. melléklet'!C26</f>
        <v>540725122</v>
      </c>
      <c r="D40" s="9">
        <f>'2. melléklet'!D40+'4. melléklet'!D26+'5. melléklet'!D26+'6. melléklet'!D26+'7. melléklet'!D26</f>
        <v>48045787</v>
      </c>
      <c r="E40" s="9">
        <f>'2. melléklet'!E40+'4. melléklet'!E26+'5. melléklet'!E26+'6. melléklet'!E26+'7. melléklet'!E26</f>
        <v>0</v>
      </c>
      <c r="F40" s="10">
        <f t="shared" ref="F40:F68" si="10">SUM(C40:E40)</f>
        <v>588770909</v>
      </c>
      <c r="G40" s="41">
        <f>'Költségvetési kiadások'!N23</f>
        <v>588770909</v>
      </c>
      <c r="H40" s="11">
        <f t="shared" si="2"/>
        <v>0</v>
      </c>
    </row>
    <row r="41" spans="1:8" x14ac:dyDescent="0.35">
      <c r="A41" s="7" t="s">
        <v>62</v>
      </c>
      <c r="B41" s="8" t="s">
        <v>63</v>
      </c>
      <c r="C41" s="9">
        <f>'2. melléklet'!C41+'4. melléklet'!C27+'5. melléklet'!C27+'6. melléklet'!C27+'7. melléklet'!C27</f>
        <v>109453539.595</v>
      </c>
      <c r="D41" s="9">
        <f>'2. melléklet'!D41+'4. melléklet'!D27+'5. melléklet'!D27+'6. melléklet'!D27+'7. melléklet'!D27</f>
        <v>10763348.539999999</v>
      </c>
      <c r="E41" s="9">
        <f>'2. melléklet'!E41+'4. melléklet'!E27+'5. melléklet'!E27+'6. melléklet'!E27+'7. melléklet'!E27</f>
        <v>0</v>
      </c>
      <c r="F41" s="10">
        <f t="shared" si="10"/>
        <v>120216888.13499999</v>
      </c>
      <c r="G41" s="41">
        <f>'Költségvetési kiadások'!N24</f>
        <v>120216888.13499999</v>
      </c>
      <c r="H41" s="11">
        <f t="shared" si="2"/>
        <v>0</v>
      </c>
    </row>
    <row r="42" spans="1:8" x14ac:dyDescent="0.35">
      <c r="A42" s="7" t="s">
        <v>64</v>
      </c>
      <c r="B42" s="8" t="s">
        <v>65</v>
      </c>
      <c r="C42" s="9">
        <f>'2. melléklet'!C42+'4. melléklet'!C28+'5. melléklet'!C28+'6. melléklet'!C28+'7. melléklet'!C28</f>
        <v>669996378</v>
      </c>
      <c r="D42" s="9">
        <f>'2. melléklet'!D42+'4. melléklet'!D28+'5. melléklet'!D28+'6. melléklet'!D28+'7. melléklet'!D28</f>
        <v>218210680.61000001</v>
      </c>
      <c r="E42" s="9">
        <f>'2. melléklet'!E42+'4. melléklet'!E28+'5. melléklet'!E28+'6. melléklet'!E28+'7. melléklet'!E28</f>
        <v>0</v>
      </c>
      <c r="F42" s="10">
        <f t="shared" si="10"/>
        <v>888207058.61000001</v>
      </c>
      <c r="G42" s="41">
        <f>'Költségvetési kiadások'!N49</f>
        <v>888207058.61000001</v>
      </c>
      <c r="H42" s="11">
        <f t="shared" si="2"/>
        <v>0</v>
      </c>
    </row>
    <row r="43" spans="1:8" x14ac:dyDescent="0.35">
      <c r="A43" s="7" t="s">
        <v>66</v>
      </c>
      <c r="B43" s="8" t="s">
        <v>67</v>
      </c>
      <c r="C43" s="9">
        <f>'2. melléklet'!C43</f>
        <v>4800000</v>
      </c>
      <c r="D43" s="9">
        <f>'2. melléklet'!D43</f>
        <v>3750000</v>
      </c>
      <c r="E43" s="9">
        <f>'2. melléklet'!E43</f>
        <v>0</v>
      </c>
      <c r="F43" s="10">
        <f t="shared" si="10"/>
        <v>8550000</v>
      </c>
      <c r="G43" s="210">
        <f>'Költségvetési kiadások'!N58</f>
        <v>8550000</v>
      </c>
      <c r="H43" s="11">
        <f t="shared" si="2"/>
        <v>0</v>
      </c>
    </row>
    <row r="44" spans="1:8" x14ac:dyDescent="0.35">
      <c r="A44" s="7" t="s">
        <v>68</v>
      </c>
      <c r="B44" s="8" t="s">
        <v>69</v>
      </c>
      <c r="C44" s="9">
        <f>'2. melléklet'!C44+'4. melléklet'!C30+'5. melléklet'!C30+'6. melléklet'!C30+'7. melléklet'!C30</f>
        <v>151264111</v>
      </c>
      <c r="D44" s="9">
        <f>'2. melléklet'!D44+'4. melléklet'!D30+'5. melléklet'!D30+'6. melléklet'!D30+'7. melléklet'!D30</f>
        <v>28563110</v>
      </c>
      <c r="E44" s="9">
        <f>'2. melléklet'!E44+'4. melléklet'!E30+'5. melléklet'!E30+'6. melléklet'!E30+'7. melléklet'!E30</f>
        <v>0</v>
      </c>
      <c r="F44" s="10">
        <f t="shared" si="10"/>
        <v>179827221</v>
      </c>
      <c r="G44" s="210">
        <f>'Költségvetési kiadások'!N73</f>
        <v>179827221</v>
      </c>
      <c r="H44" s="11">
        <f t="shared" si="2"/>
        <v>0</v>
      </c>
    </row>
    <row r="45" spans="1:8" x14ac:dyDescent="0.35">
      <c r="A45" s="23" t="s">
        <v>70</v>
      </c>
      <c r="B45" s="8" t="s">
        <v>71</v>
      </c>
      <c r="C45" s="9">
        <f>'2. melléklet'!C45</f>
        <v>151264111</v>
      </c>
      <c r="D45" s="9">
        <f>'2. melléklet'!D45</f>
        <v>28563110</v>
      </c>
      <c r="E45" s="9">
        <f>'2. melléklet'!E45</f>
        <v>0</v>
      </c>
      <c r="F45" s="10">
        <f t="shared" si="10"/>
        <v>179827221</v>
      </c>
      <c r="G45" s="210">
        <f>'Költségvetési kiadások'!N73</f>
        <v>179827221</v>
      </c>
      <c r="H45" s="11">
        <f t="shared" si="2"/>
        <v>0</v>
      </c>
    </row>
    <row r="46" spans="1:8" x14ac:dyDescent="0.35">
      <c r="A46" s="23" t="s">
        <v>72</v>
      </c>
      <c r="B46" s="8" t="s">
        <v>73</v>
      </c>
      <c r="C46" s="9">
        <v>0</v>
      </c>
      <c r="D46" s="9">
        <v>0</v>
      </c>
      <c r="E46" s="9">
        <v>0</v>
      </c>
      <c r="F46" s="10">
        <f t="shared" si="10"/>
        <v>0</v>
      </c>
      <c r="G46" s="4"/>
      <c r="H46" s="11">
        <f t="shared" si="2"/>
        <v>0</v>
      </c>
    </row>
    <row r="47" spans="1:8" x14ac:dyDescent="0.35">
      <c r="A47" s="23" t="s">
        <v>74</v>
      </c>
      <c r="B47" s="8" t="s">
        <v>75</v>
      </c>
      <c r="C47" s="9">
        <f>'2. melléklet'!C47</f>
        <v>45683260</v>
      </c>
      <c r="D47" s="9">
        <f>'2. melléklet'!D47</f>
        <v>0</v>
      </c>
      <c r="E47" s="9">
        <f>'2. melléklet'!E47</f>
        <v>0</v>
      </c>
      <c r="F47" s="10">
        <f t="shared" si="10"/>
        <v>45683260</v>
      </c>
      <c r="G47" s="210">
        <f>'Költségvetési kiadások'!N74</f>
        <v>45683260</v>
      </c>
      <c r="H47" s="11">
        <f t="shared" si="2"/>
        <v>0</v>
      </c>
    </row>
    <row r="48" spans="1:8" x14ac:dyDescent="0.35">
      <c r="A48" s="23" t="s">
        <v>6</v>
      </c>
      <c r="B48" s="8" t="s">
        <v>76</v>
      </c>
      <c r="C48" s="9">
        <f>SUM(C49:C51)</f>
        <v>17832850.899999999</v>
      </c>
      <c r="D48" s="9">
        <f t="shared" ref="D48:F48" si="11">SUM(D49:D51)</f>
        <v>489261998.5</v>
      </c>
      <c r="E48" s="9">
        <f t="shared" si="11"/>
        <v>0</v>
      </c>
      <c r="F48" s="10">
        <f t="shared" si="11"/>
        <v>507094849.39999998</v>
      </c>
      <c r="H48" s="11"/>
    </row>
    <row r="49" spans="1:11" x14ac:dyDescent="0.35">
      <c r="A49" s="23" t="s">
        <v>8</v>
      </c>
      <c r="B49" s="8" t="s">
        <v>77</v>
      </c>
      <c r="C49" s="9">
        <f>'2. melléklet'!C49+'4. melléklet'!C33+'5. melléklet'!C33+'6. melléklet'!C33+'7. melléklet'!C33</f>
        <v>14488551.01</v>
      </c>
      <c r="D49" s="9">
        <f>'2. melléklet'!D49+'4. melléklet'!D33+'5. melléklet'!D33+'6. melléklet'!D33+'7. melléklet'!D33</f>
        <v>173279010.5</v>
      </c>
      <c r="E49" s="9">
        <f>'2. melléklet'!E49+'4. melléklet'!E33+'5. melléklet'!E33+'6. melléklet'!E33+'7. melléklet'!E33</f>
        <v>0</v>
      </c>
      <c r="F49" s="10">
        <f t="shared" si="10"/>
        <v>187767561.50999999</v>
      </c>
      <c r="G49" s="210">
        <f>'Költségvetési kiadások'!N83</f>
        <v>187767561.50999999</v>
      </c>
      <c r="H49" s="11">
        <f t="shared" si="2"/>
        <v>0</v>
      </c>
    </row>
    <row r="50" spans="1:11" x14ac:dyDescent="0.35">
      <c r="A50" s="23" t="s">
        <v>78</v>
      </c>
      <c r="B50" s="8" t="s">
        <v>79</v>
      </c>
      <c r="C50" s="9">
        <f>'2. melléklet'!C50+'4. melléklet'!C34+'5. melléklet'!C34+'6. melléklet'!C34+'7. melléklet'!C34</f>
        <v>3344299.89</v>
      </c>
      <c r="D50" s="9">
        <f>'2. melléklet'!D50+'4. melléklet'!D34+'5. melléklet'!D34+'6. melléklet'!D34+'7. melléklet'!D34</f>
        <v>315982988</v>
      </c>
      <c r="E50" s="9">
        <f>'2. melléklet'!E50+'4. melléklet'!E34+'5. melléklet'!E34+'6. melléklet'!E34+'7. melléklet'!E34</f>
        <v>0</v>
      </c>
      <c r="F50" s="10">
        <f t="shared" si="10"/>
        <v>319327287.88999999</v>
      </c>
      <c r="G50" s="210">
        <f>'Költségvetési kiadások'!N88</f>
        <v>319327287.88999999</v>
      </c>
      <c r="H50" s="11">
        <f t="shared" si="2"/>
        <v>0</v>
      </c>
    </row>
    <row r="51" spans="1:11" x14ac:dyDescent="0.35">
      <c r="A51" s="23" t="s">
        <v>80</v>
      </c>
      <c r="B51" s="8" t="s">
        <v>81</v>
      </c>
      <c r="C51" s="9">
        <v>0</v>
      </c>
      <c r="D51" s="9">
        <v>0</v>
      </c>
      <c r="E51" s="9">
        <v>0</v>
      </c>
      <c r="F51" s="10">
        <f t="shared" si="10"/>
        <v>0</v>
      </c>
      <c r="G51" s="4"/>
      <c r="H51" s="11">
        <f t="shared" si="2"/>
        <v>0</v>
      </c>
    </row>
    <row r="52" spans="1:11" x14ac:dyDescent="0.35">
      <c r="A52" s="23" t="s">
        <v>16</v>
      </c>
      <c r="B52" s="13" t="s">
        <v>82</v>
      </c>
      <c r="C52" s="9">
        <f>C39+C48</f>
        <v>1539755261.4950001</v>
      </c>
      <c r="D52" s="9">
        <f t="shared" ref="D52:F52" si="12">D39+D48</f>
        <v>798594924.6500001</v>
      </c>
      <c r="E52" s="9">
        <f t="shared" si="12"/>
        <v>0</v>
      </c>
      <c r="F52" s="10">
        <f t="shared" si="12"/>
        <v>2338350186.145</v>
      </c>
      <c r="G52" s="210">
        <f>'Költségvetési kiadások'!N99</f>
        <v>2338350186.145</v>
      </c>
      <c r="H52" s="11">
        <f t="shared" si="2"/>
        <v>0</v>
      </c>
    </row>
    <row r="53" spans="1:11" x14ac:dyDescent="0.35">
      <c r="A53" s="7" t="s">
        <v>18</v>
      </c>
      <c r="B53" s="8" t="s">
        <v>600</v>
      </c>
      <c r="C53" s="9">
        <f>'2. melléklet'!C53</f>
        <v>120000000</v>
      </c>
      <c r="D53" s="9">
        <f>'2. melléklet'!D53</f>
        <v>0</v>
      </c>
      <c r="E53" s="9">
        <f>'2. melléklet'!E53</f>
        <v>0</v>
      </c>
      <c r="F53" s="10">
        <f t="shared" si="10"/>
        <v>120000000</v>
      </c>
      <c r="G53" s="210">
        <f>'Finanszírozási kiadások'!N8</f>
        <v>120000000</v>
      </c>
      <c r="H53" s="11">
        <f t="shared" si="2"/>
        <v>0</v>
      </c>
    </row>
    <row r="54" spans="1:11" x14ac:dyDescent="0.35">
      <c r="A54" s="7" t="s">
        <v>24</v>
      </c>
      <c r="B54" s="8" t="s">
        <v>84</v>
      </c>
      <c r="C54" s="9">
        <v>0</v>
      </c>
      <c r="D54" s="9">
        <v>0</v>
      </c>
      <c r="E54" s="9">
        <v>0</v>
      </c>
      <c r="F54" s="10">
        <f t="shared" si="10"/>
        <v>0</v>
      </c>
      <c r="H54" s="11">
        <f t="shared" si="2"/>
        <v>0</v>
      </c>
    </row>
    <row r="55" spans="1:11" x14ac:dyDescent="0.35">
      <c r="A55" s="7" t="s">
        <v>26</v>
      </c>
      <c r="B55" s="8" t="s">
        <v>85</v>
      </c>
      <c r="C55" s="9">
        <f>SUM(C56:C58)</f>
        <v>703430946.89999998</v>
      </c>
      <c r="D55" s="9">
        <f t="shared" ref="D55:E55" si="13">SUM(D56:D58)</f>
        <v>30704598.829999998</v>
      </c>
      <c r="E55" s="9">
        <f t="shared" si="13"/>
        <v>0</v>
      </c>
      <c r="F55" s="10">
        <f>SUM(F56:F58)</f>
        <v>734135545.73000002</v>
      </c>
      <c r="G55" s="210">
        <f>SUM(G56:G58)</f>
        <v>734135545.73000002</v>
      </c>
      <c r="H55" s="11"/>
      <c r="J55" s="11"/>
      <c r="K55" s="11"/>
    </row>
    <row r="56" spans="1:11" x14ac:dyDescent="0.35">
      <c r="A56" s="7"/>
      <c r="B56" s="8" t="s">
        <v>86</v>
      </c>
      <c r="C56" s="9">
        <f>'2. melléklet'!C56+'4. melléklet'!C40+'5. melléklet'!C40+'6. melléklet'!C40+'7. melléklet'!C40</f>
        <v>675412939.89999998</v>
      </c>
      <c r="D56" s="9">
        <f>'2. melléklet'!D56+'4. melléklet'!D40+'5. melléklet'!D40+'6. melléklet'!D40+'7. melléklet'!D40</f>
        <v>29463299.829999998</v>
      </c>
      <c r="E56" s="9">
        <f>'2. melléklet'!E56+'4. melléklet'!E40+'5. melléklet'!E40+'6. melléklet'!E40+'7. melléklet'!E40</f>
        <v>0</v>
      </c>
      <c r="F56" s="10">
        <f t="shared" si="10"/>
        <v>704876239.73000002</v>
      </c>
      <c r="G56" s="210">
        <f>'Finanszírozási kiadások'!N18</f>
        <v>704876239.73000002</v>
      </c>
      <c r="H56" s="11">
        <f t="shared" si="2"/>
        <v>0</v>
      </c>
      <c r="J56" s="11"/>
      <c r="K56" s="11"/>
    </row>
    <row r="57" spans="1:11" x14ac:dyDescent="0.35">
      <c r="A57" s="14"/>
      <c r="B57" s="8" t="s">
        <v>680</v>
      </c>
      <c r="C57" s="9">
        <f>'2. melléklet'!C57</f>
        <v>0</v>
      </c>
      <c r="D57" s="9">
        <f>'2. melléklet'!D57</f>
        <v>1241299</v>
      </c>
      <c r="E57" s="9">
        <v>0</v>
      </c>
      <c r="F57" s="10">
        <f t="shared" si="10"/>
        <v>1241299</v>
      </c>
      <c r="G57" s="210">
        <f>'Finanszírozási kiadások'!N20</f>
        <v>1241299</v>
      </c>
      <c r="H57" s="11">
        <f t="shared" si="2"/>
        <v>0</v>
      </c>
      <c r="J57" s="11"/>
      <c r="K57" s="11"/>
    </row>
    <row r="58" spans="1:11" x14ac:dyDescent="0.35">
      <c r="A58" s="254"/>
      <c r="B58" s="8" t="s">
        <v>681</v>
      </c>
      <c r="C58" s="9">
        <f>'Finanszírozási kiadások'!C17+'Finanszírozási kiadások'!E17</f>
        <v>28018007</v>
      </c>
      <c r="D58" s="9">
        <f>'Finanszírozási kiadások'!D17</f>
        <v>0</v>
      </c>
      <c r="E58" s="9">
        <v>0</v>
      </c>
      <c r="F58" s="10">
        <f>SUM(C58:E58)</f>
        <v>28018007</v>
      </c>
      <c r="G58" s="210">
        <f>'Finanszírozási kiadások'!N17</f>
        <v>28018007</v>
      </c>
      <c r="H58" s="11"/>
      <c r="J58" s="11"/>
      <c r="K58" s="11"/>
    </row>
    <row r="59" spans="1:11" x14ac:dyDescent="0.35">
      <c r="A59" s="7" t="s">
        <v>28</v>
      </c>
      <c r="B59" s="8" t="s">
        <v>87</v>
      </c>
      <c r="C59" s="9">
        <v>0</v>
      </c>
      <c r="D59" s="9">
        <v>0</v>
      </c>
      <c r="E59" s="9">
        <v>0</v>
      </c>
      <c r="F59" s="10">
        <f t="shared" si="10"/>
        <v>0</v>
      </c>
      <c r="H59" s="11">
        <f t="shared" si="2"/>
        <v>0</v>
      </c>
      <c r="J59" s="11"/>
      <c r="K59" s="11"/>
    </row>
    <row r="60" spans="1:11" x14ac:dyDescent="0.35">
      <c r="A60" s="7" t="s">
        <v>30</v>
      </c>
      <c r="B60" s="13" t="s">
        <v>88</v>
      </c>
      <c r="C60" s="9">
        <f>C53+C54+C55+C59</f>
        <v>823430946.89999998</v>
      </c>
      <c r="D60" s="9">
        <f t="shared" ref="D60:F60" si="14">D53+D54+D55+D59</f>
        <v>30704598.829999998</v>
      </c>
      <c r="E60" s="9">
        <f t="shared" si="14"/>
        <v>0</v>
      </c>
      <c r="F60" s="10">
        <f t="shared" si="14"/>
        <v>854135545.73000002</v>
      </c>
      <c r="G60" s="210">
        <f>'Finanszírozási kiadások'!N34</f>
        <v>854135545.73000002</v>
      </c>
      <c r="H60" s="11">
        <f t="shared" si="2"/>
        <v>0</v>
      </c>
      <c r="J60" s="11"/>
      <c r="K60" s="11"/>
    </row>
    <row r="61" spans="1:11" x14ac:dyDescent="0.35">
      <c r="A61" s="7" t="s">
        <v>32</v>
      </c>
      <c r="B61" s="13" t="s">
        <v>89</v>
      </c>
      <c r="C61" s="9">
        <f t="shared" ref="C61:F61" si="15">C52+C60</f>
        <v>2363186208.395</v>
      </c>
      <c r="D61" s="9">
        <f t="shared" si="15"/>
        <v>829299523.48000014</v>
      </c>
      <c r="E61" s="9">
        <f t="shared" si="15"/>
        <v>0</v>
      </c>
      <c r="F61" s="10">
        <f t="shared" si="15"/>
        <v>3192485731.875</v>
      </c>
      <c r="G61" s="210">
        <f>'Költségvetési kiadások'!N99+'Finanszírozási kiadások'!N34</f>
        <v>3192485731.875</v>
      </c>
      <c r="H61" s="11">
        <f t="shared" si="2"/>
        <v>0</v>
      </c>
      <c r="J61" s="11"/>
      <c r="K61" s="11"/>
    </row>
    <row r="62" spans="1:11" x14ac:dyDescent="0.35">
      <c r="A62" s="7" t="s">
        <v>34</v>
      </c>
      <c r="B62" s="8" t="s">
        <v>53</v>
      </c>
      <c r="C62" s="9">
        <f>C56</f>
        <v>675412939.89999998</v>
      </c>
      <c r="D62" s="9">
        <f>D56</f>
        <v>29463299.829999998</v>
      </c>
      <c r="E62" s="9">
        <f t="shared" ref="E62" si="16">E55</f>
        <v>0</v>
      </c>
      <c r="F62" s="9">
        <f>SUM(C62:E62)</f>
        <v>704876239.73000002</v>
      </c>
      <c r="G62" s="210">
        <f>G56</f>
        <v>704876239.73000002</v>
      </c>
      <c r="H62" s="11">
        <f t="shared" si="2"/>
        <v>0</v>
      </c>
      <c r="J62" s="11"/>
      <c r="K62" s="11"/>
    </row>
    <row r="63" spans="1:11" x14ac:dyDescent="0.35">
      <c r="A63" s="20" t="s">
        <v>36</v>
      </c>
      <c r="B63" s="8" t="s">
        <v>680</v>
      </c>
      <c r="C63" s="9">
        <f>'2. melléklet'!C57</f>
        <v>0</v>
      </c>
      <c r="D63" s="9">
        <f>'2. melléklet'!D57</f>
        <v>1241299</v>
      </c>
      <c r="E63" s="9">
        <v>0</v>
      </c>
      <c r="F63" s="10">
        <f t="shared" si="10"/>
        <v>1241299</v>
      </c>
      <c r="G63" s="210">
        <f>G57</f>
        <v>1241299</v>
      </c>
      <c r="H63" s="11">
        <f t="shared" si="2"/>
        <v>0</v>
      </c>
      <c r="J63" s="11"/>
      <c r="K63" s="11"/>
    </row>
    <row r="64" spans="1:11" x14ac:dyDescent="0.35">
      <c r="A64" s="12" t="s">
        <v>38</v>
      </c>
      <c r="B64" s="8" t="s">
        <v>681</v>
      </c>
      <c r="C64" s="9">
        <f>'2. melléklet'!C58</f>
        <v>28018007</v>
      </c>
      <c r="D64" s="9">
        <f>'2. melléklet'!D58</f>
        <v>0</v>
      </c>
      <c r="E64" s="9">
        <f>'2. melléklet'!E58</f>
        <v>0</v>
      </c>
      <c r="F64" s="10">
        <f>SUM(C64:E64)</f>
        <v>28018007</v>
      </c>
      <c r="G64" s="210"/>
      <c r="H64" s="11"/>
      <c r="J64" s="11"/>
      <c r="K64" s="11"/>
    </row>
    <row r="65" spans="1:11" x14ac:dyDescent="0.35">
      <c r="A65" s="12" t="s">
        <v>40</v>
      </c>
      <c r="B65" s="24" t="s">
        <v>57</v>
      </c>
      <c r="C65" s="10">
        <f>C61-C62</f>
        <v>1687773268.4949999</v>
      </c>
      <c r="D65" s="10">
        <f>D61-D62</f>
        <v>799836223.6500001</v>
      </c>
      <c r="E65" s="10">
        <f t="shared" ref="E65:F65" si="17">E61-E62</f>
        <v>0</v>
      </c>
      <c r="F65" s="10">
        <f t="shared" si="17"/>
        <v>2487609492.145</v>
      </c>
      <c r="G65" s="210">
        <f>G61-G62</f>
        <v>2487609492.145</v>
      </c>
      <c r="H65" s="11">
        <f t="shared" si="2"/>
        <v>0</v>
      </c>
      <c r="J65" s="11"/>
      <c r="K65" s="11"/>
    </row>
    <row r="66" spans="1:11" x14ac:dyDescent="0.35">
      <c r="A66" s="12" t="s">
        <v>44</v>
      </c>
      <c r="B66" s="25" t="s">
        <v>90</v>
      </c>
      <c r="C66" s="26">
        <f>C37-C65</f>
        <v>400113654.61500025</v>
      </c>
      <c r="D66" s="26">
        <f>D37-D65</f>
        <v>-400113654.6500001</v>
      </c>
      <c r="E66" s="26"/>
      <c r="F66" s="10">
        <f t="shared" si="10"/>
        <v>-3.4999847412109375E-2</v>
      </c>
      <c r="G66" s="210">
        <f>G65-G37</f>
        <v>3.4999847412109375E-2</v>
      </c>
      <c r="H66" s="11"/>
    </row>
    <row r="67" spans="1:11" ht="22" x14ac:dyDescent="0.35">
      <c r="A67" s="12" t="s">
        <v>46</v>
      </c>
      <c r="B67" s="27" t="s">
        <v>91</v>
      </c>
      <c r="C67" s="26">
        <f>C5+C6+C12+C20+C22+C27-C39</f>
        <v>381397583.5150001</v>
      </c>
      <c r="D67" s="26">
        <f>D5+D6+D12+D20+D22+D27-D39</f>
        <v>-269536424.15000004</v>
      </c>
      <c r="E67" s="26"/>
      <c r="F67" s="10">
        <f t="shared" si="10"/>
        <v>111861159.36500007</v>
      </c>
    </row>
    <row r="68" spans="1:11" ht="22" x14ac:dyDescent="0.35">
      <c r="A68" s="12" t="s">
        <v>48</v>
      </c>
      <c r="B68" s="27" t="s">
        <v>92</v>
      </c>
      <c r="C68" s="26">
        <f>C21+C23-C48</f>
        <v>46734078.100000001</v>
      </c>
      <c r="D68" s="26">
        <f>D21+D23-D48</f>
        <v>-489261998.5</v>
      </c>
      <c r="E68" s="26"/>
      <c r="F68" s="10">
        <f t="shared" si="10"/>
        <v>-442527920.39999998</v>
      </c>
    </row>
  </sheetData>
  <mergeCells count="3">
    <mergeCell ref="A1:C1"/>
    <mergeCell ref="D1:F2"/>
    <mergeCell ref="A2:C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zoomScale="90" zoomScaleNormal="90" workbookViewId="0">
      <pane xSplit="2" ySplit="4" topLeftCell="J5" activePane="bottomRight" state="frozen"/>
      <selection activeCell="B25" sqref="B25"/>
      <selection pane="topRight" activeCell="B25" sqref="B25"/>
      <selection pane="bottomLeft" activeCell="B25" sqref="B25"/>
      <selection pane="bottomRight" activeCell="N3" sqref="N3:N34"/>
    </sheetView>
  </sheetViews>
  <sheetFormatPr defaultRowHeight="13" x14ac:dyDescent="0.3"/>
  <cols>
    <col min="1" max="1" width="3" style="172" bestFit="1" customWidth="1"/>
    <col min="2" max="2" width="79.54296875" style="172" bestFit="1" customWidth="1"/>
    <col min="3" max="3" width="20" style="172" bestFit="1" customWidth="1"/>
    <col min="4" max="5" width="20" style="172" customWidth="1"/>
    <col min="6" max="6" width="20" style="172" bestFit="1" customWidth="1"/>
    <col min="7" max="7" width="20" style="172" customWidth="1"/>
    <col min="8" max="8" width="20" style="172" bestFit="1" customWidth="1"/>
    <col min="9" max="9" width="20" style="172" customWidth="1"/>
    <col min="10" max="10" width="20" style="172" bestFit="1" customWidth="1"/>
    <col min="11" max="11" width="20" style="172" customWidth="1"/>
    <col min="12" max="12" width="20" style="172" bestFit="1" customWidth="1"/>
    <col min="13" max="13" width="20" style="172" customWidth="1"/>
    <col min="14" max="14" width="21.26953125" style="176" bestFit="1" customWidth="1"/>
    <col min="15" max="262" width="9.1796875" style="172"/>
    <col min="263" max="263" width="3" style="172" bestFit="1" customWidth="1"/>
    <col min="264" max="264" width="79.54296875" style="172" bestFit="1" customWidth="1"/>
    <col min="265" max="269" width="20" style="172" bestFit="1" customWidth="1"/>
    <col min="270" max="270" width="21.26953125" style="172" bestFit="1" customWidth="1"/>
    <col min="271" max="518" width="9.1796875" style="172"/>
    <col min="519" max="519" width="3" style="172" bestFit="1" customWidth="1"/>
    <col min="520" max="520" width="79.54296875" style="172" bestFit="1" customWidth="1"/>
    <col min="521" max="525" width="20" style="172" bestFit="1" customWidth="1"/>
    <col min="526" max="526" width="21.26953125" style="172" bestFit="1" customWidth="1"/>
    <col min="527" max="774" width="9.1796875" style="172"/>
    <col min="775" max="775" width="3" style="172" bestFit="1" customWidth="1"/>
    <col min="776" max="776" width="79.54296875" style="172" bestFit="1" customWidth="1"/>
    <col min="777" max="781" width="20" style="172" bestFit="1" customWidth="1"/>
    <col min="782" max="782" width="21.26953125" style="172" bestFit="1" customWidth="1"/>
    <col min="783" max="1030" width="9.1796875" style="172"/>
    <col min="1031" max="1031" width="3" style="172" bestFit="1" customWidth="1"/>
    <col min="1032" max="1032" width="79.54296875" style="172" bestFit="1" customWidth="1"/>
    <col min="1033" max="1037" width="20" style="172" bestFit="1" customWidth="1"/>
    <col min="1038" max="1038" width="21.26953125" style="172" bestFit="1" customWidth="1"/>
    <col min="1039" max="1286" width="9.1796875" style="172"/>
    <col min="1287" max="1287" width="3" style="172" bestFit="1" customWidth="1"/>
    <col min="1288" max="1288" width="79.54296875" style="172" bestFit="1" customWidth="1"/>
    <col min="1289" max="1293" width="20" style="172" bestFit="1" customWidth="1"/>
    <col min="1294" max="1294" width="21.26953125" style="172" bestFit="1" customWidth="1"/>
    <col min="1295" max="1542" width="9.1796875" style="172"/>
    <col min="1543" max="1543" width="3" style="172" bestFit="1" customWidth="1"/>
    <col min="1544" max="1544" width="79.54296875" style="172" bestFit="1" customWidth="1"/>
    <col min="1545" max="1549" width="20" style="172" bestFit="1" customWidth="1"/>
    <col min="1550" max="1550" width="21.26953125" style="172" bestFit="1" customWidth="1"/>
    <col min="1551" max="1798" width="9.1796875" style="172"/>
    <col min="1799" max="1799" width="3" style="172" bestFit="1" customWidth="1"/>
    <col min="1800" max="1800" width="79.54296875" style="172" bestFit="1" customWidth="1"/>
    <col min="1801" max="1805" width="20" style="172" bestFit="1" customWidth="1"/>
    <col min="1806" max="1806" width="21.26953125" style="172" bestFit="1" customWidth="1"/>
    <col min="1807" max="2054" width="9.1796875" style="172"/>
    <col min="2055" max="2055" width="3" style="172" bestFit="1" customWidth="1"/>
    <col min="2056" max="2056" width="79.54296875" style="172" bestFit="1" customWidth="1"/>
    <col min="2057" max="2061" width="20" style="172" bestFit="1" customWidth="1"/>
    <col min="2062" max="2062" width="21.26953125" style="172" bestFit="1" customWidth="1"/>
    <col min="2063" max="2310" width="9.1796875" style="172"/>
    <col min="2311" max="2311" width="3" style="172" bestFit="1" customWidth="1"/>
    <col min="2312" max="2312" width="79.54296875" style="172" bestFit="1" customWidth="1"/>
    <col min="2313" max="2317" width="20" style="172" bestFit="1" customWidth="1"/>
    <col min="2318" max="2318" width="21.26953125" style="172" bestFit="1" customWidth="1"/>
    <col min="2319" max="2566" width="9.1796875" style="172"/>
    <col min="2567" max="2567" width="3" style="172" bestFit="1" customWidth="1"/>
    <col min="2568" max="2568" width="79.54296875" style="172" bestFit="1" customWidth="1"/>
    <col min="2569" max="2573" width="20" style="172" bestFit="1" customWidth="1"/>
    <col min="2574" max="2574" width="21.26953125" style="172" bestFit="1" customWidth="1"/>
    <col min="2575" max="2822" width="9.1796875" style="172"/>
    <col min="2823" max="2823" width="3" style="172" bestFit="1" customWidth="1"/>
    <col min="2824" max="2824" width="79.54296875" style="172" bestFit="1" customWidth="1"/>
    <col min="2825" max="2829" width="20" style="172" bestFit="1" customWidth="1"/>
    <col min="2830" max="2830" width="21.26953125" style="172" bestFit="1" customWidth="1"/>
    <col min="2831" max="3078" width="9.1796875" style="172"/>
    <col min="3079" max="3079" width="3" style="172" bestFit="1" customWidth="1"/>
    <col min="3080" max="3080" width="79.54296875" style="172" bestFit="1" customWidth="1"/>
    <col min="3081" max="3085" width="20" style="172" bestFit="1" customWidth="1"/>
    <col min="3086" max="3086" width="21.26953125" style="172" bestFit="1" customWidth="1"/>
    <col min="3087" max="3334" width="9.1796875" style="172"/>
    <col min="3335" max="3335" width="3" style="172" bestFit="1" customWidth="1"/>
    <col min="3336" max="3336" width="79.54296875" style="172" bestFit="1" customWidth="1"/>
    <col min="3337" max="3341" width="20" style="172" bestFit="1" customWidth="1"/>
    <col min="3342" max="3342" width="21.26953125" style="172" bestFit="1" customWidth="1"/>
    <col min="3343" max="3590" width="9.1796875" style="172"/>
    <col min="3591" max="3591" width="3" style="172" bestFit="1" customWidth="1"/>
    <col min="3592" max="3592" width="79.54296875" style="172" bestFit="1" customWidth="1"/>
    <col min="3593" max="3597" width="20" style="172" bestFit="1" customWidth="1"/>
    <col min="3598" max="3598" width="21.26953125" style="172" bestFit="1" customWidth="1"/>
    <col min="3599" max="3846" width="9.1796875" style="172"/>
    <col min="3847" max="3847" width="3" style="172" bestFit="1" customWidth="1"/>
    <col min="3848" max="3848" width="79.54296875" style="172" bestFit="1" customWidth="1"/>
    <col min="3849" max="3853" width="20" style="172" bestFit="1" customWidth="1"/>
    <col min="3854" max="3854" width="21.26953125" style="172" bestFit="1" customWidth="1"/>
    <col min="3855" max="4102" width="9.1796875" style="172"/>
    <col min="4103" max="4103" width="3" style="172" bestFit="1" customWidth="1"/>
    <col min="4104" max="4104" width="79.54296875" style="172" bestFit="1" customWidth="1"/>
    <col min="4105" max="4109" width="20" style="172" bestFit="1" customWidth="1"/>
    <col min="4110" max="4110" width="21.26953125" style="172" bestFit="1" customWidth="1"/>
    <col min="4111" max="4358" width="9.1796875" style="172"/>
    <col min="4359" max="4359" width="3" style="172" bestFit="1" customWidth="1"/>
    <col min="4360" max="4360" width="79.54296875" style="172" bestFit="1" customWidth="1"/>
    <col min="4361" max="4365" width="20" style="172" bestFit="1" customWidth="1"/>
    <col min="4366" max="4366" width="21.26953125" style="172" bestFit="1" customWidth="1"/>
    <col min="4367" max="4614" width="9.1796875" style="172"/>
    <col min="4615" max="4615" width="3" style="172" bestFit="1" customWidth="1"/>
    <col min="4616" max="4616" width="79.54296875" style="172" bestFit="1" customWidth="1"/>
    <col min="4617" max="4621" width="20" style="172" bestFit="1" customWidth="1"/>
    <col min="4622" max="4622" width="21.26953125" style="172" bestFit="1" customWidth="1"/>
    <col min="4623" max="4870" width="9.1796875" style="172"/>
    <col min="4871" max="4871" width="3" style="172" bestFit="1" customWidth="1"/>
    <col min="4872" max="4872" width="79.54296875" style="172" bestFit="1" customWidth="1"/>
    <col min="4873" max="4877" width="20" style="172" bestFit="1" customWidth="1"/>
    <col min="4878" max="4878" width="21.26953125" style="172" bestFit="1" customWidth="1"/>
    <col min="4879" max="5126" width="9.1796875" style="172"/>
    <col min="5127" max="5127" width="3" style="172" bestFit="1" customWidth="1"/>
    <col min="5128" max="5128" width="79.54296875" style="172" bestFit="1" customWidth="1"/>
    <col min="5129" max="5133" width="20" style="172" bestFit="1" customWidth="1"/>
    <col min="5134" max="5134" width="21.26953125" style="172" bestFit="1" customWidth="1"/>
    <col min="5135" max="5382" width="9.1796875" style="172"/>
    <col min="5383" max="5383" width="3" style="172" bestFit="1" customWidth="1"/>
    <col min="5384" max="5384" width="79.54296875" style="172" bestFit="1" customWidth="1"/>
    <col min="5385" max="5389" width="20" style="172" bestFit="1" customWidth="1"/>
    <col min="5390" max="5390" width="21.26953125" style="172" bestFit="1" customWidth="1"/>
    <col min="5391" max="5638" width="9.1796875" style="172"/>
    <col min="5639" max="5639" width="3" style="172" bestFit="1" customWidth="1"/>
    <col min="5640" max="5640" width="79.54296875" style="172" bestFit="1" customWidth="1"/>
    <col min="5641" max="5645" width="20" style="172" bestFit="1" customWidth="1"/>
    <col min="5646" max="5646" width="21.26953125" style="172" bestFit="1" customWidth="1"/>
    <col min="5647" max="5894" width="9.1796875" style="172"/>
    <col min="5895" max="5895" width="3" style="172" bestFit="1" customWidth="1"/>
    <col min="5896" max="5896" width="79.54296875" style="172" bestFit="1" customWidth="1"/>
    <col min="5897" max="5901" width="20" style="172" bestFit="1" customWidth="1"/>
    <col min="5902" max="5902" width="21.26953125" style="172" bestFit="1" customWidth="1"/>
    <col min="5903" max="6150" width="9.1796875" style="172"/>
    <col min="6151" max="6151" width="3" style="172" bestFit="1" customWidth="1"/>
    <col min="6152" max="6152" width="79.54296875" style="172" bestFit="1" customWidth="1"/>
    <col min="6153" max="6157" width="20" style="172" bestFit="1" customWidth="1"/>
    <col min="6158" max="6158" width="21.26953125" style="172" bestFit="1" customWidth="1"/>
    <col min="6159" max="6406" width="9.1796875" style="172"/>
    <col min="6407" max="6407" width="3" style="172" bestFit="1" customWidth="1"/>
    <col min="6408" max="6408" width="79.54296875" style="172" bestFit="1" customWidth="1"/>
    <col min="6409" max="6413" width="20" style="172" bestFit="1" customWidth="1"/>
    <col min="6414" max="6414" width="21.26953125" style="172" bestFit="1" customWidth="1"/>
    <col min="6415" max="6662" width="9.1796875" style="172"/>
    <col min="6663" max="6663" width="3" style="172" bestFit="1" customWidth="1"/>
    <col min="6664" max="6664" width="79.54296875" style="172" bestFit="1" customWidth="1"/>
    <col min="6665" max="6669" width="20" style="172" bestFit="1" customWidth="1"/>
    <col min="6670" max="6670" width="21.26953125" style="172" bestFit="1" customWidth="1"/>
    <col min="6671" max="6918" width="9.1796875" style="172"/>
    <col min="6919" max="6919" width="3" style="172" bestFit="1" customWidth="1"/>
    <col min="6920" max="6920" width="79.54296875" style="172" bestFit="1" customWidth="1"/>
    <col min="6921" max="6925" width="20" style="172" bestFit="1" customWidth="1"/>
    <col min="6926" max="6926" width="21.26953125" style="172" bestFit="1" customWidth="1"/>
    <col min="6927" max="7174" width="9.1796875" style="172"/>
    <col min="7175" max="7175" width="3" style="172" bestFit="1" customWidth="1"/>
    <col min="7176" max="7176" width="79.54296875" style="172" bestFit="1" customWidth="1"/>
    <col min="7177" max="7181" width="20" style="172" bestFit="1" customWidth="1"/>
    <col min="7182" max="7182" width="21.26953125" style="172" bestFit="1" customWidth="1"/>
    <col min="7183" max="7430" width="9.1796875" style="172"/>
    <col min="7431" max="7431" width="3" style="172" bestFit="1" customWidth="1"/>
    <col min="7432" max="7432" width="79.54296875" style="172" bestFit="1" customWidth="1"/>
    <col min="7433" max="7437" width="20" style="172" bestFit="1" customWidth="1"/>
    <col min="7438" max="7438" width="21.26953125" style="172" bestFit="1" customWidth="1"/>
    <col min="7439" max="7686" width="9.1796875" style="172"/>
    <col min="7687" max="7687" width="3" style="172" bestFit="1" customWidth="1"/>
    <col min="7688" max="7688" width="79.54296875" style="172" bestFit="1" customWidth="1"/>
    <col min="7689" max="7693" width="20" style="172" bestFit="1" customWidth="1"/>
    <col min="7694" max="7694" width="21.26953125" style="172" bestFit="1" customWidth="1"/>
    <col min="7695" max="7942" width="9.1796875" style="172"/>
    <col min="7943" max="7943" width="3" style="172" bestFit="1" customWidth="1"/>
    <col min="7944" max="7944" width="79.54296875" style="172" bestFit="1" customWidth="1"/>
    <col min="7945" max="7949" width="20" style="172" bestFit="1" customWidth="1"/>
    <col min="7950" max="7950" width="21.26953125" style="172" bestFit="1" customWidth="1"/>
    <col min="7951" max="8198" width="9.1796875" style="172"/>
    <col min="8199" max="8199" width="3" style="172" bestFit="1" customWidth="1"/>
    <col min="8200" max="8200" width="79.54296875" style="172" bestFit="1" customWidth="1"/>
    <col min="8201" max="8205" width="20" style="172" bestFit="1" customWidth="1"/>
    <col min="8206" max="8206" width="21.26953125" style="172" bestFit="1" customWidth="1"/>
    <col min="8207" max="8454" width="9.1796875" style="172"/>
    <col min="8455" max="8455" width="3" style="172" bestFit="1" customWidth="1"/>
    <col min="8456" max="8456" width="79.54296875" style="172" bestFit="1" customWidth="1"/>
    <col min="8457" max="8461" width="20" style="172" bestFit="1" customWidth="1"/>
    <col min="8462" max="8462" width="21.26953125" style="172" bestFit="1" customWidth="1"/>
    <col min="8463" max="8710" width="9.1796875" style="172"/>
    <col min="8711" max="8711" width="3" style="172" bestFit="1" customWidth="1"/>
    <col min="8712" max="8712" width="79.54296875" style="172" bestFit="1" customWidth="1"/>
    <col min="8713" max="8717" width="20" style="172" bestFit="1" customWidth="1"/>
    <col min="8718" max="8718" width="21.26953125" style="172" bestFit="1" customWidth="1"/>
    <col min="8719" max="8966" width="9.1796875" style="172"/>
    <col min="8967" max="8967" width="3" style="172" bestFit="1" customWidth="1"/>
    <col min="8968" max="8968" width="79.54296875" style="172" bestFit="1" customWidth="1"/>
    <col min="8969" max="8973" width="20" style="172" bestFit="1" customWidth="1"/>
    <col min="8974" max="8974" width="21.26953125" style="172" bestFit="1" customWidth="1"/>
    <col min="8975" max="9222" width="9.1796875" style="172"/>
    <col min="9223" max="9223" width="3" style="172" bestFit="1" customWidth="1"/>
    <col min="9224" max="9224" width="79.54296875" style="172" bestFit="1" customWidth="1"/>
    <col min="9225" max="9229" width="20" style="172" bestFit="1" customWidth="1"/>
    <col min="9230" max="9230" width="21.26953125" style="172" bestFit="1" customWidth="1"/>
    <col min="9231" max="9478" width="9.1796875" style="172"/>
    <col min="9479" max="9479" width="3" style="172" bestFit="1" customWidth="1"/>
    <col min="9480" max="9480" width="79.54296875" style="172" bestFit="1" customWidth="1"/>
    <col min="9481" max="9485" width="20" style="172" bestFit="1" customWidth="1"/>
    <col min="9486" max="9486" width="21.26953125" style="172" bestFit="1" customWidth="1"/>
    <col min="9487" max="9734" width="9.1796875" style="172"/>
    <col min="9735" max="9735" width="3" style="172" bestFit="1" customWidth="1"/>
    <col min="9736" max="9736" width="79.54296875" style="172" bestFit="1" customWidth="1"/>
    <col min="9737" max="9741" width="20" style="172" bestFit="1" customWidth="1"/>
    <col min="9742" max="9742" width="21.26953125" style="172" bestFit="1" customWidth="1"/>
    <col min="9743" max="9990" width="9.1796875" style="172"/>
    <col min="9991" max="9991" width="3" style="172" bestFit="1" customWidth="1"/>
    <col min="9992" max="9992" width="79.54296875" style="172" bestFit="1" customWidth="1"/>
    <col min="9993" max="9997" width="20" style="172" bestFit="1" customWidth="1"/>
    <col min="9998" max="9998" width="21.26953125" style="172" bestFit="1" customWidth="1"/>
    <col min="9999" max="10246" width="9.1796875" style="172"/>
    <col min="10247" max="10247" width="3" style="172" bestFit="1" customWidth="1"/>
    <col min="10248" max="10248" width="79.54296875" style="172" bestFit="1" customWidth="1"/>
    <col min="10249" max="10253" width="20" style="172" bestFit="1" customWidth="1"/>
    <col min="10254" max="10254" width="21.26953125" style="172" bestFit="1" customWidth="1"/>
    <col min="10255" max="10502" width="9.1796875" style="172"/>
    <col min="10503" max="10503" width="3" style="172" bestFit="1" customWidth="1"/>
    <col min="10504" max="10504" width="79.54296875" style="172" bestFit="1" customWidth="1"/>
    <col min="10505" max="10509" width="20" style="172" bestFit="1" customWidth="1"/>
    <col min="10510" max="10510" width="21.26953125" style="172" bestFit="1" customWidth="1"/>
    <col min="10511" max="10758" width="9.1796875" style="172"/>
    <col min="10759" max="10759" width="3" style="172" bestFit="1" customWidth="1"/>
    <col min="10760" max="10760" width="79.54296875" style="172" bestFit="1" customWidth="1"/>
    <col min="10761" max="10765" width="20" style="172" bestFit="1" customWidth="1"/>
    <col min="10766" max="10766" width="21.26953125" style="172" bestFit="1" customWidth="1"/>
    <col min="10767" max="11014" width="9.1796875" style="172"/>
    <col min="11015" max="11015" width="3" style="172" bestFit="1" customWidth="1"/>
    <col min="11016" max="11016" width="79.54296875" style="172" bestFit="1" customWidth="1"/>
    <col min="11017" max="11021" width="20" style="172" bestFit="1" customWidth="1"/>
    <col min="11022" max="11022" width="21.26953125" style="172" bestFit="1" customWidth="1"/>
    <col min="11023" max="11270" width="9.1796875" style="172"/>
    <col min="11271" max="11271" width="3" style="172" bestFit="1" customWidth="1"/>
    <col min="11272" max="11272" width="79.54296875" style="172" bestFit="1" customWidth="1"/>
    <col min="11273" max="11277" width="20" style="172" bestFit="1" customWidth="1"/>
    <col min="11278" max="11278" width="21.26953125" style="172" bestFit="1" customWidth="1"/>
    <col min="11279" max="11526" width="9.1796875" style="172"/>
    <col min="11527" max="11527" width="3" style="172" bestFit="1" customWidth="1"/>
    <col min="11528" max="11528" width="79.54296875" style="172" bestFit="1" customWidth="1"/>
    <col min="11529" max="11533" width="20" style="172" bestFit="1" customWidth="1"/>
    <col min="11534" max="11534" width="21.26953125" style="172" bestFit="1" customWidth="1"/>
    <col min="11535" max="11782" width="9.1796875" style="172"/>
    <col min="11783" max="11783" width="3" style="172" bestFit="1" customWidth="1"/>
    <col min="11784" max="11784" width="79.54296875" style="172" bestFit="1" customWidth="1"/>
    <col min="11785" max="11789" width="20" style="172" bestFit="1" customWidth="1"/>
    <col min="11790" max="11790" width="21.26953125" style="172" bestFit="1" customWidth="1"/>
    <col min="11791" max="12038" width="9.1796875" style="172"/>
    <col min="12039" max="12039" width="3" style="172" bestFit="1" customWidth="1"/>
    <col min="12040" max="12040" width="79.54296875" style="172" bestFit="1" customWidth="1"/>
    <col min="12041" max="12045" width="20" style="172" bestFit="1" customWidth="1"/>
    <col min="12046" max="12046" width="21.26953125" style="172" bestFit="1" customWidth="1"/>
    <col min="12047" max="12294" width="9.1796875" style="172"/>
    <col min="12295" max="12295" width="3" style="172" bestFit="1" customWidth="1"/>
    <col min="12296" max="12296" width="79.54296875" style="172" bestFit="1" customWidth="1"/>
    <col min="12297" max="12301" width="20" style="172" bestFit="1" customWidth="1"/>
    <col min="12302" max="12302" width="21.26953125" style="172" bestFit="1" customWidth="1"/>
    <col min="12303" max="12550" width="9.1796875" style="172"/>
    <col min="12551" max="12551" width="3" style="172" bestFit="1" customWidth="1"/>
    <col min="12552" max="12552" width="79.54296875" style="172" bestFit="1" customWidth="1"/>
    <col min="12553" max="12557" width="20" style="172" bestFit="1" customWidth="1"/>
    <col min="12558" max="12558" width="21.26953125" style="172" bestFit="1" customWidth="1"/>
    <col min="12559" max="12806" width="9.1796875" style="172"/>
    <col min="12807" max="12807" width="3" style="172" bestFit="1" customWidth="1"/>
    <col min="12808" max="12808" width="79.54296875" style="172" bestFit="1" customWidth="1"/>
    <col min="12809" max="12813" width="20" style="172" bestFit="1" customWidth="1"/>
    <col min="12814" max="12814" width="21.26953125" style="172" bestFit="1" customWidth="1"/>
    <col min="12815" max="13062" width="9.1796875" style="172"/>
    <col min="13063" max="13063" width="3" style="172" bestFit="1" customWidth="1"/>
    <col min="13064" max="13064" width="79.54296875" style="172" bestFit="1" customWidth="1"/>
    <col min="13065" max="13069" width="20" style="172" bestFit="1" customWidth="1"/>
    <col min="13070" max="13070" width="21.26953125" style="172" bestFit="1" customWidth="1"/>
    <col min="13071" max="13318" width="9.1796875" style="172"/>
    <col min="13319" max="13319" width="3" style="172" bestFit="1" customWidth="1"/>
    <col min="13320" max="13320" width="79.54296875" style="172" bestFit="1" customWidth="1"/>
    <col min="13321" max="13325" width="20" style="172" bestFit="1" customWidth="1"/>
    <col min="13326" max="13326" width="21.26953125" style="172" bestFit="1" customWidth="1"/>
    <col min="13327" max="13574" width="9.1796875" style="172"/>
    <col min="13575" max="13575" width="3" style="172" bestFit="1" customWidth="1"/>
    <col min="13576" max="13576" width="79.54296875" style="172" bestFit="1" customWidth="1"/>
    <col min="13577" max="13581" width="20" style="172" bestFit="1" customWidth="1"/>
    <col min="13582" max="13582" width="21.26953125" style="172" bestFit="1" customWidth="1"/>
    <col min="13583" max="13830" width="9.1796875" style="172"/>
    <col min="13831" max="13831" width="3" style="172" bestFit="1" customWidth="1"/>
    <col min="13832" max="13832" width="79.54296875" style="172" bestFit="1" customWidth="1"/>
    <col min="13833" max="13837" width="20" style="172" bestFit="1" customWidth="1"/>
    <col min="13838" max="13838" width="21.26953125" style="172" bestFit="1" customWidth="1"/>
    <col min="13839" max="14086" width="9.1796875" style="172"/>
    <col min="14087" max="14087" width="3" style="172" bestFit="1" customWidth="1"/>
    <col min="14088" max="14088" width="79.54296875" style="172" bestFit="1" customWidth="1"/>
    <col min="14089" max="14093" width="20" style="172" bestFit="1" customWidth="1"/>
    <col min="14094" max="14094" width="21.26953125" style="172" bestFit="1" customWidth="1"/>
    <col min="14095" max="14342" width="9.1796875" style="172"/>
    <col min="14343" max="14343" width="3" style="172" bestFit="1" customWidth="1"/>
    <col min="14344" max="14344" width="79.54296875" style="172" bestFit="1" customWidth="1"/>
    <col min="14345" max="14349" width="20" style="172" bestFit="1" customWidth="1"/>
    <col min="14350" max="14350" width="21.26953125" style="172" bestFit="1" customWidth="1"/>
    <col min="14351" max="14598" width="9.1796875" style="172"/>
    <col min="14599" max="14599" width="3" style="172" bestFit="1" customWidth="1"/>
    <col min="14600" max="14600" width="79.54296875" style="172" bestFit="1" customWidth="1"/>
    <col min="14601" max="14605" width="20" style="172" bestFit="1" customWidth="1"/>
    <col min="14606" max="14606" width="21.26953125" style="172" bestFit="1" customWidth="1"/>
    <col min="14607" max="14854" width="9.1796875" style="172"/>
    <col min="14855" max="14855" width="3" style="172" bestFit="1" customWidth="1"/>
    <col min="14856" max="14856" width="79.54296875" style="172" bestFit="1" customWidth="1"/>
    <col min="14857" max="14861" width="20" style="172" bestFit="1" customWidth="1"/>
    <col min="14862" max="14862" width="21.26953125" style="172" bestFit="1" customWidth="1"/>
    <col min="14863" max="15110" width="9.1796875" style="172"/>
    <col min="15111" max="15111" width="3" style="172" bestFit="1" customWidth="1"/>
    <col min="15112" max="15112" width="79.54296875" style="172" bestFit="1" customWidth="1"/>
    <col min="15113" max="15117" width="20" style="172" bestFit="1" customWidth="1"/>
    <col min="15118" max="15118" width="21.26953125" style="172" bestFit="1" customWidth="1"/>
    <col min="15119" max="15366" width="9.1796875" style="172"/>
    <col min="15367" max="15367" width="3" style="172" bestFit="1" customWidth="1"/>
    <col min="15368" max="15368" width="79.54296875" style="172" bestFit="1" customWidth="1"/>
    <col min="15369" max="15373" width="20" style="172" bestFit="1" customWidth="1"/>
    <col min="15374" max="15374" width="21.26953125" style="172" bestFit="1" customWidth="1"/>
    <col min="15375" max="15622" width="9.1796875" style="172"/>
    <col min="15623" max="15623" width="3" style="172" bestFit="1" customWidth="1"/>
    <col min="15624" max="15624" width="79.54296875" style="172" bestFit="1" customWidth="1"/>
    <col min="15625" max="15629" width="20" style="172" bestFit="1" customWidth="1"/>
    <col min="15630" max="15630" width="21.26953125" style="172" bestFit="1" customWidth="1"/>
    <col min="15631" max="15878" width="9.1796875" style="172"/>
    <col min="15879" max="15879" width="3" style="172" bestFit="1" customWidth="1"/>
    <col min="15880" max="15880" width="79.54296875" style="172" bestFit="1" customWidth="1"/>
    <col min="15881" max="15885" width="20" style="172" bestFit="1" customWidth="1"/>
    <col min="15886" max="15886" width="21.26953125" style="172" bestFit="1" customWidth="1"/>
    <col min="15887" max="16134" width="9.1796875" style="172"/>
    <col min="16135" max="16135" width="3" style="172" bestFit="1" customWidth="1"/>
    <col min="16136" max="16136" width="79.54296875" style="172" bestFit="1" customWidth="1"/>
    <col min="16137" max="16141" width="20" style="172" bestFit="1" customWidth="1"/>
    <col min="16142" max="16142" width="21.26953125" style="172" bestFit="1" customWidth="1"/>
    <col min="16143" max="16384" width="9.1796875" style="172"/>
  </cols>
  <sheetData>
    <row r="1" spans="1:14" ht="12.5" x14ac:dyDescent="0.25">
      <c r="A1" s="314" t="s">
        <v>629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16" thickBot="1" x14ac:dyDescent="0.3">
      <c r="A2" s="315" t="s">
        <v>588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ht="15.5" x14ac:dyDescent="0.25">
      <c r="A3" s="274"/>
      <c r="B3" s="317" t="s">
        <v>2</v>
      </c>
      <c r="C3" s="319" t="s">
        <v>101</v>
      </c>
      <c r="D3" s="321"/>
      <c r="E3" s="320"/>
      <c r="F3" s="319" t="s">
        <v>264</v>
      </c>
      <c r="G3" s="320"/>
      <c r="H3" s="319" t="s">
        <v>265</v>
      </c>
      <c r="I3" s="320"/>
      <c r="J3" s="319" t="s">
        <v>266</v>
      </c>
      <c r="K3" s="320"/>
      <c r="L3" s="319" t="s">
        <v>267</v>
      </c>
      <c r="M3" s="320"/>
      <c r="N3" s="269" t="s">
        <v>98</v>
      </c>
    </row>
    <row r="4" spans="1:14" ht="31" x14ac:dyDescent="0.25">
      <c r="A4" s="260" t="s">
        <v>268</v>
      </c>
      <c r="B4" s="318"/>
      <c r="C4" s="260" t="s">
        <v>95</v>
      </c>
      <c r="D4" s="173" t="s">
        <v>96</v>
      </c>
      <c r="E4" s="261" t="s">
        <v>677</v>
      </c>
      <c r="F4" s="260" t="s">
        <v>95</v>
      </c>
      <c r="G4" s="261" t="s">
        <v>96</v>
      </c>
      <c r="H4" s="260" t="s">
        <v>95</v>
      </c>
      <c r="I4" s="261" t="s">
        <v>96</v>
      </c>
      <c r="J4" s="260" t="s">
        <v>95</v>
      </c>
      <c r="K4" s="261" t="s">
        <v>96</v>
      </c>
      <c r="L4" s="260" t="s">
        <v>95</v>
      </c>
      <c r="M4" s="261" t="s">
        <v>96</v>
      </c>
      <c r="N4" s="270" t="s">
        <v>269</v>
      </c>
    </row>
    <row r="5" spans="1:14" x14ac:dyDescent="0.25">
      <c r="A5" s="275" t="s">
        <v>270</v>
      </c>
      <c r="B5" s="276" t="s">
        <v>527</v>
      </c>
      <c r="C5" s="262">
        <v>0</v>
      </c>
      <c r="D5" s="174"/>
      <c r="E5" s="263"/>
      <c r="F5" s="262">
        <v>0</v>
      </c>
      <c r="G5" s="263"/>
      <c r="H5" s="262">
        <v>0</v>
      </c>
      <c r="I5" s="263"/>
      <c r="J5" s="262">
        <v>0</v>
      </c>
      <c r="K5" s="263"/>
      <c r="L5" s="262">
        <v>0</v>
      </c>
      <c r="M5" s="263"/>
      <c r="N5" s="271">
        <f>SUM(C5:L5)</f>
        <v>0</v>
      </c>
    </row>
    <row r="6" spans="1:14" x14ac:dyDescent="0.25">
      <c r="A6" s="275" t="s">
        <v>272</v>
      </c>
      <c r="B6" s="276" t="s">
        <v>528</v>
      </c>
      <c r="C6" s="262">
        <v>120000000</v>
      </c>
      <c r="D6" s="174"/>
      <c r="E6" s="263"/>
      <c r="F6" s="262">
        <v>0</v>
      </c>
      <c r="G6" s="263"/>
      <c r="H6" s="262">
        <v>0</v>
      </c>
      <c r="I6" s="263"/>
      <c r="J6" s="262">
        <v>0</v>
      </c>
      <c r="K6" s="263"/>
      <c r="L6" s="262">
        <v>0</v>
      </c>
      <c r="M6" s="263"/>
      <c r="N6" s="271">
        <f t="shared" ref="N6:N34" si="0">SUM(C6:L6)</f>
        <v>120000000</v>
      </c>
    </row>
    <row r="7" spans="1:14" x14ac:dyDescent="0.25">
      <c r="A7" s="275" t="s">
        <v>274</v>
      </c>
      <c r="B7" s="276" t="s">
        <v>529</v>
      </c>
      <c r="C7" s="262">
        <v>0</v>
      </c>
      <c r="D7" s="174"/>
      <c r="E7" s="263"/>
      <c r="F7" s="262">
        <v>0</v>
      </c>
      <c r="G7" s="263"/>
      <c r="H7" s="262">
        <v>0</v>
      </c>
      <c r="I7" s="263"/>
      <c r="J7" s="262">
        <v>0</v>
      </c>
      <c r="K7" s="263"/>
      <c r="L7" s="262">
        <v>0</v>
      </c>
      <c r="M7" s="263"/>
      <c r="N7" s="271">
        <f t="shared" si="0"/>
        <v>0</v>
      </c>
    </row>
    <row r="8" spans="1:14" s="205" customFormat="1" x14ac:dyDescent="0.3">
      <c r="A8" s="277" t="s">
        <v>276</v>
      </c>
      <c r="B8" s="278" t="s">
        <v>530</v>
      </c>
      <c r="C8" s="264">
        <f>SUM(C5:C7)</f>
        <v>120000000</v>
      </c>
      <c r="D8" s="175">
        <f t="shared" ref="D8:M8" si="1">SUM(D5:D7)</f>
        <v>0</v>
      </c>
      <c r="E8" s="265">
        <f t="shared" si="1"/>
        <v>0</v>
      </c>
      <c r="F8" s="264">
        <f t="shared" si="1"/>
        <v>0</v>
      </c>
      <c r="G8" s="265">
        <f t="shared" si="1"/>
        <v>0</v>
      </c>
      <c r="H8" s="264">
        <f t="shared" si="1"/>
        <v>0</v>
      </c>
      <c r="I8" s="265">
        <f t="shared" si="1"/>
        <v>0</v>
      </c>
      <c r="J8" s="264">
        <f t="shared" si="1"/>
        <v>0</v>
      </c>
      <c r="K8" s="265">
        <f t="shared" si="1"/>
        <v>0</v>
      </c>
      <c r="L8" s="264">
        <f t="shared" si="1"/>
        <v>0</v>
      </c>
      <c r="M8" s="265">
        <f t="shared" si="1"/>
        <v>0</v>
      </c>
      <c r="N8" s="272">
        <f t="shared" si="0"/>
        <v>120000000</v>
      </c>
    </row>
    <row r="9" spans="1:14" x14ac:dyDescent="0.25">
      <c r="A9" s="275" t="s">
        <v>278</v>
      </c>
      <c r="B9" s="276" t="s">
        <v>531</v>
      </c>
      <c r="C9" s="262">
        <v>0</v>
      </c>
      <c r="D9" s="174"/>
      <c r="E9" s="263"/>
      <c r="F9" s="262">
        <v>0</v>
      </c>
      <c r="G9" s="263"/>
      <c r="H9" s="262">
        <v>0</v>
      </c>
      <c r="I9" s="263"/>
      <c r="J9" s="262">
        <v>0</v>
      </c>
      <c r="K9" s="263"/>
      <c r="L9" s="262">
        <v>0</v>
      </c>
      <c r="M9" s="263"/>
      <c r="N9" s="271">
        <f t="shared" si="0"/>
        <v>0</v>
      </c>
    </row>
    <row r="10" spans="1:14" x14ac:dyDescent="0.25">
      <c r="A10" s="275" t="s">
        <v>280</v>
      </c>
      <c r="B10" s="276" t="s">
        <v>532</v>
      </c>
      <c r="C10" s="262">
        <v>0</v>
      </c>
      <c r="D10" s="174"/>
      <c r="E10" s="263"/>
      <c r="F10" s="262">
        <v>0</v>
      </c>
      <c r="G10" s="263"/>
      <c r="H10" s="262">
        <v>0</v>
      </c>
      <c r="I10" s="263"/>
      <c r="J10" s="262">
        <v>0</v>
      </c>
      <c r="K10" s="263"/>
      <c r="L10" s="262">
        <v>0</v>
      </c>
      <c r="M10" s="263"/>
      <c r="N10" s="271">
        <f t="shared" si="0"/>
        <v>0</v>
      </c>
    </row>
    <row r="11" spans="1:14" x14ac:dyDescent="0.25">
      <c r="A11" s="275" t="s">
        <v>282</v>
      </c>
      <c r="B11" s="276" t="s">
        <v>533</v>
      </c>
      <c r="C11" s="262">
        <v>0</v>
      </c>
      <c r="D11" s="174"/>
      <c r="E11" s="263"/>
      <c r="F11" s="262">
        <v>0</v>
      </c>
      <c r="G11" s="263"/>
      <c r="H11" s="262">
        <v>0</v>
      </c>
      <c r="I11" s="263"/>
      <c r="J11" s="262">
        <v>0</v>
      </c>
      <c r="K11" s="263"/>
      <c r="L11" s="262">
        <v>0</v>
      </c>
      <c r="M11" s="263"/>
      <c r="N11" s="271">
        <f t="shared" si="0"/>
        <v>0</v>
      </c>
    </row>
    <row r="12" spans="1:14" x14ac:dyDescent="0.25">
      <c r="A12" s="275" t="s">
        <v>284</v>
      </c>
      <c r="B12" s="276" t="s">
        <v>534</v>
      </c>
      <c r="C12" s="262">
        <v>0</v>
      </c>
      <c r="D12" s="174"/>
      <c r="E12" s="263"/>
      <c r="F12" s="262">
        <v>0</v>
      </c>
      <c r="G12" s="263"/>
      <c r="H12" s="262">
        <v>0</v>
      </c>
      <c r="I12" s="263"/>
      <c r="J12" s="262">
        <v>0</v>
      </c>
      <c r="K12" s="263"/>
      <c r="L12" s="262">
        <v>0</v>
      </c>
      <c r="M12" s="263"/>
      <c r="N12" s="271">
        <f t="shared" si="0"/>
        <v>0</v>
      </c>
    </row>
    <row r="13" spans="1:14" x14ac:dyDescent="0.25">
      <c r="A13" s="275" t="s">
        <v>286</v>
      </c>
      <c r="B13" s="276" t="s">
        <v>535</v>
      </c>
      <c r="C13" s="262">
        <v>0</v>
      </c>
      <c r="D13" s="174"/>
      <c r="E13" s="263"/>
      <c r="F13" s="262">
        <v>0</v>
      </c>
      <c r="G13" s="263"/>
      <c r="H13" s="262">
        <v>0</v>
      </c>
      <c r="I13" s="263"/>
      <c r="J13" s="262">
        <v>0</v>
      </c>
      <c r="K13" s="263"/>
      <c r="L13" s="262">
        <v>0</v>
      </c>
      <c r="M13" s="263"/>
      <c r="N13" s="271">
        <f t="shared" si="0"/>
        <v>0</v>
      </c>
    </row>
    <row r="14" spans="1:14" x14ac:dyDescent="0.25">
      <c r="A14" s="275" t="s">
        <v>244</v>
      </c>
      <c r="B14" s="276" t="s">
        <v>536</v>
      </c>
      <c r="C14" s="262">
        <v>0</v>
      </c>
      <c r="D14" s="174"/>
      <c r="E14" s="263"/>
      <c r="F14" s="262">
        <v>0</v>
      </c>
      <c r="G14" s="263"/>
      <c r="H14" s="262">
        <v>0</v>
      </c>
      <c r="I14" s="263"/>
      <c r="J14" s="262">
        <v>0</v>
      </c>
      <c r="K14" s="263"/>
      <c r="L14" s="262">
        <v>0</v>
      </c>
      <c r="M14" s="263"/>
      <c r="N14" s="271">
        <f t="shared" si="0"/>
        <v>0</v>
      </c>
    </row>
    <row r="15" spans="1:14" s="205" customFormat="1" x14ac:dyDescent="0.3">
      <c r="A15" s="277" t="s">
        <v>289</v>
      </c>
      <c r="B15" s="278" t="s">
        <v>537</v>
      </c>
      <c r="C15" s="264">
        <f>SUM(C9:C14)</f>
        <v>0</v>
      </c>
      <c r="D15" s="175">
        <f t="shared" ref="D15:M15" si="2">SUM(D9:D14)</f>
        <v>0</v>
      </c>
      <c r="E15" s="265">
        <f t="shared" si="2"/>
        <v>0</v>
      </c>
      <c r="F15" s="264">
        <f t="shared" si="2"/>
        <v>0</v>
      </c>
      <c r="G15" s="265">
        <f t="shared" si="2"/>
        <v>0</v>
      </c>
      <c r="H15" s="264">
        <f t="shared" si="2"/>
        <v>0</v>
      </c>
      <c r="I15" s="265">
        <f t="shared" si="2"/>
        <v>0</v>
      </c>
      <c r="J15" s="264">
        <f t="shared" si="2"/>
        <v>0</v>
      </c>
      <c r="K15" s="265">
        <f t="shared" si="2"/>
        <v>0</v>
      </c>
      <c r="L15" s="264">
        <f t="shared" si="2"/>
        <v>0</v>
      </c>
      <c r="M15" s="265">
        <f t="shared" si="2"/>
        <v>0</v>
      </c>
      <c r="N15" s="272">
        <f t="shared" si="0"/>
        <v>0</v>
      </c>
    </row>
    <row r="16" spans="1:14" x14ac:dyDescent="0.25">
      <c r="A16" s="275" t="s">
        <v>291</v>
      </c>
      <c r="B16" s="276" t="s">
        <v>538</v>
      </c>
      <c r="C16" s="262">
        <v>0</v>
      </c>
      <c r="D16" s="174"/>
      <c r="E16" s="263"/>
      <c r="F16" s="262">
        <v>0</v>
      </c>
      <c r="G16" s="263"/>
      <c r="H16" s="262">
        <v>0</v>
      </c>
      <c r="I16" s="263"/>
      <c r="J16" s="262">
        <v>0</v>
      </c>
      <c r="K16" s="263"/>
      <c r="L16" s="262">
        <v>0</v>
      </c>
      <c r="M16" s="263"/>
      <c r="N16" s="271">
        <f t="shared" si="0"/>
        <v>0</v>
      </c>
    </row>
    <row r="17" spans="1:14" x14ac:dyDescent="0.25">
      <c r="A17" s="275" t="s">
        <v>293</v>
      </c>
      <c r="B17" s="276" t="s">
        <v>539</v>
      </c>
      <c r="C17" s="262">
        <v>28018007</v>
      </c>
      <c r="D17" s="174"/>
      <c r="E17" s="263"/>
      <c r="F17" s="262">
        <v>0</v>
      </c>
      <c r="G17" s="263"/>
      <c r="H17" s="262">
        <v>0</v>
      </c>
      <c r="I17" s="263"/>
      <c r="J17" s="262">
        <v>0</v>
      </c>
      <c r="K17" s="263"/>
      <c r="L17" s="262">
        <v>0</v>
      </c>
      <c r="M17" s="263"/>
      <c r="N17" s="271">
        <f t="shared" si="0"/>
        <v>28018007</v>
      </c>
    </row>
    <row r="18" spans="1:14" x14ac:dyDescent="0.25">
      <c r="A18" s="275" t="s">
        <v>295</v>
      </c>
      <c r="B18" s="276" t="s">
        <v>540</v>
      </c>
      <c r="C18" s="262">
        <f>'2. melléklet'!F56</f>
        <v>704876239.73000002</v>
      </c>
      <c r="D18" s="174">
        <f>'2. melléklet'!G55</f>
        <v>0</v>
      </c>
      <c r="E18" s="263">
        <f>'2. melléklet'!H55</f>
        <v>0</v>
      </c>
      <c r="F18" s="262"/>
      <c r="G18" s="263"/>
      <c r="H18" s="262">
        <v>0</v>
      </c>
      <c r="I18" s="263"/>
      <c r="J18" s="262">
        <v>0</v>
      </c>
      <c r="K18" s="263"/>
      <c r="L18" s="262">
        <v>0</v>
      </c>
      <c r="M18" s="263"/>
      <c r="N18" s="271">
        <f t="shared" si="0"/>
        <v>704876239.73000002</v>
      </c>
    </row>
    <row r="19" spans="1:14" x14ac:dyDescent="0.25">
      <c r="A19" s="275" t="s">
        <v>297</v>
      </c>
      <c r="B19" s="276" t="s">
        <v>541</v>
      </c>
      <c r="C19" s="262">
        <v>0</v>
      </c>
      <c r="D19" s="174"/>
      <c r="E19" s="263"/>
      <c r="F19" s="262">
        <v>0</v>
      </c>
      <c r="G19" s="263"/>
      <c r="H19" s="262">
        <v>0</v>
      </c>
      <c r="I19" s="263"/>
      <c r="J19" s="262">
        <v>0</v>
      </c>
      <c r="K19" s="263"/>
      <c r="L19" s="262">
        <v>0</v>
      </c>
      <c r="M19" s="263"/>
      <c r="N19" s="271">
        <f t="shared" si="0"/>
        <v>0</v>
      </c>
    </row>
    <row r="20" spans="1:14" x14ac:dyDescent="0.25">
      <c r="A20" s="275" t="s">
        <v>299</v>
      </c>
      <c r="B20" s="276" t="s">
        <v>542</v>
      </c>
      <c r="C20" s="262">
        <v>0</v>
      </c>
      <c r="D20" s="174">
        <v>1241299</v>
      </c>
      <c r="E20" s="263"/>
      <c r="F20" s="262">
        <v>0</v>
      </c>
      <c r="G20" s="263"/>
      <c r="H20" s="262">
        <v>0</v>
      </c>
      <c r="I20" s="263"/>
      <c r="J20" s="262">
        <v>0</v>
      </c>
      <c r="K20" s="263"/>
      <c r="L20" s="262">
        <v>0</v>
      </c>
      <c r="M20" s="263"/>
      <c r="N20" s="271">
        <f t="shared" si="0"/>
        <v>1241299</v>
      </c>
    </row>
    <row r="21" spans="1:14" x14ac:dyDescent="0.25">
      <c r="A21" s="275" t="s">
        <v>301</v>
      </c>
      <c r="B21" s="276" t="s">
        <v>543</v>
      </c>
      <c r="C21" s="262">
        <v>0</v>
      </c>
      <c r="D21" s="174"/>
      <c r="E21" s="263"/>
      <c r="F21" s="262">
        <v>0</v>
      </c>
      <c r="G21" s="263"/>
      <c r="H21" s="262">
        <v>0</v>
      </c>
      <c r="I21" s="263"/>
      <c r="J21" s="262">
        <v>0</v>
      </c>
      <c r="K21" s="263"/>
      <c r="L21" s="262">
        <v>0</v>
      </c>
      <c r="M21" s="263"/>
      <c r="N21" s="271">
        <f t="shared" si="0"/>
        <v>0</v>
      </c>
    </row>
    <row r="22" spans="1:14" x14ac:dyDescent="0.25">
      <c r="A22" s="275" t="s">
        <v>303</v>
      </c>
      <c r="B22" s="276" t="s">
        <v>544</v>
      </c>
      <c r="C22" s="262">
        <v>0</v>
      </c>
      <c r="D22" s="174"/>
      <c r="E22" s="263"/>
      <c r="F22" s="262">
        <v>0</v>
      </c>
      <c r="G22" s="263"/>
      <c r="H22" s="262">
        <v>0</v>
      </c>
      <c r="I22" s="263"/>
      <c r="J22" s="262">
        <v>0</v>
      </c>
      <c r="K22" s="263"/>
      <c r="L22" s="262">
        <v>0</v>
      </c>
      <c r="M22" s="263"/>
      <c r="N22" s="271">
        <f t="shared" si="0"/>
        <v>0</v>
      </c>
    </row>
    <row r="23" spans="1:14" x14ac:dyDescent="0.25">
      <c r="A23" s="275" t="s">
        <v>305</v>
      </c>
      <c r="B23" s="276" t="s">
        <v>545</v>
      </c>
      <c r="C23" s="262">
        <v>0</v>
      </c>
      <c r="D23" s="174"/>
      <c r="E23" s="263"/>
      <c r="F23" s="262">
        <v>0</v>
      </c>
      <c r="G23" s="263"/>
      <c r="H23" s="262">
        <v>0</v>
      </c>
      <c r="I23" s="263"/>
      <c r="J23" s="262">
        <v>0</v>
      </c>
      <c r="K23" s="263"/>
      <c r="L23" s="262">
        <v>0</v>
      </c>
      <c r="M23" s="263"/>
      <c r="N23" s="271">
        <f t="shared" si="0"/>
        <v>0</v>
      </c>
    </row>
    <row r="24" spans="1:14" s="205" customFormat="1" x14ac:dyDescent="0.3">
      <c r="A24" s="277" t="s">
        <v>307</v>
      </c>
      <c r="B24" s="278" t="s">
        <v>546</v>
      </c>
      <c r="C24" s="264">
        <f>C22+C23</f>
        <v>0</v>
      </c>
      <c r="D24" s="175">
        <f t="shared" ref="D24:M24" si="3">D22+D23</f>
        <v>0</v>
      </c>
      <c r="E24" s="265">
        <f t="shared" si="3"/>
        <v>0</v>
      </c>
      <c r="F24" s="264">
        <f t="shared" si="3"/>
        <v>0</v>
      </c>
      <c r="G24" s="265">
        <f t="shared" si="3"/>
        <v>0</v>
      </c>
      <c r="H24" s="264">
        <f t="shared" si="3"/>
        <v>0</v>
      </c>
      <c r="I24" s="265">
        <f t="shared" si="3"/>
        <v>0</v>
      </c>
      <c r="J24" s="264">
        <f t="shared" si="3"/>
        <v>0</v>
      </c>
      <c r="K24" s="265">
        <f t="shared" si="3"/>
        <v>0</v>
      </c>
      <c r="L24" s="264">
        <f t="shared" si="3"/>
        <v>0</v>
      </c>
      <c r="M24" s="265">
        <f t="shared" si="3"/>
        <v>0</v>
      </c>
      <c r="N24" s="272">
        <f t="shared" si="0"/>
        <v>0</v>
      </c>
    </row>
    <row r="25" spans="1:14" s="205" customFormat="1" x14ac:dyDescent="0.3">
      <c r="A25" s="277" t="s">
        <v>309</v>
      </c>
      <c r="B25" s="278" t="s">
        <v>547</v>
      </c>
      <c r="C25" s="264">
        <f>C8+C15+C16+C17+C18+C19+C20+C21+C24</f>
        <v>852894246.73000002</v>
      </c>
      <c r="D25" s="175">
        <f t="shared" ref="D25:M25" si="4">D8+D15+D16+D17+D18+D19+D20+D21+D24</f>
        <v>1241299</v>
      </c>
      <c r="E25" s="265">
        <f t="shared" si="4"/>
        <v>0</v>
      </c>
      <c r="F25" s="264">
        <f t="shared" si="4"/>
        <v>0</v>
      </c>
      <c r="G25" s="265">
        <f t="shared" si="4"/>
        <v>0</v>
      </c>
      <c r="H25" s="264">
        <f t="shared" si="4"/>
        <v>0</v>
      </c>
      <c r="I25" s="265">
        <f t="shared" si="4"/>
        <v>0</v>
      </c>
      <c r="J25" s="264">
        <f t="shared" si="4"/>
        <v>0</v>
      </c>
      <c r="K25" s="265">
        <f t="shared" si="4"/>
        <v>0</v>
      </c>
      <c r="L25" s="264">
        <f t="shared" si="4"/>
        <v>0</v>
      </c>
      <c r="M25" s="265">
        <f t="shared" si="4"/>
        <v>0</v>
      </c>
      <c r="N25" s="272">
        <f t="shared" si="0"/>
        <v>854135545.73000002</v>
      </c>
    </row>
    <row r="26" spans="1:14" x14ac:dyDescent="0.25">
      <c r="A26" s="275" t="s">
        <v>311</v>
      </c>
      <c r="B26" s="276" t="s">
        <v>548</v>
      </c>
      <c r="C26" s="262">
        <v>0</v>
      </c>
      <c r="D26" s="174"/>
      <c r="E26" s="263"/>
      <c r="F26" s="262">
        <v>0</v>
      </c>
      <c r="G26" s="263"/>
      <c r="H26" s="262">
        <v>0</v>
      </c>
      <c r="I26" s="263"/>
      <c r="J26" s="262">
        <v>0</v>
      </c>
      <c r="K26" s="263"/>
      <c r="L26" s="262">
        <v>0</v>
      </c>
      <c r="M26" s="263"/>
      <c r="N26" s="271">
        <f t="shared" si="0"/>
        <v>0</v>
      </c>
    </row>
    <row r="27" spans="1:14" x14ac:dyDescent="0.25">
      <c r="A27" s="275" t="s">
        <v>313</v>
      </c>
      <c r="B27" s="276" t="s">
        <v>549</v>
      </c>
      <c r="C27" s="262">
        <v>0</v>
      </c>
      <c r="D27" s="174"/>
      <c r="E27" s="263"/>
      <c r="F27" s="262">
        <v>0</v>
      </c>
      <c r="G27" s="263"/>
      <c r="H27" s="262">
        <v>0</v>
      </c>
      <c r="I27" s="263"/>
      <c r="J27" s="262">
        <v>0</v>
      </c>
      <c r="K27" s="263"/>
      <c r="L27" s="262">
        <v>0</v>
      </c>
      <c r="M27" s="263"/>
      <c r="N27" s="271">
        <f t="shared" si="0"/>
        <v>0</v>
      </c>
    </row>
    <row r="28" spans="1:14" x14ac:dyDescent="0.25">
      <c r="A28" s="275" t="s">
        <v>315</v>
      </c>
      <c r="B28" s="276" t="s">
        <v>550</v>
      </c>
      <c r="C28" s="262">
        <v>0</v>
      </c>
      <c r="D28" s="174"/>
      <c r="E28" s="263"/>
      <c r="F28" s="262">
        <v>0</v>
      </c>
      <c r="G28" s="263"/>
      <c r="H28" s="262">
        <v>0</v>
      </c>
      <c r="I28" s="263"/>
      <c r="J28" s="262">
        <v>0</v>
      </c>
      <c r="K28" s="263"/>
      <c r="L28" s="262">
        <v>0</v>
      </c>
      <c r="M28" s="263"/>
      <c r="N28" s="271">
        <f t="shared" si="0"/>
        <v>0</v>
      </c>
    </row>
    <row r="29" spans="1:14" x14ac:dyDescent="0.25">
      <c r="A29" s="275" t="s">
        <v>317</v>
      </c>
      <c r="B29" s="276" t="s">
        <v>551</v>
      </c>
      <c r="C29" s="262">
        <v>0</v>
      </c>
      <c r="D29" s="174"/>
      <c r="E29" s="263"/>
      <c r="F29" s="262">
        <v>0</v>
      </c>
      <c r="G29" s="263"/>
      <c r="H29" s="262">
        <v>0</v>
      </c>
      <c r="I29" s="263"/>
      <c r="J29" s="262">
        <v>0</v>
      </c>
      <c r="K29" s="263"/>
      <c r="L29" s="262">
        <v>0</v>
      </c>
      <c r="M29" s="263"/>
      <c r="N29" s="271">
        <f t="shared" si="0"/>
        <v>0</v>
      </c>
    </row>
    <row r="30" spans="1:14" x14ac:dyDescent="0.25">
      <c r="A30" s="275" t="s">
        <v>319</v>
      </c>
      <c r="B30" s="276" t="s">
        <v>552</v>
      </c>
      <c r="C30" s="262">
        <v>0</v>
      </c>
      <c r="D30" s="174"/>
      <c r="E30" s="263"/>
      <c r="F30" s="262">
        <v>0</v>
      </c>
      <c r="G30" s="263"/>
      <c r="H30" s="262">
        <v>0</v>
      </c>
      <c r="I30" s="263"/>
      <c r="J30" s="262">
        <v>0</v>
      </c>
      <c r="K30" s="263"/>
      <c r="L30" s="262">
        <v>0</v>
      </c>
      <c r="M30" s="263"/>
      <c r="N30" s="271">
        <f t="shared" si="0"/>
        <v>0</v>
      </c>
    </row>
    <row r="31" spans="1:14" s="205" customFormat="1" x14ac:dyDescent="0.3">
      <c r="A31" s="277" t="s">
        <v>321</v>
      </c>
      <c r="B31" s="278" t="s">
        <v>553</v>
      </c>
      <c r="C31" s="264">
        <f>SUM(C26:C30)</f>
        <v>0</v>
      </c>
      <c r="D31" s="175">
        <f t="shared" ref="D31:M31" si="5">SUM(D26:D30)</f>
        <v>0</v>
      </c>
      <c r="E31" s="265">
        <f t="shared" si="5"/>
        <v>0</v>
      </c>
      <c r="F31" s="264">
        <f t="shared" si="5"/>
        <v>0</v>
      </c>
      <c r="G31" s="265">
        <f t="shared" si="5"/>
        <v>0</v>
      </c>
      <c r="H31" s="264">
        <f t="shared" si="5"/>
        <v>0</v>
      </c>
      <c r="I31" s="265">
        <f t="shared" si="5"/>
        <v>0</v>
      </c>
      <c r="J31" s="264">
        <f t="shared" si="5"/>
        <v>0</v>
      </c>
      <c r="K31" s="265">
        <f t="shared" si="5"/>
        <v>0</v>
      </c>
      <c r="L31" s="264">
        <f t="shared" si="5"/>
        <v>0</v>
      </c>
      <c r="M31" s="265">
        <f t="shared" si="5"/>
        <v>0</v>
      </c>
      <c r="N31" s="272">
        <f t="shared" si="0"/>
        <v>0</v>
      </c>
    </row>
    <row r="32" spans="1:14" x14ac:dyDescent="0.25">
      <c r="A32" s="275" t="s">
        <v>323</v>
      </c>
      <c r="B32" s="276" t="s">
        <v>554</v>
      </c>
      <c r="C32" s="262">
        <v>0</v>
      </c>
      <c r="D32" s="174"/>
      <c r="E32" s="263"/>
      <c r="F32" s="262">
        <v>0</v>
      </c>
      <c r="G32" s="263"/>
      <c r="H32" s="262">
        <v>0</v>
      </c>
      <c r="I32" s="263"/>
      <c r="J32" s="262">
        <v>0</v>
      </c>
      <c r="K32" s="263"/>
      <c r="L32" s="262">
        <v>0</v>
      </c>
      <c r="M32" s="263"/>
      <c r="N32" s="271">
        <f t="shared" si="0"/>
        <v>0</v>
      </c>
    </row>
    <row r="33" spans="1:14" x14ac:dyDescent="0.25">
      <c r="A33" s="275" t="s">
        <v>325</v>
      </c>
      <c r="B33" s="276" t="s">
        <v>555</v>
      </c>
      <c r="C33" s="262">
        <v>0</v>
      </c>
      <c r="D33" s="174"/>
      <c r="E33" s="263"/>
      <c r="F33" s="262">
        <v>0</v>
      </c>
      <c r="G33" s="263"/>
      <c r="H33" s="262">
        <v>0</v>
      </c>
      <c r="I33" s="263"/>
      <c r="J33" s="262">
        <v>0</v>
      </c>
      <c r="K33" s="263"/>
      <c r="L33" s="262">
        <v>0</v>
      </c>
      <c r="M33" s="263"/>
      <c r="N33" s="271">
        <f t="shared" si="0"/>
        <v>0</v>
      </c>
    </row>
    <row r="34" spans="1:14" s="205" customFormat="1" ht="13.5" thickBot="1" x14ac:dyDescent="0.35">
      <c r="A34" s="279" t="s">
        <v>327</v>
      </c>
      <c r="B34" s="280" t="s">
        <v>556</v>
      </c>
      <c r="C34" s="266">
        <f>C25+C31+C32+C33</f>
        <v>852894246.73000002</v>
      </c>
      <c r="D34" s="267">
        <f t="shared" ref="D34:M34" si="6">D25+D31+D32+D33</f>
        <v>1241299</v>
      </c>
      <c r="E34" s="268">
        <f t="shared" si="6"/>
        <v>0</v>
      </c>
      <c r="F34" s="266">
        <f t="shared" si="6"/>
        <v>0</v>
      </c>
      <c r="G34" s="268">
        <f t="shared" si="6"/>
        <v>0</v>
      </c>
      <c r="H34" s="266">
        <f t="shared" si="6"/>
        <v>0</v>
      </c>
      <c r="I34" s="268">
        <f t="shared" si="6"/>
        <v>0</v>
      </c>
      <c r="J34" s="266">
        <f t="shared" si="6"/>
        <v>0</v>
      </c>
      <c r="K34" s="268">
        <f t="shared" si="6"/>
        <v>0</v>
      </c>
      <c r="L34" s="266">
        <f t="shared" si="6"/>
        <v>0</v>
      </c>
      <c r="M34" s="268">
        <f t="shared" si="6"/>
        <v>0</v>
      </c>
      <c r="N34" s="289">
        <f t="shared" si="0"/>
        <v>854135545.73000002</v>
      </c>
    </row>
  </sheetData>
  <mergeCells count="8">
    <mergeCell ref="A1:N1"/>
    <mergeCell ref="A2:N2"/>
    <mergeCell ref="B3:B4"/>
    <mergeCell ref="F3:G3"/>
    <mergeCell ref="H3:I3"/>
    <mergeCell ref="J3:K3"/>
    <mergeCell ref="L3:M3"/>
    <mergeCell ref="C3:E3"/>
  </mergeCells>
  <pageMargins left="0.74803149606299213" right="0.74803149606299213" top="0.98425196850393704" bottom="0.98425196850393704" header="0.51181102362204722" footer="0.51181102362204722"/>
  <pageSetup scale="37" orientation="landscape" r:id="rId1"/>
  <headerFooter alignWithMargins="0">
    <oddHeader>&amp;C&amp;L&amp;RÉrték típus: Forint</oddHeader>
    <oddFooter>&amp;C&amp;LAdatellenőrző kód: 395a-67-4577-9-33-1c-41-4f5b-6237-656f1e507e7a-6a&amp;R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zoomScale="90" zoomScaleNormal="90" workbookViewId="0">
      <pane xSplit="2" ySplit="4" topLeftCell="J11" activePane="bottomRight" state="frozen"/>
      <selection activeCell="B25" sqref="B25"/>
      <selection pane="topRight" activeCell="B25" sqref="B25"/>
      <selection pane="bottomLeft" activeCell="B25" sqref="B25"/>
      <selection pane="bottomRight" activeCell="C15" sqref="C15"/>
    </sheetView>
  </sheetViews>
  <sheetFormatPr defaultRowHeight="13" x14ac:dyDescent="0.3"/>
  <cols>
    <col min="1" max="1" width="3" style="172" bestFit="1" customWidth="1"/>
    <col min="2" max="2" width="74.7265625" style="172" bestFit="1" customWidth="1"/>
    <col min="3" max="3" width="20" style="172" bestFit="1" customWidth="1"/>
    <col min="4" max="5" width="20" style="172" customWidth="1"/>
    <col min="6" max="6" width="20" style="172" bestFit="1" customWidth="1"/>
    <col min="7" max="7" width="20" style="172" customWidth="1"/>
    <col min="8" max="8" width="20" style="172" bestFit="1" customWidth="1"/>
    <col min="9" max="9" width="20" style="172" customWidth="1"/>
    <col min="10" max="10" width="20" style="172" bestFit="1" customWidth="1"/>
    <col min="11" max="11" width="20" style="172" customWidth="1"/>
    <col min="12" max="12" width="20" style="172" bestFit="1" customWidth="1"/>
    <col min="13" max="13" width="20" style="172" customWidth="1"/>
    <col min="14" max="14" width="21.26953125" style="176" bestFit="1" customWidth="1"/>
    <col min="15" max="262" width="9.1796875" style="172"/>
    <col min="263" max="263" width="3" style="172" bestFit="1" customWidth="1"/>
    <col min="264" max="264" width="74.7265625" style="172" bestFit="1" customWidth="1"/>
    <col min="265" max="269" width="20" style="172" bestFit="1" customWidth="1"/>
    <col min="270" max="270" width="21.26953125" style="172" bestFit="1" customWidth="1"/>
    <col min="271" max="518" width="9.1796875" style="172"/>
    <col min="519" max="519" width="3" style="172" bestFit="1" customWidth="1"/>
    <col min="520" max="520" width="74.7265625" style="172" bestFit="1" customWidth="1"/>
    <col min="521" max="525" width="20" style="172" bestFit="1" customWidth="1"/>
    <col min="526" max="526" width="21.26953125" style="172" bestFit="1" customWidth="1"/>
    <col min="527" max="774" width="9.1796875" style="172"/>
    <col min="775" max="775" width="3" style="172" bestFit="1" customWidth="1"/>
    <col min="776" max="776" width="74.7265625" style="172" bestFit="1" customWidth="1"/>
    <col min="777" max="781" width="20" style="172" bestFit="1" customWidth="1"/>
    <col min="782" max="782" width="21.26953125" style="172" bestFit="1" customWidth="1"/>
    <col min="783" max="1030" width="9.1796875" style="172"/>
    <col min="1031" max="1031" width="3" style="172" bestFit="1" customWidth="1"/>
    <col min="1032" max="1032" width="74.7265625" style="172" bestFit="1" customWidth="1"/>
    <col min="1033" max="1037" width="20" style="172" bestFit="1" customWidth="1"/>
    <col min="1038" max="1038" width="21.26953125" style="172" bestFit="1" customWidth="1"/>
    <col min="1039" max="1286" width="9.1796875" style="172"/>
    <col min="1287" max="1287" width="3" style="172" bestFit="1" customWidth="1"/>
    <col min="1288" max="1288" width="74.7265625" style="172" bestFit="1" customWidth="1"/>
    <col min="1289" max="1293" width="20" style="172" bestFit="1" customWidth="1"/>
    <col min="1294" max="1294" width="21.26953125" style="172" bestFit="1" customWidth="1"/>
    <col min="1295" max="1542" width="9.1796875" style="172"/>
    <col min="1543" max="1543" width="3" style="172" bestFit="1" customWidth="1"/>
    <col min="1544" max="1544" width="74.7265625" style="172" bestFit="1" customWidth="1"/>
    <col min="1545" max="1549" width="20" style="172" bestFit="1" customWidth="1"/>
    <col min="1550" max="1550" width="21.26953125" style="172" bestFit="1" customWidth="1"/>
    <col min="1551" max="1798" width="9.1796875" style="172"/>
    <col min="1799" max="1799" width="3" style="172" bestFit="1" customWidth="1"/>
    <col min="1800" max="1800" width="74.7265625" style="172" bestFit="1" customWidth="1"/>
    <col min="1801" max="1805" width="20" style="172" bestFit="1" customWidth="1"/>
    <col min="1806" max="1806" width="21.26953125" style="172" bestFit="1" customWidth="1"/>
    <col min="1807" max="2054" width="9.1796875" style="172"/>
    <col min="2055" max="2055" width="3" style="172" bestFit="1" customWidth="1"/>
    <col min="2056" max="2056" width="74.7265625" style="172" bestFit="1" customWidth="1"/>
    <col min="2057" max="2061" width="20" style="172" bestFit="1" customWidth="1"/>
    <col min="2062" max="2062" width="21.26953125" style="172" bestFit="1" customWidth="1"/>
    <col min="2063" max="2310" width="9.1796875" style="172"/>
    <col min="2311" max="2311" width="3" style="172" bestFit="1" customWidth="1"/>
    <col min="2312" max="2312" width="74.7265625" style="172" bestFit="1" customWidth="1"/>
    <col min="2313" max="2317" width="20" style="172" bestFit="1" customWidth="1"/>
    <col min="2318" max="2318" width="21.26953125" style="172" bestFit="1" customWidth="1"/>
    <col min="2319" max="2566" width="9.1796875" style="172"/>
    <col min="2567" max="2567" width="3" style="172" bestFit="1" customWidth="1"/>
    <col min="2568" max="2568" width="74.7265625" style="172" bestFit="1" customWidth="1"/>
    <col min="2569" max="2573" width="20" style="172" bestFit="1" customWidth="1"/>
    <col min="2574" max="2574" width="21.26953125" style="172" bestFit="1" customWidth="1"/>
    <col min="2575" max="2822" width="9.1796875" style="172"/>
    <col min="2823" max="2823" width="3" style="172" bestFit="1" customWidth="1"/>
    <col min="2824" max="2824" width="74.7265625" style="172" bestFit="1" customWidth="1"/>
    <col min="2825" max="2829" width="20" style="172" bestFit="1" customWidth="1"/>
    <col min="2830" max="2830" width="21.26953125" style="172" bestFit="1" customWidth="1"/>
    <col min="2831" max="3078" width="9.1796875" style="172"/>
    <col min="3079" max="3079" width="3" style="172" bestFit="1" customWidth="1"/>
    <col min="3080" max="3080" width="74.7265625" style="172" bestFit="1" customWidth="1"/>
    <col min="3081" max="3085" width="20" style="172" bestFit="1" customWidth="1"/>
    <col min="3086" max="3086" width="21.26953125" style="172" bestFit="1" customWidth="1"/>
    <col min="3087" max="3334" width="9.1796875" style="172"/>
    <col min="3335" max="3335" width="3" style="172" bestFit="1" customWidth="1"/>
    <col min="3336" max="3336" width="74.7265625" style="172" bestFit="1" customWidth="1"/>
    <col min="3337" max="3341" width="20" style="172" bestFit="1" customWidth="1"/>
    <col min="3342" max="3342" width="21.26953125" style="172" bestFit="1" customWidth="1"/>
    <col min="3343" max="3590" width="9.1796875" style="172"/>
    <col min="3591" max="3591" width="3" style="172" bestFit="1" customWidth="1"/>
    <col min="3592" max="3592" width="74.7265625" style="172" bestFit="1" customWidth="1"/>
    <col min="3593" max="3597" width="20" style="172" bestFit="1" customWidth="1"/>
    <col min="3598" max="3598" width="21.26953125" style="172" bestFit="1" customWidth="1"/>
    <col min="3599" max="3846" width="9.1796875" style="172"/>
    <col min="3847" max="3847" width="3" style="172" bestFit="1" customWidth="1"/>
    <col min="3848" max="3848" width="74.7265625" style="172" bestFit="1" customWidth="1"/>
    <col min="3849" max="3853" width="20" style="172" bestFit="1" customWidth="1"/>
    <col min="3854" max="3854" width="21.26953125" style="172" bestFit="1" customWidth="1"/>
    <col min="3855" max="4102" width="9.1796875" style="172"/>
    <col min="4103" max="4103" width="3" style="172" bestFit="1" customWidth="1"/>
    <col min="4104" max="4104" width="74.7265625" style="172" bestFit="1" customWidth="1"/>
    <col min="4105" max="4109" width="20" style="172" bestFit="1" customWidth="1"/>
    <col min="4110" max="4110" width="21.26953125" style="172" bestFit="1" customWidth="1"/>
    <col min="4111" max="4358" width="9.1796875" style="172"/>
    <col min="4359" max="4359" width="3" style="172" bestFit="1" customWidth="1"/>
    <col min="4360" max="4360" width="74.7265625" style="172" bestFit="1" customWidth="1"/>
    <col min="4361" max="4365" width="20" style="172" bestFit="1" customWidth="1"/>
    <col min="4366" max="4366" width="21.26953125" style="172" bestFit="1" customWidth="1"/>
    <col min="4367" max="4614" width="9.1796875" style="172"/>
    <col min="4615" max="4615" width="3" style="172" bestFit="1" customWidth="1"/>
    <col min="4616" max="4616" width="74.7265625" style="172" bestFit="1" customWidth="1"/>
    <col min="4617" max="4621" width="20" style="172" bestFit="1" customWidth="1"/>
    <col min="4622" max="4622" width="21.26953125" style="172" bestFit="1" customWidth="1"/>
    <col min="4623" max="4870" width="9.1796875" style="172"/>
    <col min="4871" max="4871" width="3" style="172" bestFit="1" customWidth="1"/>
    <col min="4872" max="4872" width="74.7265625" style="172" bestFit="1" customWidth="1"/>
    <col min="4873" max="4877" width="20" style="172" bestFit="1" customWidth="1"/>
    <col min="4878" max="4878" width="21.26953125" style="172" bestFit="1" customWidth="1"/>
    <col min="4879" max="5126" width="9.1796875" style="172"/>
    <col min="5127" max="5127" width="3" style="172" bestFit="1" customWidth="1"/>
    <col min="5128" max="5128" width="74.7265625" style="172" bestFit="1" customWidth="1"/>
    <col min="5129" max="5133" width="20" style="172" bestFit="1" customWidth="1"/>
    <col min="5134" max="5134" width="21.26953125" style="172" bestFit="1" customWidth="1"/>
    <col min="5135" max="5382" width="9.1796875" style="172"/>
    <col min="5383" max="5383" width="3" style="172" bestFit="1" customWidth="1"/>
    <col min="5384" max="5384" width="74.7265625" style="172" bestFit="1" customWidth="1"/>
    <col min="5385" max="5389" width="20" style="172" bestFit="1" customWidth="1"/>
    <col min="5390" max="5390" width="21.26953125" style="172" bestFit="1" customWidth="1"/>
    <col min="5391" max="5638" width="9.1796875" style="172"/>
    <col min="5639" max="5639" width="3" style="172" bestFit="1" customWidth="1"/>
    <col min="5640" max="5640" width="74.7265625" style="172" bestFit="1" customWidth="1"/>
    <col min="5641" max="5645" width="20" style="172" bestFit="1" customWidth="1"/>
    <col min="5646" max="5646" width="21.26953125" style="172" bestFit="1" customWidth="1"/>
    <col min="5647" max="5894" width="9.1796875" style="172"/>
    <col min="5895" max="5895" width="3" style="172" bestFit="1" customWidth="1"/>
    <col min="5896" max="5896" width="74.7265625" style="172" bestFit="1" customWidth="1"/>
    <col min="5897" max="5901" width="20" style="172" bestFit="1" customWidth="1"/>
    <col min="5902" max="5902" width="21.26953125" style="172" bestFit="1" customWidth="1"/>
    <col min="5903" max="6150" width="9.1796875" style="172"/>
    <col min="6151" max="6151" width="3" style="172" bestFit="1" customWidth="1"/>
    <col min="6152" max="6152" width="74.7265625" style="172" bestFit="1" customWidth="1"/>
    <col min="6153" max="6157" width="20" style="172" bestFit="1" customWidth="1"/>
    <col min="6158" max="6158" width="21.26953125" style="172" bestFit="1" customWidth="1"/>
    <col min="6159" max="6406" width="9.1796875" style="172"/>
    <col min="6407" max="6407" width="3" style="172" bestFit="1" customWidth="1"/>
    <col min="6408" max="6408" width="74.7265625" style="172" bestFit="1" customWidth="1"/>
    <col min="6409" max="6413" width="20" style="172" bestFit="1" customWidth="1"/>
    <col min="6414" max="6414" width="21.26953125" style="172" bestFit="1" customWidth="1"/>
    <col min="6415" max="6662" width="9.1796875" style="172"/>
    <col min="6663" max="6663" width="3" style="172" bestFit="1" customWidth="1"/>
    <col min="6664" max="6664" width="74.7265625" style="172" bestFit="1" customWidth="1"/>
    <col min="6665" max="6669" width="20" style="172" bestFit="1" customWidth="1"/>
    <col min="6670" max="6670" width="21.26953125" style="172" bestFit="1" customWidth="1"/>
    <col min="6671" max="6918" width="9.1796875" style="172"/>
    <col min="6919" max="6919" width="3" style="172" bestFit="1" customWidth="1"/>
    <col min="6920" max="6920" width="74.7265625" style="172" bestFit="1" customWidth="1"/>
    <col min="6921" max="6925" width="20" style="172" bestFit="1" customWidth="1"/>
    <col min="6926" max="6926" width="21.26953125" style="172" bestFit="1" customWidth="1"/>
    <col min="6927" max="7174" width="9.1796875" style="172"/>
    <col min="7175" max="7175" width="3" style="172" bestFit="1" customWidth="1"/>
    <col min="7176" max="7176" width="74.7265625" style="172" bestFit="1" customWidth="1"/>
    <col min="7177" max="7181" width="20" style="172" bestFit="1" customWidth="1"/>
    <col min="7182" max="7182" width="21.26953125" style="172" bestFit="1" customWidth="1"/>
    <col min="7183" max="7430" width="9.1796875" style="172"/>
    <col min="7431" max="7431" width="3" style="172" bestFit="1" customWidth="1"/>
    <col min="7432" max="7432" width="74.7265625" style="172" bestFit="1" customWidth="1"/>
    <col min="7433" max="7437" width="20" style="172" bestFit="1" customWidth="1"/>
    <col min="7438" max="7438" width="21.26953125" style="172" bestFit="1" customWidth="1"/>
    <col min="7439" max="7686" width="9.1796875" style="172"/>
    <col min="7687" max="7687" width="3" style="172" bestFit="1" customWidth="1"/>
    <col min="7688" max="7688" width="74.7265625" style="172" bestFit="1" customWidth="1"/>
    <col min="7689" max="7693" width="20" style="172" bestFit="1" customWidth="1"/>
    <col min="7694" max="7694" width="21.26953125" style="172" bestFit="1" customWidth="1"/>
    <col min="7695" max="7942" width="9.1796875" style="172"/>
    <col min="7943" max="7943" width="3" style="172" bestFit="1" customWidth="1"/>
    <col min="7944" max="7944" width="74.7265625" style="172" bestFit="1" customWidth="1"/>
    <col min="7945" max="7949" width="20" style="172" bestFit="1" customWidth="1"/>
    <col min="7950" max="7950" width="21.26953125" style="172" bestFit="1" customWidth="1"/>
    <col min="7951" max="8198" width="9.1796875" style="172"/>
    <col min="8199" max="8199" width="3" style="172" bestFit="1" customWidth="1"/>
    <col min="8200" max="8200" width="74.7265625" style="172" bestFit="1" customWidth="1"/>
    <col min="8201" max="8205" width="20" style="172" bestFit="1" customWidth="1"/>
    <col min="8206" max="8206" width="21.26953125" style="172" bestFit="1" customWidth="1"/>
    <col min="8207" max="8454" width="9.1796875" style="172"/>
    <col min="8455" max="8455" width="3" style="172" bestFit="1" customWidth="1"/>
    <col min="8456" max="8456" width="74.7265625" style="172" bestFit="1" customWidth="1"/>
    <col min="8457" max="8461" width="20" style="172" bestFit="1" customWidth="1"/>
    <col min="8462" max="8462" width="21.26953125" style="172" bestFit="1" customWidth="1"/>
    <col min="8463" max="8710" width="9.1796875" style="172"/>
    <col min="8711" max="8711" width="3" style="172" bestFit="1" customWidth="1"/>
    <col min="8712" max="8712" width="74.7265625" style="172" bestFit="1" customWidth="1"/>
    <col min="8713" max="8717" width="20" style="172" bestFit="1" customWidth="1"/>
    <col min="8718" max="8718" width="21.26953125" style="172" bestFit="1" customWidth="1"/>
    <col min="8719" max="8966" width="9.1796875" style="172"/>
    <col min="8967" max="8967" width="3" style="172" bestFit="1" customWidth="1"/>
    <col min="8968" max="8968" width="74.7265625" style="172" bestFit="1" customWidth="1"/>
    <col min="8969" max="8973" width="20" style="172" bestFit="1" customWidth="1"/>
    <col min="8974" max="8974" width="21.26953125" style="172" bestFit="1" customWidth="1"/>
    <col min="8975" max="9222" width="9.1796875" style="172"/>
    <col min="9223" max="9223" width="3" style="172" bestFit="1" customWidth="1"/>
    <col min="9224" max="9224" width="74.7265625" style="172" bestFit="1" customWidth="1"/>
    <col min="9225" max="9229" width="20" style="172" bestFit="1" customWidth="1"/>
    <col min="9230" max="9230" width="21.26953125" style="172" bestFit="1" customWidth="1"/>
    <col min="9231" max="9478" width="9.1796875" style="172"/>
    <col min="9479" max="9479" width="3" style="172" bestFit="1" customWidth="1"/>
    <col min="9480" max="9480" width="74.7265625" style="172" bestFit="1" customWidth="1"/>
    <col min="9481" max="9485" width="20" style="172" bestFit="1" customWidth="1"/>
    <col min="9486" max="9486" width="21.26953125" style="172" bestFit="1" customWidth="1"/>
    <col min="9487" max="9734" width="9.1796875" style="172"/>
    <col min="9735" max="9735" width="3" style="172" bestFit="1" customWidth="1"/>
    <col min="9736" max="9736" width="74.7265625" style="172" bestFit="1" customWidth="1"/>
    <col min="9737" max="9741" width="20" style="172" bestFit="1" customWidth="1"/>
    <col min="9742" max="9742" width="21.26953125" style="172" bestFit="1" customWidth="1"/>
    <col min="9743" max="9990" width="9.1796875" style="172"/>
    <col min="9991" max="9991" width="3" style="172" bestFit="1" customWidth="1"/>
    <col min="9992" max="9992" width="74.7265625" style="172" bestFit="1" customWidth="1"/>
    <col min="9993" max="9997" width="20" style="172" bestFit="1" customWidth="1"/>
    <col min="9998" max="9998" width="21.26953125" style="172" bestFit="1" customWidth="1"/>
    <col min="9999" max="10246" width="9.1796875" style="172"/>
    <col min="10247" max="10247" width="3" style="172" bestFit="1" customWidth="1"/>
    <col min="10248" max="10248" width="74.7265625" style="172" bestFit="1" customWidth="1"/>
    <col min="10249" max="10253" width="20" style="172" bestFit="1" customWidth="1"/>
    <col min="10254" max="10254" width="21.26953125" style="172" bestFit="1" customWidth="1"/>
    <col min="10255" max="10502" width="9.1796875" style="172"/>
    <col min="10503" max="10503" width="3" style="172" bestFit="1" customWidth="1"/>
    <col min="10504" max="10504" width="74.7265625" style="172" bestFit="1" customWidth="1"/>
    <col min="10505" max="10509" width="20" style="172" bestFit="1" customWidth="1"/>
    <col min="10510" max="10510" width="21.26953125" style="172" bestFit="1" customWidth="1"/>
    <col min="10511" max="10758" width="9.1796875" style="172"/>
    <col min="10759" max="10759" width="3" style="172" bestFit="1" customWidth="1"/>
    <col min="10760" max="10760" width="74.7265625" style="172" bestFit="1" customWidth="1"/>
    <col min="10761" max="10765" width="20" style="172" bestFit="1" customWidth="1"/>
    <col min="10766" max="10766" width="21.26953125" style="172" bestFit="1" customWidth="1"/>
    <col min="10767" max="11014" width="9.1796875" style="172"/>
    <col min="11015" max="11015" width="3" style="172" bestFit="1" customWidth="1"/>
    <col min="11016" max="11016" width="74.7265625" style="172" bestFit="1" customWidth="1"/>
    <col min="11017" max="11021" width="20" style="172" bestFit="1" customWidth="1"/>
    <col min="11022" max="11022" width="21.26953125" style="172" bestFit="1" customWidth="1"/>
    <col min="11023" max="11270" width="9.1796875" style="172"/>
    <col min="11271" max="11271" width="3" style="172" bestFit="1" customWidth="1"/>
    <col min="11272" max="11272" width="74.7265625" style="172" bestFit="1" customWidth="1"/>
    <col min="11273" max="11277" width="20" style="172" bestFit="1" customWidth="1"/>
    <col min="11278" max="11278" width="21.26953125" style="172" bestFit="1" customWidth="1"/>
    <col min="11279" max="11526" width="9.1796875" style="172"/>
    <col min="11527" max="11527" width="3" style="172" bestFit="1" customWidth="1"/>
    <col min="11528" max="11528" width="74.7265625" style="172" bestFit="1" customWidth="1"/>
    <col min="11529" max="11533" width="20" style="172" bestFit="1" customWidth="1"/>
    <col min="11534" max="11534" width="21.26953125" style="172" bestFit="1" customWidth="1"/>
    <col min="11535" max="11782" width="9.1796875" style="172"/>
    <col min="11783" max="11783" width="3" style="172" bestFit="1" customWidth="1"/>
    <col min="11784" max="11784" width="74.7265625" style="172" bestFit="1" customWidth="1"/>
    <col min="11785" max="11789" width="20" style="172" bestFit="1" customWidth="1"/>
    <col min="11790" max="11790" width="21.26953125" style="172" bestFit="1" customWidth="1"/>
    <col min="11791" max="12038" width="9.1796875" style="172"/>
    <col min="12039" max="12039" width="3" style="172" bestFit="1" customWidth="1"/>
    <col min="12040" max="12040" width="74.7265625" style="172" bestFit="1" customWidth="1"/>
    <col min="12041" max="12045" width="20" style="172" bestFit="1" customWidth="1"/>
    <col min="12046" max="12046" width="21.26953125" style="172" bestFit="1" customWidth="1"/>
    <col min="12047" max="12294" width="9.1796875" style="172"/>
    <col min="12295" max="12295" width="3" style="172" bestFit="1" customWidth="1"/>
    <col min="12296" max="12296" width="74.7265625" style="172" bestFit="1" customWidth="1"/>
    <col min="12297" max="12301" width="20" style="172" bestFit="1" customWidth="1"/>
    <col min="12302" max="12302" width="21.26953125" style="172" bestFit="1" customWidth="1"/>
    <col min="12303" max="12550" width="9.1796875" style="172"/>
    <col min="12551" max="12551" width="3" style="172" bestFit="1" customWidth="1"/>
    <col min="12552" max="12552" width="74.7265625" style="172" bestFit="1" customWidth="1"/>
    <col min="12553" max="12557" width="20" style="172" bestFit="1" customWidth="1"/>
    <col min="12558" max="12558" width="21.26953125" style="172" bestFit="1" customWidth="1"/>
    <col min="12559" max="12806" width="9.1796875" style="172"/>
    <col min="12807" max="12807" width="3" style="172" bestFit="1" customWidth="1"/>
    <col min="12808" max="12808" width="74.7265625" style="172" bestFit="1" customWidth="1"/>
    <col min="12809" max="12813" width="20" style="172" bestFit="1" customWidth="1"/>
    <col min="12814" max="12814" width="21.26953125" style="172" bestFit="1" customWidth="1"/>
    <col min="12815" max="13062" width="9.1796875" style="172"/>
    <col min="13063" max="13063" width="3" style="172" bestFit="1" customWidth="1"/>
    <col min="13064" max="13064" width="74.7265625" style="172" bestFit="1" customWidth="1"/>
    <col min="13065" max="13069" width="20" style="172" bestFit="1" customWidth="1"/>
    <col min="13070" max="13070" width="21.26953125" style="172" bestFit="1" customWidth="1"/>
    <col min="13071" max="13318" width="9.1796875" style="172"/>
    <col min="13319" max="13319" width="3" style="172" bestFit="1" customWidth="1"/>
    <col min="13320" max="13320" width="74.7265625" style="172" bestFit="1" customWidth="1"/>
    <col min="13321" max="13325" width="20" style="172" bestFit="1" customWidth="1"/>
    <col min="13326" max="13326" width="21.26953125" style="172" bestFit="1" customWidth="1"/>
    <col min="13327" max="13574" width="9.1796875" style="172"/>
    <col min="13575" max="13575" width="3" style="172" bestFit="1" customWidth="1"/>
    <col min="13576" max="13576" width="74.7265625" style="172" bestFit="1" customWidth="1"/>
    <col min="13577" max="13581" width="20" style="172" bestFit="1" customWidth="1"/>
    <col min="13582" max="13582" width="21.26953125" style="172" bestFit="1" customWidth="1"/>
    <col min="13583" max="13830" width="9.1796875" style="172"/>
    <col min="13831" max="13831" width="3" style="172" bestFit="1" customWidth="1"/>
    <col min="13832" max="13832" width="74.7265625" style="172" bestFit="1" customWidth="1"/>
    <col min="13833" max="13837" width="20" style="172" bestFit="1" customWidth="1"/>
    <col min="13838" max="13838" width="21.26953125" style="172" bestFit="1" customWidth="1"/>
    <col min="13839" max="14086" width="9.1796875" style="172"/>
    <col min="14087" max="14087" width="3" style="172" bestFit="1" customWidth="1"/>
    <col min="14088" max="14088" width="74.7265625" style="172" bestFit="1" customWidth="1"/>
    <col min="14089" max="14093" width="20" style="172" bestFit="1" customWidth="1"/>
    <col min="14094" max="14094" width="21.26953125" style="172" bestFit="1" customWidth="1"/>
    <col min="14095" max="14342" width="9.1796875" style="172"/>
    <col min="14343" max="14343" width="3" style="172" bestFit="1" customWidth="1"/>
    <col min="14344" max="14344" width="74.7265625" style="172" bestFit="1" customWidth="1"/>
    <col min="14345" max="14349" width="20" style="172" bestFit="1" customWidth="1"/>
    <col min="14350" max="14350" width="21.26953125" style="172" bestFit="1" customWidth="1"/>
    <col min="14351" max="14598" width="9.1796875" style="172"/>
    <col min="14599" max="14599" width="3" style="172" bestFit="1" customWidth="1"/>
    <col min="14600" max="14600" width="74.7265625" style="172" bestFit="1" customWidth="1"/>
    <col min="14601" max="14605" width="20" style="172" bestFit="1" customWidth="1"/>
    <col min="14606" max="14606" width="21.26953125" style="172" bestFit="1" customWidth="1"/>
    <col min="14607" max="14854" width="9.1796875" style="172"/>
    <col min="14855" max="14855" width="3" style="172" bestFit="1" customWidth="1"/>
    <col min="14856" max="14856" width="74.7265625" style="172" bestFit="1" customWidth="1"/>
    <col min="14857" max="14861" width="20" style="172" bestFit="1" customWidth="1"/>
    <col min="14862" max="14862" width="21.26953125" style="172" bestFit="1" customWidth="1"/>
    <col min="14863" max="15110" width="9.1796875" style="172"/>
    <col min="15111" max="15111" width="3" style="172" bestFit="1" customWidth="1"/>
    <col min="15112" max="15112" width="74.7265625" style="172" bestFit="1" customWidth="1"/>
    <col min="15113" max="15117" width="20" style="172" bestFit="1" customWidth="1"/>
    <col min="15118" max="15118" width="21.26953125" style="172" bestFit="1" customWidth="1"/>
    <col min="15119" max="15366" width="9.1796875" style="172"/>
    <col min="15367" max="15367" width="3" style="172" bestFit="1" customWidth="1"/>
    <col min="15368" max="15368" width="74.7265625" style="172" bestFit="1" customWidth="1"/>
    <col min="15369" max="15373" width="20" style="172" bestFit="1" customWidth="1"/>
    <col min="15374" max="15374" width="21.26953125" style="172" bestFit="1" customWidth="1"/>
    <col min="15375" max="15622" width="9.1796875" style="172"/>
    <col min="15623" max="15623" width="3" style="172" bestFit="1" customWidth="1"/>
    <col min="15624" max="15624" width="74.7265625" style="172" bestFit="1" customWidth="1"/>
    <col min="15625" max="15629" width="20" style="172" bestFit="1" customWidth="1"/>
    <col min="15630" max="15630" width="21.26953125" style="172" bestFit="1" customWidth="1"/>
    <col min="15631" max="15878" width="9.1796875" style="172"/>
    <col min="15879" max="15879" width="3" style="172" bestFit="1" customWidth="1"/>
    <col min="15880" max="15880" width="74.7265625" style="172" bestFit="1" customWidth="1"/>
    <col min="15881" max="15885" width="20" style="172" bestFit="1" customWidth="1"/>
    <col min="15886" max="15886" width="21.26953125" style="172" bestFit="1" customWidth="1"/>
    <col min="15887" max="16134" width="9.1796875" style="172"/>
    <col min="16135" max="16135" width="3" style="172" bestFit="1" customWidth="1"/>
    <col min="16136" max="16136" width="74.7265625" style="172" bestFit="1" customWidth="1"/>
    <col min="16137" max="16141" width="20" style="172" bestFit="1" customWidth="1"/>
    <col min="16142" max="16142" width="21.26953125" style="172" bestFit="1" customWidth="1"/>
    <col min="16143" max="16384" width="9.1796875" style="172"/>
  </cols>
  <sheetData>
    <row r="1" spans="1:14" ht="12.5" x14ac:dyDescent="0.25">
      <c r="A1" s="314" t="s">
        <v>628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16" thickBot="1" x14ac:dyDescent="0.3">
      <c r="A2" s="315" t="s">
        <v>589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ht="15.5" x14ac:dyDescent="0.25">
      <c r="A3" s="274"/>
      <c r="B3" s="317" t="s">
        <v>2</v>
      </c>
      <c r="C3" s="319" t="s">
        <v>101</v>
      </c>
      <c r="D3" s="321"/>
      <c r="E3" s="320"/>
      <c r="F3" s="319" t="s">
        <v>264</v>
      </c>
      <c r="G3" s="320"/>
      <c r="H3" s="319" t="s">
        <v>265</v>
      </c>
      <c r="I3" s="320"/>
      <c r="J3" s="319" t="s">
        <v>266</v>
      </c>
      <c r="K3" s="320"/>
      <c r="L3" s="319" t="s">
        <v>267</v>
      </c>
      <c r="M3" s="320"/>
      <c r="N3" s="269" t="s">
        <v>98</v>
      </c>
    </row>
    <row r="4" spans="1:14" ht="31" x14ac:dyDescent="0.25">
      <c r="A4" s="260" t="s">
        <v>268</v>
      </c>
      <c r="B4" s="318"/>
      <c r="C4" s="260" t="s">
        <v>95</v>
      </c>
      <c r="D4" s="173" t="s">
        <v>96</v>
      </c>
      <c r="E4" s="261" t="s">
        <v>677</v>
      </c>
      <c r="F4" s="260" t="s">
        <v>95</v>
      </c>
      <c r="G4" s="261" t="s">
        <v>96</v>
      </c>
      <c r="H4" s="260" t="s">
        <v>95</v>
      </c>
      <c r="I4" s="261" t="s">
        <v>96</v>
      </c>
      <c r="J4" s="260" t="s">
        <v>95</v>
      </c>
      <c r="K4" s="261" t="s">
        <v>96</v>
      </c>
      <c r="L4" s="260" t="s">
        <v>95</v>
      </c>
      <c r="M4" s="261" t="s">
        <v>96</v>
      </c>
      <c r="N4" s="270" t="s">
        <v>269</v>
      </c>
    </row>
    <row r="5" spans="1:14" x14ac:dyDescent="0.25">
      <c r="A5" s="275" t="s">
        <v>270</v>
      </c>
      <c r="B5" s="276" t="s">
        <v>557</v>
      </c>
      <c r="C5" s="262">
        <v>0</v>
      </c>
      <c r="D5" s="174"/>
      <c r="E5" s="263"/>
      <c r="F5" s="262">
        <v>0</v>
      </c>
      <c r="G5" s="263"/>
      <c r="H5" s="262">
        <v>0</v>
      </c>
      <c r="I5" s="263"/>
      <c r="J5" s="262">
        <v>0</v>
      </c>
      <c r="K5" s="263"/>
      <c r="L5" s="262">
        <v>0</v>
      </c>
      <c r="M5" s="263"/>
      <c r="N5" s="271">
        <f>SUM(C5:M5)</f>
        <v>0</v>
      </c>
    </row>
    <row r="6" spans="1:14" x14ac:dyDescent="0.25">
      <c r="A6" s="275" t="s">
        <v>272</v>
      </c>
      <c r="B6" s="276" t="s">
        <v>558</v>
      </c>
      <c r="C6" s="262">
        <v>120000000</v>
      </c>
      <c r="D6" s="174"/>
      <c r="E6" s="263"/>
      <c r="F6" s="262">
        <v>0</v>
      </c>
      <c r="G6" s="263"/>
      <c r="H6" s="262">
        <v>0</v>
      </c>
      <c r="I6" s="263"/>
      <c r="J6" s="262">
        <v>0</v>
      </c>
      <c r="K6" s="263"/>
      <c r="L6" s="262">
        <v>0</v>
      </c>
      <c r="M6" s="263"/>
      <c r="N6" s="271">
        <f t="shared" ref="N6:N34" si="0">SUM(C6:M6)</f>
        <v>120000000</v>
      </c>
    </row>
    <row r="7" spans="1:14" x14ac:dyDescent="0.25">
      <c r="A7" s="275" t="s">
        <v>274</v>
      </c>
      <c r="B7" s="276" t="s">
        <v>559</v>
      </c>
      <c r="C7" s="262">
        <v>0</v>
      </c>
      <c r="D7" s="174"/>
      <c r="E7" s="263"/>
      <c r="F7" s="262">
        <v>0</v>
      </c>
      <c r="G7" s="263"/>
      <c r="H7" s="262">
        <v>0</v>
      </c>
      <c r="I7" s="263"/>
      <c r="J7" s="262">
        <v>0</v>
      </c>
      <c r="K7" s="263"/>
      <c r="L7" s="262">
        <v>0</v>
      </c>
      <c r="M7" s="263"/>
      <c r="N7" s="271">
        <f t="shared" si="0"/>
        <v>0</v>
      </c>
    </row>
    <row r="8" spans="1:14" s="205" customFormat="1" x14ac:dyDescent="0.3">
      <c r="A8" s="277" t="s">
        <v>276</v>
      </c>
      <c r="B8" s="278" t="s">
        <v>560</v>
      </c>
      <c r="C8" s="264">
        <f>SUM(C5:C7)</f>
        <v>120000000</v>
      </c>
      <c r="D8" s="175">
        <f t="shared" ref="D8:M8" si="1">SUM(D5:D7)</f>
        <v>0</v>
      </c>
      <c r="E8" s="265">
        <f t="shared" si="1"/>
        <v>0</v>
      </c>
      <c r="F8" s="264">
        <f t="shared" si="1"/>
        <v>0</v>
      </c>
      <c r="G8" s="265">
        <f t="shared" si="1"/>
        <v>0</v>
      </c>
      <c r="H8" s="264">
        <f t="shared" si="1"/>
        <v>0</v>
      </c>
      <c r="I8" s="265">
        <f t="shared" si="1"/>
        <v>0</v>
      </c>
      <c r="J8" s="264">
        <f t="shared" si="1"/>
        <v>0</v>
      </c>
      <c r="K8" s="265">
        <f t="shared" si="1"/>
        <v>0</v>
      </c>
      <c r="L8" s="264">
        <f t="shared" si="1"/>
        <v>0</v>
      </c>
      <c r="M8" s="265">
        <f t="shared" si="1"/>
        <v>0</v>
      </c>
      <c r="N8" s="272">
        <f t="shared" si="0"/>
        <v>120000000</v>
      </c>
    </row>
    <row r="9" spans="1:14" x14ac:dyDescent="0.25">
      <c r="A9" s="275" t="s">
        <v>278</v>
      </c>
      <c r="B9" s="276" t="s">
        <v>561</v>
      </c>
      <c r="C9" s="262">
        <v>0</v>
      </c>
      <c r="D9" s="174"/>
      <c r="E9" s="263"/>
      <c r="F9" s="262">
        <v>0</v>
      </c>
      <c r="G9" s="263"/>
      <c r="H9" s="262">
        <v>0</v>
      </c>
      <c r="I9" s="263"/>
      <c r="J9" s="262">
        <v>0</v>
      </c>
      <c r="K9" s="263"/>
      <c r="L9" s="262">
        <v>0</v>
      </c>
      <c r="M9" s="263"/>
      <c r="N9" s="271">
        <f t="shared" si="0"/>
        <v>0</v>
      </c>
    </row>
    <row r="10" spans="1:14" x14ac:dyDescent="0.25">
      <c r="A10" s="275" t="s">
        <v>280</v>
      </c>
      <c r="B10" s="276" t="s">
        <v>562</v>
      </c>
      <c r="C10" s="262">
        <v>0</v>
      </c>
      <c r="D10" s="174"/>
      <c r="E10" s="263"/>
      <c r="F10" s="262">
        <v>0</v>
      </c>
      <c r="G10" s="263"/>
      <c r="H10" s="262">
        <v>0</v>
      </c>
      <c r="I10" s="263"/>
      <c r="J10" s="262">
        <v>0</v>
      </c>
      <c r="K10" s="263"/>
      <c r="L10" s="262">
        <v>0</v>
      </c>
      <c r="M10" s="263"/>
      <c r="N10" s="271">
        <f t="shared" si="0"/>
        <v>0</v>
      </c>
    </row>
    <row r="11" spans="1:14" x14ac:dyDescent="0.25">
      <c r="A11" s="275" t="s">
        <v>282</v>
      </c>
      <c r="B11" s="276" t="s">
        <v>563</v>
      </c>
      <c r="C11" s="262">
        <v>0</v>
      </c>
      <c r="D11" s="174"/>
      <c r="E11" s="263"/>
      <c r="F11" s="262">
        <v>0</v>
      </c>
      <c r="G11" s="263"/>
      <c r="H11" s="262">
        <v>0</v>
      </c>
      <c r="I11" s="263"/>
      <c r="J11" s="262">
        <v>0</v>
      </c>
      <c r="K11" s="263"/>
      <c r="L11" s="262">
        <v>0</v>
      </c>
      <c r="M11" s="263"/>
      <c r="N11" s="271">
        <f t="shared" si="0"/>
        <v>0</v>
      </c>
    </row>
    <row r="12" spans="1:14" x14ac:dyDescent="0.25">
      <c r="A12" s="275" t="s">
        <v>284</v>
      </c>
      <c r="B12" s="276" t="s">
        <v>564</v>
      </c>
      <c r="C12" s="262">
        <v>0</v>
      </c>
      <c r="D12" s="174"/>
      <c r="E12" s="263"/>
      <c r="F12" s="262">
        <v>0</v>
      </c>
      <c r="G12" s="263"/>
      <c r="H12" s="262">
        <v>0</v>
      </c>
      <c r="I12" s="263"/>
      <c r="J12" s="262">
        <v>0</v>
      </c>
      <c r="K12" s="263"/>
      <c r="L12" s="262">
        <v>0</v>
      </c>
      <c r="M12" s="263"/>
      <c r="N12" s="271">
        <f t="shared" si="0"/>
        <v>0</v>
      </c>
    </row>
    <row r="13" spans="1:14" s="205" customFormat="1" x14ac:dyDescent="0.3">
      <c r="A13" s="277" t="s">
        <v>286</v>
      </c>
      <c r="B13" s="278" t="s">
        <v>565</v>
      </c>
      <c r="C13" s="264">
        <f>SUM(C9:C12)</f>
        <v>0</v>
      </c>
      <c r="D13" s="175">
        <f t="shared" ref="D13:M13" si="2">SUM(D9:D12)</f>
        <v>0</v>
      </c>
      <c r="E13" s="265">
        <f t="shared" si="2"/>
        <v>0</v>
      </c>
      <c r="F13" s="264">
        <f t="shared" si="2"/>
        <v>0</v>
      </c>
      <c r="G13" s="265">
        <f t="shared" si="2"/>
        <v>0</v>
      </c>
      <c r="H13" s="264">
        <f t="shared" si="2"/>
        <v>0</v>
      </c>
      <c r="I13" s="265">
        <f t="shared" si="2"/>
        <v>0</v>
      </c>
      <c r="J13" s="264">
        <f t="shared" si="2"/>
        <v>0</v>
      </c>
      <c r="K13" s="265">
        <f t="shared" si="2"/>
        <v>0</v>
      </c>
      <c r="L13" s="264">
        <f t="shared" si="2"/>
        <v>0</v>
      </c>
      <c r="M13" s="265">
        <f t="shared" si="2"/>
        <v>0</v>
      </c>
      <c r="N13" s="272">
        <f t="shared" si="0"/>
        <v>0</v>
      </c>
    </row>
    <row r="14" spans="1:14" x14ac:dyDescent="0.25">
      <c r="A14" s="275" t="s">
        <v>244</v>
      </c>
      <c r="B14" s="276" t="s">
        <v>566</v>
      </c>
      <c r="C14" s="262">
        <f>177499795-1715915</f>
        <v>175783880</v>
      </c>
      <c r="D14" s="174"/>
      <c r="E14" s="263"/>
      <c r="F14" s="262">
        <v>0</v>
      </c>
      <c r="G14" s="263"/>
      <c r="H14" s="262">
        <v>0</v>
      </c>
      <c r="I14" s="263"/>
      <c r="J14" s="262">
        <v>0</v>
      </c>
      <c r="K14" s="263"/>
      <c r="L14" s="262">
        <v>0</v>
      </c>
      <c r="M14" s="263"/>
      <c r="N14" s="271">
        <f t="shared" si="0"/>
        <v>175783880</v>
      </c>
    </row>
    <row r="15" spans="1:14" x14ac:dyDescent="0.25">
      <c r="A15" s="275" t="s">
        <v>289</v>
      </c>
      <c r="B15" s="276" t="s">
        <v>567</v>
      </c>
      <c r="C15" s="262">
        <v>0</v>
      </c>
      <c r="D15" s="174"/>
      <c r="E15" s="263"/>
      <c r="F15" s="262">
        <v>0</v>
      </c>
      <c r="G15" s="263"/>
      <c r="H15" s="262">
        <v>0</v>
      </c>
      <c r="I15" s="263"/>
      <c r="J15" s="262">
        <v>0</v>
      </c>
      <c r="K15" s="263"/>
      <c r="L15" s="262">
        <v>0</v>
      </c>
      <c r="M15" s="263"/>
      <c r="N15" s="271">
        <f t="shared" si="0"/>
        <v>0</v>
      </c>
    </row>
    <row r="16" spans="1:14" s="205" customFormat="1" x14ac:dyDescent="0.3">
      <c r="A16" s="277" t="s">
        <v>291</v>
      </c>
      <c r="B16" s="278" t="s">
        <v>568</v>
      </c>
      <c r="C16" s="264">
        <f>SUM(C14:C15)</f>
        <v>175783880</v>
      </c>
      <c r="D16" s="175">
        <f t="shared" ref="D16:M16" si="3">SUM(D14:D15)</f>
        <v>0</v>
      </c>
      <c r="E16" s="265">
        <f t="shared" si="3"/>
        <v>0</v>
      </c>
      <c r="F16" s="264">
        <f t="shared" si="3"/>
        <v>0</v>
      </c>
      <c r="G16" s="265">
        <f t="shared" si="3"/>
        <v>0</v>
      </c>
      <c r="H16" s="264">
        <f t="shared" si="3"/>
        <v>0</v>
      </c>
      <c r="I16" s="265">
        <f t="shared" si="3"/>
        <v>0</v>
      </c>
      <c r="J16" s="264">
        <f t="shared" si="3"/>
        <v>0</v>
      </c>
      <c r="K16" s="265">
        <f t="shared" si="3"/>
        <v>0</v>
      </c>
      <c r="L16" s="264">
        <f t="shared" si="3"/>
        <v>0</v>
      </c>
      <c r="M16" s="265">
        <f t="shared" si="3"/>
        <v>0</v>
      </c>
      <c r="N16" s="272">
        <f t="shared" si="0"/>
        <v>175783880</v>
      </c>
    </row>
    <row r="17" spans="1:14" x14ac:dyDescent="0.25">
      <c r="A17" s="275" t="s">
        <v>293</v>
      </c>
      <c r="B17" s="276" t="s">
        <v>569</v>
      </c>
      <c r="C17" s="262">
        <v>0</v>
      </c>
      <c r="D17" s="174"/>
      <c r="E17" s="263"/>
      <c r="F17" s="262">
        <v>0</v>
      </c>
      <c r="G17" s="263"/>
      <c r="H17" s="262">
        <v>0</v>
      </c>
      <c r="I17" s="263"/>
      <c r="J17" s="262">
        <v>0</v>
      </c>
      <c r="K17" s="263"/>
      <c r="L17" s="262">
        <v>0</v>
      </c>
      <c r="M17" s="263"/>
      <c r="N17" s="271">
        <f t="shared" si="0"/>
        <v>0</v>
      </c>
    </row>
    <row r="18" spans="1:14" x14ac:dyDescent="0.25">
      <c r="A18" s="275" t="s">
        <v>295</v>
      </c>
      <c r="B18" s="276" t="s">
        <v>570</v>
      </c>
      <c r="C18" s="262">
        <v>0</v>
      </c>
      <c r="D18" s="174"/>
      <c r="E18" s="263"/>
      <c r="F18" s="262">
        <v>0</v>
      </c>
      <c r="G18" s="263"/>
      <c r="H18" s="262">
        <v>0</v>
      </c>
      <c r="I18" s="263"/>
      <c r="J18" s="262">
        <v>0</v>
      </c>
      <c r="K18" s="263"/>
      <c r="L18" s="262">
        <v>0</v>
      </c>
      <c r="M18" s="263"/>
      <c r="N18" s="271">
        <f t="shared" si="0"/>
        <v>0</v>
      </c>
    </row>
    <row r="19" spans="1:14" x14ac:dyDescent="0.25">
      <c r="A19" s="275" t="s">
        <v>297</v>
      </c>
      <c r="B19" s="276" t="s">
        <v>571</v>
      </c>
      <c r="C19" s="262">
        <v>0</v>
      </c>
      <c r="D19" s="174"/>
      <c r="E19" s="263"/>
      <c r="F19" s="262">
        <f>'4. melléklet'!C18</f>
        <v>262373057.00999999</v>
      </c>
      <c r="G19" s="263">
        <f>'4. melléklet'!D18</f>
        <v>29463299.829999998</v>
      </c>
      <c r="H19" s="262">
        <f>'6. melléklet'!C18</f>
        <v>335102715.88999999</v>
      </c>
      <c r="I19" s="263">
        <f>'6. melléklet'!D18</f>
        <v>0</v>
      </c>
      <c r="J19" s="262">
        <f>'5. melléklet'!C18</f>
        <v>34081440</v>
      </c>
      <c r="K19" s="263">
        <f>'5. melléklet'!D18</f>
        <v>0</v>
      </c>
      <c r="L19" s="262">
        <f>'7. melléklet'!C18</f>
        <v>43855727</v>
      </c>
      <c r="M19" s="263">
        <f>'7. melléklet'!D18</f>
        <v>0</v>
      </c>
      <c r="N19" s="271">
        <f t="shared" si="0"/>
        <v>704876239.73000002</v>
      </c>
    </row>
    <row r="20" spans="1:14" x14ac:dyDescent="0.25">
      <c r="A20" s="275" t="s">
        <v>299</v>
      </c>
      <c r="B20" s="276" t="s">
        <v>572</v>
      </c>
      <c r="C20" s="262">
        <v>0</v>
      </c>
      <c r="D20" s="174"/>
      <c r="E20" s="263"/>
      <c r="F20" s="262">
        <v>0</v>
      </c>
      <c r="G20" s="263"/>
      <c r="H20" s="262">
        <v>0</v>
      </c>
      <c r="I20" s="263"/>
      <c r="J20" s="262">
        <v>0</v>
      </c>
      <c r="K20" s="263"/>
      <c r="L20" s="262">
        <v>0</v>
      </c>
      <c r="M20" s="263"/>
      <c r="N20" s="271">
        <f t="shared" si="0"/>
        <v>0</v>
      </c>
    </row>
    <row r="21" spans="1:14" x14ac:dyDescent="0.25">
      <c r="A21" s="275" t="s">
        <v>301</v>
      </c>
      <c r="B21" s="276" t="s">
        <v>573</v>
      </c>
      <c r="C21" s="262">
        <v>0</v>
      </c>
      <c r="D21" s="174"/>
      <c r="E21" s="263"/>
      <c r="F21" s="262">
        <v>0</v>
      </c>
      <c r="G21" s="263"/>
      <c r="H21" s="262">
        <v>0</v>
      </c>
      <c r="I21" s="263"/>
      <c r="J21" s="262">
        <v>0</v>
      </c>
      <c r="K21" s="263"/>
      <c r="L21" s="262">
        <v>0</v>
      </c>
      <c r="M21" s="263"/>
      <c r="N21" s="271">
        <f t="shared" si="0"/>
        <v>0</v>
      </c>
    </row>
    <row r="22" spans="1:14" x14ac:dyDescent="0.25">
      <c r="A22" s="275" t="s">
        <v>303</v>
      </c>
      <c r="B22" s="276" t="s">
        <v>574</v>
      </c>
      <c r="C22" s="262">
        <v>0</v>
      </c>
      <c r="D22" s="174"/>
      <c r="E22" s="263"/>
      <c r="F22" s="262">
        <v>0</v>
      </c>
      <c r="G22" s="263"/>
      <c r="H22" s="262">
        <v>0</v>
      </c>
      <c r="I22" s="263"/>
      <c r="J22" s="262">
        <v>0</v>
      </c>
      <c r="K22" s="263"/>
      <c r="L22" s="262">
        <v>0</v>
      </c>
      <c r="M22" s="263"/>
      <c r="N22" s="271">
        <f t="shared" si="0"/>
        <v>0</v>
      </c>
    </row>
    <row r="23" spans="1:14" x14ac:dyDescent="0.25">
      <c r="A23" s="275" t="s">
        <v>305</v>
      </c>
      <c r="B23" s="276" t="s">
        <v>575</v>
      </c>
      <c r="C23" s="262">
        <v>0</v>
      </c>
      <c r="D23" s="174"/>
      <c r="E23" s="263"/>
      <c r="F23" s="262">
        <v>0</v>
      </c>
      <c r="G23" s="263"/>
      <c r="H23" s="262">
        <v>0</v>
      </c>
      <c r="I23" s="263"/>
      <c r="J23" s="262">
        <v>0</v>
      </c>
      <c r="K23" s="263"/>
      <c r="L23" s="262">
        <v>0</v>
      </c>
      <c r="M23" s="263"/>
      <c r="N23" s="271">
        <f t="shared" si="0"/>
        <v>0</v>
      </c>
    </row>
    <row r="24" spans="1:14" s="205" customFormat="1" x14ac:dyDescent="0.3">
      <c r="A24" s="277" t="s">
        <v>307</v>
      </c>
      <c r="B24" s="278" t="s">
        <v>576</v>
      </c>
      <c r="C24" s="264">
        <f>SUM(C22:C23)</f>
        <v>0</v>
      </c>
      <c r="D24" s="175">
        <f t="shared" ref="D24:M24" si="4">SUM(D22:D23)</f>
        <v>0</v>
      </c>
      <c r="E24" s="265">
        <f t="shared" si="4"/>
        <v>0</v>
      </c>
      <c r="F24" s="264">
        <f t="shared" si="4"/>
        <v>0</v>
      </c>
      <c r="G24" s="265">
        <f t="shared" si="4"/>
        <v>0</v>
      </c>
      <c r="H24" s="264">
        <f t="shared" si="4"/>
        <v>0</v>
      </c>
      <c r="I24" s="265">
        <f t="shared" si="4"/>
        <v>0</v>
      </c>
      <c r="J24" s="264">
        <f t="shared" si="4"/>
        <v>0</v>
      </c>
      <c r="K24" s="265">
        <f t="shared" si="4"/>
        <v>0</v>
      </c>
      <c r="L24" s="264">
        <f t="shared" si="4"/>
        <v>0</v>
      </c>
      <c r="M24" s="265">
        <f t="shared" si="4"/>
        <v>0</v>
      </c>
      <c r="N24" s="272">
        <f t="shared" si="0"/>
        <v>0</v>
      </c>
    </row>
    <row r="25" spans="1:14" s="205" customFormat="1" x14ac:dyDescent="0.3">
      <c r="A25" s="277" t="s">
        <v>309</v>
      </c>
      <c r="B25" s="278" t="s">
        <v>577</v>
      </c>
      <c r="C25" s="264">
        <f>C8+C13+C16+C17+C18+C19+C20+C21+C24</f>
        <v>295783880</v>
      </c>
      <c r="D25" s="175">
        <f t="shared" ref="D25:M25" si="5">D8+D13+D16+D17+D18+D19+D20+D21+D24</f>
        <v>0</v>
      </c>
      <c r="E25" s="265">
        <f t="shared" si="5"/>
        <v>0</v>
      </c>
      <c r="F25" s="264">
        <f t="shared" si="5"/>
        <v>262373057.00999999</v>
      </c>
      <c r="G25" s="265">
        <f t="shared" si="5"/>
        <v>29463299.829999998</v>
      </c>
      <c r="H25" s="264">
        <f t="shared" si="5"/>
        <v>335102715.88999999</v>
      </c>
      <c r="I25" s="265">
        <f t="shared" si="5"/>
        <v>0</v>
      </c>
      <c r="J25" s="264">
        <f t="shared" si="5"/>
        <v>34081440</v>
      </c>
      <c r="K25" s="265">
        <f t="shared" si="5"/>
        <v>0</v>
      </c>
      <c r="L25" s="264">
        <f t="shared" si="5"/>
        <v>43855727</v>
      </c>
      <c r="M25" s="265">
        <f t="shared" si="5"/>
        <v>0</v>
      </c>
      <c r="N25" s="272">
        <f t="shared" si="0"/>
        <v>1000660119.73</v>
      </c>
    </row>
    <row r="26" spans="1:14" x14ac:dyDescent="0.25">
      <c r="A26" s="275" t="s">
        <v>311</v>
      </c>
      <c r="B26" s="276" t="s">
        <v>578</v>
      </c>
      <c r="C26" s="262">
        <v>0</v>
      </c>
      <c r="D26" s="174"/>
      <c r="E26" s="263"/>
      <c r="F26" s="262">
        <v>0</v>
      </c>
      <c r="G26" s="263"/>
      <c r="H26" s="262">
        <v>0</v>
      </c>
      <c r="I26" s="263"/>
      <c r="J26" s="262">
        <v>0</v>
      </c>
      <c r="K26" s="263"/>
      <c r="L26" s="262">
        <v>0</v>
      </c>
      <c r="M26" s="263"/>
      <c r="N26" s="271">
        <f t="shared" si="0"/>
        <v>0</v>
      </c>
    </row>
    <row r="27" spans="1:14" x14ac:dyDescent="0.25">
      <c r="A27" s="275" t="s">
        <v>313</v>
      </c>
      <c r="B27" s="276" t="s">
        <v>579</v>
      </c>
      <c r="C27" s="262">
        <v>0</v>
      </c>
      <c r="D27" s="174"/>
      <c r="E27" s="263"/>
      <c r="F27" s="262">
        <v>0</v>
      </c>
      <c r="G27" s="263"/>
      <c r="H27" s="262">
        <v>0</v>
      </c>
      <c r="I27" s="263"/>
      <c r="J27" s="262">
        <v>0</v>
      </c>
      <c r="K27" s="263"/>
      <c r="L27" s="262">
        <v>0</v>
      </c>
      <c r="M27" s="263"/>
      <c r="N27" s="271">
        <f t="shared" si="0"/>
        <v>0</v>
      </c>
    </row>
    <row r="28" spans="1:14" x14ac:dyDescent="0.25">
      <c r="A28" s="275" t="s">
        <v>315</v>
      </c>
      <c r="B28" s="276" t="s">
        <v>580</v>
      </c>
      <c r="C28" s="262">
        <v>0</v>
      </c>
      <c r="D28" s="174"/>
      <c r="E28" s="263"/>
      <c r="F28" s="262">
        <v>0</v>
      </c>
      <c r="G28" s="263"/>
      <c r="H28" s="262">
        <v>0</v>
      </c>
      <c r="I28" s="263"/>
      <c r="J28" s="262">
        <v>0</v>
      </c>
      <c r="K28" s="263"/>
      <c r="L28" s="262">
        <v>0</v>
      </c>
      <c r="M28" s="263"/>
      <c r="N28" s="271">
        <f t="shared" si="0"/>
        <v>0</v>
      </c>
    </row>
    <row r="29" spans="1:14" x14ac:dyDescent="0.25">
      <c r="A29" s="275" t="s">
        <v>317</v>
      </c>
      <c r="B29" s="276" t="s">
        <v>581</v>
      </c>
      <c r="C29" s="262">
        <v>0</v>
      </c>
      <c r="D29" s="174"/>
      <c r="E29" s="263"/>
      <c r="F29" s="262">
        <v>0</v>
      </c>
      <c r="G29" s="263"/>
      <c r="H29" s="262">
        <v>0</v>
      </c>
      <c r="I29" s="263"/>
      <c r="J29" s="262">
        <v>0</v>
      </c>
      <c r="K29" s="263"/>
      <c r="L29" s="262">
        <v>0</v>
      </c>
      <c r="M29" s="263"/>
      <c r="N29" s="271">
        <f t="shared" si="0"/>
        <v>0</v>
      </c>
    </row>
    <row r="30" spans="1:14" x14ac:dyDescent="0.25">
      <c r="A30" s="275" t="s">
        <v>319</v>
      </c>
      <c r="B30" s="276" t="s">
        <v>582</v>
      </c>
      <c r="C30" s="262">
        <v>0</v>
      </c>
      <c r="D30" s="174"/>
      <c r="E30" s="263"/>
      <c r="F30" s="262">
        <v>0</v>
      </c>
      <c r="G30" s="263"/>
      <c r="H30" s="262">
        <v>0</v>
      </c>
      <c r="I30" s="263"/>
      <c r="J30" s="262">
        <v>0</v>
      </c>
      <c r="K30" s="263"/>
      <c r="L30" s="262">
        <v>0</v>
      </c>
      <c r="M30" s="263"/>
      <c r="N30" s="271">
        <f t="shared" si="0"/>
        <v>0</v>
      </c>
    </row>
    <row r="31" spans="1:14" s="205" customFormat="1" x14ac:dyDescent="0.3">
      <c r="A31" s="277" t="s">
        <v>321</v>
      </c>
      <c r="B31" s="278" t="s">
        <v>583</v>
      </c>
      <c r="C31" s="264">
        <f>SUM(C26:C30)</f>
        <v>0</v>
      </c>
      <c r="D31" s="175">
        <f t="shared" ref="D31:M31" si="6">SUM(D26:D30)</f>
        <v>0</v>
      </c>
      <c r="E31" s="265">
        <f t="shared" si="6"/>
        <v>0</v>
      </c>
      <c r="F31" s="264">
        <f t="shared" si="6"/>
        <v>0</v>
      </c>
      <c r="G31" s="265">
        <f t="shared" si="6"/>
        <v>0</v>
      </c>
      <c r="H31" s="264">
        <f t="shared" si="6"/>
        <v>0</v>
      </c>
      <c r="I31" s="265">
        <f t="shared" si="6"/>
        <v>0</v>
      </c>
      <c r="J31" s="264">
        <f t="shared" si="6"/>
        <v>0</v>
      </c>
      <c r="K31" s="265">
        <f t="shared" si="6"/>
        <v>0</v>
      </c>
      <c r="L31" s="264">
        <f t="shared" si="6"/>
        <v>0</v>
      </c>
      <c r="M31" s="265">
        <f t="shared" si="6"/>
        <v>0</v>
      </c>
      <c r="N31" s="272">
        <f t="shared" si="0"/>
        <v>0</v>
      </c>
    </row>
    <row r="32" spans="1:14" x14ac:dyDescent="0.25">
      <c r="A32" s="275" t="s">
        <v>323</v>
      </c>
      <c r="B32" s="276" t="s">
        <v>584</v>
      </c>
      <c r="C32" s="262">
        <v>0</v>
      </c>
      <c r="D32" s="174"/>
      <c r="E32" s="263"/>
      <c r="F32" s="262">
        <v>0</v>
      </c>
      <c r="G32" s="263"/>
      <c r="H32" s="262">
        <v>0</v>
      </c>
      <c r="I32" s="263"/>
      <c r="J32" s="262">
        <v>0</v>
      </c>
      <c r="K32" s="263"/>
      <c r="L32" s="262">
        <v>0</v>
      </c>
      <c r="M32" s="263"/>
      <c r="N32" s="271">
        <f t="shared" si="0"/>
        <v>0</v>
      </c>
    </row>
    <row r="33" spans="1:14" x14ac:dyDescent="0.25">
      <c r="A33" s="275" t="s">
        <v>325</v>
      </c>
      <c r="B33" s="276" t="s">
        <v>585</v>
      </c>
      <c r="C33" s="262">
        <v>0</v>
      </c>
      <c r="D33" s="174"/>
      <c r="E33" s="263"/>
      <c r="F33" s="262">
        <v>0</v>
      </c>
      <c r="G33" s="263"/>
      <c r="H33" s="262">
        <v>0</v>
      </c>
      <c r="I33" s="263"/>
      <c r="J33" s="262">
        <v>0</v>
      </c>
      <c r="K33" s="263"/>
      <c r="L33" s="262">
        <v>0</v>
      </c>
      <c r="M33" s="263"/>
      <c r="N33" s="271">
        <f t="shared" si="0"/>
        <v>0</v>
      </c>
    </row>
    <row r="34" spans="1:14" s="205" customFormat="1" ht="13.5" thickBot="1" x14ac:dyDescent="0.35">
      <c r="A34" s="279" t="s">
        <v>327</v>
      </c>
      <c r="B34" s="280" t="s">
        <v>586</v>
      </c>
      <c r="C34" s="266">
        <f>C25+C31+C32+C33</f>
        <v>295783880</v>
      </c>
      <c r="D34" s="267">
        <f t="shared" ref="D34:M34" si="7">D25+D31+D32+D33</f>
        <v>0</v>
      </c>
      <c r="E34" s="268">
        <f t="shared" si="7"/>
        <v>0</v>
      </c>
      <c r="F34" s="266">
        <f t="shared" si="7"/>
        <v>262373057.00999999</v>
      </c>
      <c r="G34" s="268">
        <f t="shared" si="7"/>
        <v>29463299.829999998</v>
      </c>
      <c r="H34" s="266">
        <f t="shared" si="7"/>
        <v>335102715.88999999</v>
      </c>
      <c r="I34" s="268">
        <f t="shared" si="7"/>
        <v>0</v>
      </c>
      <c r="J34" s="266">
        <f t="shared" si="7"/>
        <v>34081440</v>
      </c>
      <c r="K34" s="268">
        <f t="shared" si="7"/>
        <v>0</v>
      </c>
      <c r="L34" s="266">
        <f t="shared" si="7"/>
        <v>43855727</v>
      </c>
      <c r="M34" s="268">
        <f t="shared" si="7"/>
        <v>0</v>
      </c>
      <c r="N34" s="289">
        <f t="shared" si="0"/>
        <v>1000660119.73</v>
      </c>
    </row>
    <row r="36" spans="1:14" ht="12.5" x14ac:dyDescent="0.25"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</row>
  </sheetData>
  <mergeCells count="8">
    <mergeCell ref="A1:N1"/>
    <mergeCell ref="A2:N2"/>
    <mergeCell ref="B3:B4"/>
    <mergeCell ref="F3:G3"/>
    <mergeCell ref="H3:I3"/>
    <mergeCell ref="J3:K3"/>
    <mergeCell ref="L3:M3"/>
    <mergeCell ref="C3:E3"/>
  </mergeCells>
  <pageMargins left="0.74803149606299213" right="0.74803149606299213" top="0.98425196850393704" bottom="0.98425196850393704" header="0.51181102362204722" footer="0.51181102362204722"/>
  <pageSetup scale="37" orientation="landscape" r:id="rId1"/>
  <headerFooter alignWithMargins="0">
    <oddHeader>&amp;C&amp;L&amp;RÉrték típus: Forint</oddHeader>
    <oddFooter>&amp;C&amp;LAdatellenőrző kód: 395a-67-4577-9-33-1c-41-4f5b-6237-656f1e507e7a-6a&amp;R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selection activeCell="H1" sqref="H1:H2"/>
    </sheetView>
  </sheetViews>
  <sheetFormatPr defaultRowHeight="14.5" x14ac:dyDescent="0.35"/>
  <cols>
    <col min="4" max="4" width="22" customWidth="1"/>
    <col min="7" max="7" width="18" bestFit="1" customWidth="1"/>
    <col min="8" max="8" width="28.453125" customWidth="1"/>
    <col min="11" max="11" width="11" bestFit="1" customWidth="1"/>
  </cols>
  <sheetData>
    <row r="1" spans="1:12" ht="15" customHeight="1" x14ac:dyDescent="0.35">
      <c r="B1" s="216"/>
      <c r="C1" s="216"/>
      <c r="D1" s="216"/>
      <c r="E1" s="216"/>
      <c r="F1" s="216"/>
      <c r="G1" s="216"/>
      <c r="H1" s="322" t="s">
        <v>716</v>
      </c>
    </row>
    <row r="2" spans="1:12" ht="15" customHeight="1" x14ac:dyDescent="0.35">
      <c r="B2" s="327" t="s">
        <v>640</v>
      </c>
      <c r="C2" s="327"/>
      <c r="D2" s="327"/>
      <c r="E2" s="327"/>
      <c r="F2" s="249"/>
      <c r="G2" s="249"/>
      <c r="H2" s="322"/>
    </row>
    <row r="3" spans="1:12" x14ac:dyDescent="0.35">
      <c r="B3" s="214"/>
      <c r="C3" s="215"/>
      <c r="D3" s="215"/>
      <c r="E3" s="215"/>
      <c r="F3" s="215"/>
      <c r="G3" s="215"/>
      <c r="H3" s="215"/>
    </row>
    <row r="4" spans="1:12" x14ac:dyDescent="0.35">
      <c r="D4" s="50"/>
      <c r="G4" s="250"/>
      <c r="H4" s="251" t="s">
        <v>93</v>
      </c>
    </row>
    <row r="5" spans="1:12" ht="15" customHeight="1" x14ac:dyDescent="0.35">
      <c r="A5" s="31" t="s">
        <v>121</v>
      </c>
      <c r="B5" s="323" t="s">
        <v>122</v>
      </c>
      <c r="C5" s="323"/>
      <c r="D5" s="323"/>
      <c r="E5" s="323"/>
      <c r="F5" s="323"/>
      <c r="G5" s="31" t="s">
        <v>658</v>
      </c>
      <c r="H5" s="31" t="s">
        <v>123</v>
      </c>
    </row>
    <row r="6" spans="1:12" x14ac:dyDescent="0.35">
      <c r="A6" s="51" t="s">
        <v>4</v>
      </c>
      <c r="B6" s="325" t="s">
        <v>124</v>
      </c>
      <c r="C6" s="325"/>
      <c r="D6" s="325"/>
      <c r="E6" s="325"/>
      <c r="F6" s="325"/>
      <c r="G6" s="252">
        <f>G7+G8</f>
        <v>4000000</v>
      </c>
      <c r="H6" s="70"/>
    </row>
    <row r="7" spans="1:12" ht="15" customHeight="1" x14ac:dyDescent="0.35">
      <c r="A7" s="52"/>
      <c r="B7" s="326" t="s">
        <v>596</v>
      </c>
      <c r="C7" s="326"/>
      <c r="D7" s="326"/>
      <c r="E7" s="326"/>
      <c r="F7" s="326"/>
      <c r="G7" s="252">
        <v>4000000</v>
      </c>
      <c r="H7" s="245"/>
      <c r="J7" s="189"/>
      <c r="K7" s="189"/>
      <c r="L7" s="189"/>
    </row>
    <row r="8" spans="1:12" ht="15" customHeight="1" x14ac:dyDescent="0.35">
      <c r="A8" s="52"/>
      <c r="B8" s="326" t="s">
        <v>669</v>
      </c>
      <c r="C8" s="326"/>
      <c r="D8" s="326"/>
      <c r="E8" s="326"/>
      <c r="F8" s="326"/>
      <c r="G8" s="252">
        <v>0</v>
      </c>
      <c r="H8" s="245"/>
      <c r="J8" s="189"/>
      <c r="K8" s="189"/>
      <c r="L8" s="189"/>
    </row>
    <row r="9" spans="1:12" x14ac:dyDescent="0.35">
      <c r="A9" s="51" t="s">
        <v>6</v>
      </c>
      <c r="B9" s="324" t="s">
        <v>125</v>
      </c>
      <c r="C9" s="324"/>
      <c r="D9" s="324"/>
      <c r="E9" s="324"/>
      <c r="F9" s="324"/>
      <c r="G9" s="252">
        <v>7000000</v>
      </c>
      <c r="H9" s="246"/>
      <c r="J9" s="189"/>
      <c r="K9" s="189"/>
      <c r="L9" s="189"/>
    </row>
    <row r="10" spans="1:12" x14ac:dyDescent="0.35">
      <c r="A10" s="51" t="s">
        <v>16</v>
      </c>
      <c r="B10" s="324" t="s">
        <v>126</v>
      </c>
      <c r="C10" s="324"/>
      <c r="D10" s="324"/>
      <c r="E10" s="324"/>
      <c r="F10" s="324"/>
      <c r="G10" s="252">
        <v>0</v>
      </c>
      <c r="H10" s="246"/>
      <c r="J10" s="189"/>
      <c r="K10" s="189"/>
      <c r="L10" s="189"/>
    </row>
    <row r="11" spans="1:12" x14ac:dyDescent="0.35">
      <c r="A11" s="51" t="s">
        <v>18</v>
      </c>
      <c r="B11" s="324" t="s">
        <v>127</v>
      </c>
      <c r="C11" s="324"/>
      <c r="D11" s="324"/>
      <c r="E11" s="324"/>
      <c r="F11" s="324"/>
      <c r="G11" s="252">
        <f>G12+G13+G14+G15+G16</f>
        <v>34683260</v>
      </c>
      <c r="H11" s="246"/>
      <c r="J11" s="189"/>
      <c r="K11" s="189"/>
      <c r="L11" s="189"/>
    </row>
    <row r="12" spans="1:12" x14ac:dyDescent="0.35">
      <c r="A12" s="54"/>
      <c r="B12" s="328" t="s">
        <v>128</v>
      </c>
      <c r="C12" s="328"/>
      <c r="D12" s="328"/>
      <c r="E12" s="328"/>
      <c r="F12" s="328"/>
      <c r="G12" s="252">
        <v>0</v>
      </c>
      <c r="H12" s="247"/>
      <c r="J12" s="189"/>
      <c r="K12" s="189"/>
      <c r="L12" s="189"/>
    </row>
    <row r="13" spans="1:12" x14ac:dyDescent="0.35">
      <c r="A13" s="54"/>
      <c r="B13" s="328" t="s">
        <v>685</v>
      </c>
      <c r="C13" s="328"/>
      <c r="D13" s="328"/>
      <c r="E13" s="328"/>
      <c r="F13" s="328"/>
      <c r="G13" s="252">
        <v>8851900</v>
      </c>
      <c r="H13" s="247"/>
      <c r="J13" s="189"/>
      <c r="K13" s="189"/>
      <c r="L13" s="189"/>
    </row>
    <row r="14" spans="1:12" x14ac:dyDescent="0.35">
      <c r="A14" s="53"/>
      <c r="B14" s="328" t="s">
        <v>129</v>
      </c>
      <c r="C14" s="328"/>
      <c r="D14" s="328"/>
      <c r="E14" s="328"/>
      <c r="F14" s="328"/>
      <c r="G14" s="252">
        <v>5547825</v>
      </c>
      <c r="H14" s="247"/>
      <c r="J14" s="189"/>
      <c r="K14" s="189"/>
      <c r="L14" s="189"/>
    </row>
    <row r="15" spans="1:12" x14ac:dyDescent="0.35">
      <c r="A15" s="53"/>
      <c r="B15" s="328" t="s">
        <v>683</v>
      </c>
      <c r="C15" s="328"/>
      <c r="D15" s="328"/>
      <c r="E15" s="328"/>
      <c r="F15" s="328"/>
      <c r="G15" s="252">
        <v>7618244</v>
      </c>
      <c r="H15" s="247"/>
    </row>
    <row r="16" spans="1:12" x14ac:dyDescent="0.35">
      <c r="A16" s="217"/>
      <c r="B16" s="328" t="s">
        <v>684</v>
      </c>
      <c r="C16" s="328"/>
      <c r="D16" s="328"/>
      <c r="E16" s="328"/>
      <c r="F16" s="328"/>
      <c r="G16" s="252">
        <v>12665291</v>
      </c>
      <c r="H16" s="247"/>
    </row>
    <row r="17" spans="1:8" x14ac:dyDescent="0.35">
      <c r="A17" s="16"/>
      <c r="B17" s="329" t="s">
        <v>130</v>
      </c>
      <c r="C17" s="329"/>
      <c r="D17" s="329"/>
      <c r="E17" s="329"/>
      <c r="F17" s="329"/>
      <c r="G17" s="253">
        <f>G6+G9+G10+G11</f>
        <v>45683260</v>
      </c>
      <c r="H17" s="248"/>
    </row>
    <row r="18" spans="1:8" x14ac:dyDescent="0.35">
      <c r="G18" s="189"/>
    </row>
    <row r="19" spans="1:8" x14ac:dyDescent="0.35">
      <c r="G19" s="189"/>
    </row>
  </sheetData>
  <mergeCells count="15">
    <mergeCell ref="B14:F14"/>
    <mergeCell ref="B15:F15"/>
    <mergeCell ref="B16:F16"/>
    <mergeCell ref="B17:F17"/>
    <mergeCell ref="B12:F12"/>
    <mergeCell ref="B13:F13"/>
    <mergeCell ref="H1:H2"/>
    <mergeCell ref="B5:F5"/>
    <mergeCell ref="B9:F9"/>
    <mergeCell ref="B11:F11"/>
    <mergeCell ref="B6:F6"/>
    <mergeCell ref="B7:F7"/>
    <mergeCell ref="B8:F8"/>
    <mergeCell ref="B10:F10"/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D1" sqref="D1:E3"/>
    </sheetView>
  </sheetViews>
  <sheetFormatPr defaultColWidth="12.453125" defaultRowHeight="14.5" x14ac:dyDescent="0.35"/>
  <cols>
    <col min="1" max="1" width="6.54296875" bestFit="1" customWidth="1"/>
    <col min="2" max="5" width="21.81640625" customWidth="1"/>
  </cols>
  <sheetData>
    <row r="1" spans="1:5" x14ac:dyDescent="0.35">
      <c r="D1" s="295" t="s">
        <v>717</v>
      </c>
      <c r="E1" s="296"/>
    </row>
    <row r="2" spans="1:5" x14ac:dyDescent="0.35">
      <c r="A2" s="330" t="s">
        <v>639</v>
      </c>
      <c r="B2" s="330"/>
      <c r="C2" s="330"/>
      <c r="D2" s="296"/>
      <c r="E2" s="296"/>
    </row>
    <row r="3" spans="1:5" x14ac:dyDescent="0.35">
      <c r="C3" s="55"/>
      <c r="D3" s="296"/>
      <c r="E3" s="296"/>
    </row>
    <row r="4" spans="1:5" x14ac:dyDescent="0.35">
      <c r="E4" s="56" t="s">
        <v>93</v>
      </c>
    </row>
    <row r="5" spans="1:5" x14ac:dyDescent="0.35">
      <c r="A5" s="52" t="s">
        <v>121</v>
      </c>
      <c r="B5" s="33" t="s">
        <v>122</v>
      </c>
      <c r="C5" s="33" t="s">
        <v>131</v>
      </c>
      <c r="D5" s="33" t="s">
        <v>132</v>
      </c>
      <c r="E5" s="33" t="s">
        <v>3</v>
      </c>
    </row>
    <row r="6" spans="1:5" x14ac:dyDescent="0.35">
      <c r="A6" s="57" t="s">
        <v>4</v>
      </c>
      <c r="B6" s="52"/>
      <c r="C6" s="33">
        <v>0</v>
      </c>
      <c r="D6" s="33">
        <v>0</v>
      </c>
      <c r="E6" s="33">
        <v>0</v>
      </c>
    </row>
    <row r="7" spans="1:5" x14ac:dyDescent="0.35">
      <c r="A7" s="57" t="s">
        <v>6</v>
      </c>
      <c r="B7" s="52"/>
      <c r="C7" s="159">
        <v>0</v>
      </c>
      <c r="D7" s="159">
        <v>0</v>
      </c>
      <c r="E7" s="159">
        <v>0</v>
      </c>
    </row>
    <row r="8" spans="1:5" x14ac:dyDescent="0.35">
      <c r="A8" s="57" t="s">
        <v>16</v>
      </c>
      <c r="B8" s="52"/>
      <c r="C8" s="159">
        <v>0</v>
      </c>
      <c r="D8" s="159">
        <v>0</v>
      </c>
      <c r="E8" s="159">
        <v>0</v>
      </c>
    </row>
    <row r="9" spans="1:5" x14ac:dyDescent="0.35">
      <c r="A9" s="57" t="s">
        <v>18</v>
      </c>
      <c r="B9" s="52"/>
      <c r="C9" s="159">
        <v>0</v>
      </c>
      <c r="D9" s="159">
        <v>0</v>
      </c>
      <c r="E9" s="159">
        <v>0</v>
      </c>
    </row>
    <row r="10" spans="1:5" x14ac:dyDescent="0.35">
      <c r="A10" s="57" t="s">
        <v>24</v>
      </c>
      <c r="B10" s="52"/>
      <c r="C10" s="159">
        <v>0</v>
      </c>
      <c r="D10" s="159">
        <v>0</v>
      </c>
      <c r="E10" s="159">
        <v>0</v>
      </c>
    </row>
    <row r="11" spans="1:5" x14ac:dyDescent="0.35">
      <c r="A11" s="57" t="s">
        <v>26</v>
      </c>
      <c r="B11" s="52"/>
      <c r="C11" s="159">
        <v>0</v>
      </c>
      <c r="D11" s="159">
        <v>0</v>
      </c>
      <c r="E11" s="159">
        <v>0</v>
      </c>
    </row>
    <row r="12" spans="1:5" x14ac:dyDescent="0.35">
      <c r="A12" s="57"/>
      <c r="B12" s="58" t="s">
        <v>133</v>
      </c>
      <c r="C12" s="33">
        <f t="shared" ref="C12:D12" si="0">SUM(C6:C11)</f>
        <v>0</v>
      </c>
      <c r="D12" s="33">
        <f t="shared" si="0"/>
        <v>0</v>
      </c>
      <c r="E12" s="33">
        <f>SUM(E6:E11)</f>
        <v>0</v>
      </c>
    </row>
  </sheetData>
  <mergeCells count="2">
    <mergeCell ref="D1:E3"/>
    <mergeCell ref="A2:C2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I1" sqref="I1:J3"/>
    </sheetView>
  </sheetViews>
  <sheetFormatPr defaultRowHeight="14.5" x14ac:dyDescent="0.35"/>
  <sheetData>
    <row r="1" spans="1:10" x14ac:dyDescent="0.35">
      <c r="I1" s="295" t="s">
        <v>718</v>
      </c>
      <c r="J1" s="296"/>
    </row>
    <row r="2" spans="1:10" x14ac:dyDescent="0.35">
      <c r="A2" s="331" t="s">
        <v>135</v>
      </c>
      <c r="B2" s="331"/>
      <c r="C2" s="331"/>
      <c r="D2" s="331"/>
      <c r="E2" s="331"/>
      <c r="F2" s="331"/>
      <c r="G2" s="331"/>
      <c r="H2" s="332"/>
      <c r="I2" s="296"/>
      <c r="J2" s="296"/>
    </row>
    <row r="3" spans="1:10" x14ac:dyDescent="0.35">
      <c r="I3" s="296"/>
      <c r="J3" s="296"/>
    </row>
    <row r="4" spans="1:10" x14ac:dyDescent="0.35">
      <c r="I4" s="302" t="s">
        <v>93</v>
      </c>
      <c r="J4" s="302"/>
    </row>
    <row r="5" spans="1:10" ht="32.5" x14ac:dyDescent="0.35">
      <c r="A5" s="33" t="s">
        <v>1</v>
      </c>
      <c r="B5" s="33" t="s">
        <v>2</v>
      </c>
      <c r="C5" s="59" t="s">
        <v>134</v>
      </c>
      <c r="D5" s="181">
        <v>2018</v>
      </c>
      <c r="E5" s="181">
        <v>2019</v>
      </c>
      <c r="F5" s="181">
        <v>2020</v>
      </c>
      <c r="G5" s="181">
        <v>2021</v>
      </c>
      <c r="H5" s="181">
        <v>2022</v>
      </c>
      <c r="I5" s="181">
        <v>2023</v>
      </c>
      <c r="J5" s="33">
        <v>2024</v>
      </c>
    </row>
    <row r="6" spans="1:10" x14ac:dyDescent="0.35">
      <c r="A6" s="33" t="s">
        <v>4</v>
      </c>
      <c r="B6" s="52"/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</row>
    <row r="7" spans="1:10" x14ac:dyDescent="0.35">
      <c r="A7" s="33" t="s">
        <v>6</v>
      </c>
      <c r="B7" s="52"/>
      <c r="C7" s="159">
        <v>0</v>
      </c>
      <c r="D7" s="159">
        <v>0</v>
      </c>
      <c r="E7" s="159">
        <v>0</v>
      </c>
      <c r="F7" s="159">
        <v>0</v>
      </c>
      <c r="G7" s="159">
        <v>0</v>
      </c>
      <c r="H7" s="159">
        <v>0</v>
      </c>
      <c r="I7" s="159">
        <v>0</v>
      </c>
      <c r="J7" s="159">
        <v>0</v>
      </c>
    </row>
    <row r="8" spans="1:10" x14ac:dyDescent="0.35">
      <c r="A8" s="33" t="s">
        <v>16</v>
      </c>
      <c r="B8" s="52"/>
      <c r="C8" s="159">
        <v>0</v>
      </c>
      <c r="D8" s="159">
        <v>0</v>
      </c>
      <c r="E8" s="159">
        <v>0</v>
      </c>
      <c r="F8" s="159">
        <v>0</v>
      </c>
      <c r="G8" s="159">
        <v>0</v>
      </c>
      <c r="H8" s="159">
        <v>0</v>
      </c>
      <c r="I8" s="159">
        <v>0</v>
      </c>
      <c r="J8" s="159">
        <v>0</v>
      </c>
    </row>
    <row r="9" spans="1:10" x14ac:dyDescent="0.35">
      <c r="A9" s="33" t="s">
        <v>18</v>
      </c>
      <c r="B9" s="52"/>
      <c r="C9" s="159">
        <v>0</v>
      </c>
      <c r="D9" s="159">
        <v>0</v>
      </c>
      <c r="E9" s="159">
        <v>0</v>
      </c>
      <c r="F9" s="159">
        <v>0</v>
      </c>
      <c r="G9" s="159">
        <v>0</v>
      </c>
      <c r="H9" s="159">
        <v>0</v>
      </c>
      <c r="I9" s="159">
        <v>0</v>
      </c>
      <c r="J9" s="159">
        <v>0</v>
      </c>
    </row>
    <row r="10" spans="1:10" x14ac:dyDescent="0.35">
      <c r="A10" s="33" t="s">
        <v>24</v>
      </c>
      <c r="B10" s="52"/>
      <c r="C10" s="159">
        <v>0</v>
      </c>
      <c r="D10" s="159">
        <v>0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</row>
    <row r="11" spans="1:10" x14ac:dyDescent="0.35">
      <c r="A11" s="33" t="s">
        <v>26</v>
      </c>
      <c r="B11" s="52"/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</row>
    <row r="12" spans="1:10" x14ac:dyDescent="0.35">
      <c r="A12" s="33"/>
      <c r="B12" s="60" t="s">
        <v>133</v>
      </c>
      <c r="C12" s="33">
        <v>0</v>
      </c>
      <c r="D12" s="33">
        <f>SUM(D6:D11)</f>
        <v>0</v>
      </c>
      <c r="E12" s="33">
        <f t="shared" ref="E12:J12" si="0">SUM(E6:E11)</f>
        <v>0</v>
      </c>
      <c r="F12" s="33">
        <f t="shared" si="0"/>
        <v>0</v>
      </c>
      <c r="G12" s="33">
        <f t="shared" si="0"/>
        <v>0</v>
      </c>
      <c r="H12" s="33">
        <f t="shared" si="0"/>
        <v>0</v>
      </c>
      <c r="I12" s="33">
        <f t="shared" si="0"/>
        <v>0</v>
      </c>
      <c r="J12" s="33">
        <f t="shared" si="0"/>
        <v>0</v>
      </c>
    </row>
  </sheetData>
  <mergeCells count="3">
    <mergeCell ref="I1:J3"/>
    <mergeCell ref="A2:H2"/>
    <mergeCell ref="I4:J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E2" sqref="E2:F4"/>
    </sheetView>
  </sheetViews>
  <sheetFormatPr defaultRowHeight="14.5" x14ac:dyDescent="0.35"/>
  <cols>
    <col min="1" max="1" width="6.26953125" bestFit="1" customWidth="1"/>
    <col min="2" max="2" width="66.453125" customWidth="1"/>
    <col min="3" max="3" width="11.7265625" bestFit="1" customWidth="1"/>
    <col min="4" max="4" width="10.81640625" customWidth="1"/>
    <col min="5" max="5" width="11.453125" customWidth="1"/>
    <col min="6" max="6" width="13.26953125" customWidth="1"/>
  </cols>
  <sheetData>
    <row r="1" spans="1:8" x14ac:dyDescent="0.35">
      <c r="A1" s="61"/>
      <c r="B1" s="61"/>
      <c r="C1" s="61"/>
      <c r="D1" s="61"/>
      <c r="E1" s="61"/>
      <c r="F1" s="61"/>
    </row>
    <row r="2" spans="1:8" x14ac:dyDescent="0.35">
      <c r="B2" s="30"/>
      <c r="C2" s="333"/>
      <c r="D2" s="334"/>
      <c r="E2" s="295" t="s">
        <v>719</v>
      </c>
      <c r="F2" s="296"/>
    </row>
    <row r="3" spans="1:8" ht="32.25" customHeight="1" x14ac:dyDescent="0.35">
      <c r="A3" s="306" t="s">
        <v>641</v>
      </c>
      <c r="B3" s="306"/>
      <c r="C3" s="306"/>
      <c r="D3" s="61"/>
      <c r="E3" s="296"/>
      <c r="F3" s="296"/>
    </row>
    <row r="4" spans="1:8" x14ac:dyDescent="0.35">
      <c r="C4" s="50"/>
      <c r="D4" s="3"/>
      <c r="E4" s="296"/>
      <c r="F4" s="296"/>
    </row>
    <row r="5" spans="1:8" x14ac:dyDescent="0.35">
      <c r="A5" s="62"/>
      <c r="B5" s="62"/>
      <c r="C5" s="63"/>
      <c r="D5" s="64"/>
      <c r="E5" s="302" t="s">
        <v>93</v>
      </c>
      <c r="F5" s="303"/>
    </row>
    <row r="6" spans="1:8" ht="21" x14ac:dyDescent="0.35">
      <c r="A6" s="31" t="s">
        <v>1</v>
      </c>
      <c r="B6" s="31" t="s">
        <v>2</v>
      </c>
      <c r="C6" s="32" t="s">
        <v>95</v>
      </c>
      <c r="D6" s="32" t="s">
        <v>96</v>
      </c>
      <c r="E6" s="31" t="s">
        <v>97</v>
      </c>
      <c r="F6" s="32" t="s">
        <v>133</v>
      </c>
    </row>
    <row r="7" spans="1:8" x14ac:dyDescent="0.35">
      <c r="A7" s="57" t="s">
        <v>4</v>
      </c>
      <c r="B7" s="65" t="s">
        <v>136</v>
      </c>
      <c r="C7" s="66">
        <v>0</v>
      </c>
      <c r="D7" s="178">
        <v>2000000</v>
      </c>
      <c r="E7" s="67">
        <v>0</v>
      </c>
      <c r="F7" s="68">
        <f>C7+D7+E7</f>
        <v>2000000</v>
      </c>
    </row>
    <row r="8" spans="1:8" x14ac:dyDescent="0.35">
      <c r="A8" s="57" t="s">
        <v>6</v>
      </c>
      <c r="B8" s="65" t="s">
        <v>698</v>
      </c>
      <c r="C8" s="67">
        <v>132000000</v>
      </c>
      <c r="D8" s="67">
        <v>0</v>
      </c>
      <c r="E8" s="67">
        <v>0</v>
      </c>
      <c r="F8" s="68">
        <f>C8+D8+E8</f>
        <v>132000000</v>
      </c>
    </row>
    <row r="9" spans="1:8" ht="15" customHeight="1" x14ac:dyDescent="0.35">
      <c r="A9" s="57" t="s">
        <v>16</v>
      </c>
      <c r="B9" s="65" t="s">
        <v>704</v>
      </c>
      <c r="C9" s="67">
        <v>19264111</v>
      </c>
      <c r="D9" s="66">
        <v>0</v>
      </c>
      <c r="E9" s="66">
        <v>0</v>
      </c>
      <c r="F9" s="68">
        <f>C9+D9+E9</f>
        <v>19264111</v>
      </c>
      <c r="H9" s="11"/>
    </row>
    <row r="10" spans="1:8" x14ac:dyDescent="0.35">
      <c r="A10" s="57" t="s">
        <v>18</v>
      </c>
      <c r="B10" s="69" t="s">
        <v>705</v>
      </c>
      <c r="C10" s="66">
        <v>0</v>
      </c>
      <c r="D10" s="66">
        <v>6000000</v>
      </c>
      <c r="E10" s="66">
        <v>0</v>
      </c>
      <c r="F10" s="68">
        <f t="shared" ref="F10:F16" si="0">C10+D10+E10</f>
        <v>6000000</v>
      </c>
    </row>
    <row r="11" spans="1:8" x14ac:dyDescent="0.35">
      <c r="A11" s="57" t="s">
        <v>24</v>
      </c>
      <c r="B11" s="65" t="s">
        <v>699</v>
      </c>
      <c r="C11" s="66">
        <v>0</v>
      </c>
      <c r="D11" s="178">
        <v>2000000</v>
      </c>
      <c r="E11" s="66">
        <v>0</v>
      </c>
      <c r="F11" s="68">
        <f t="shared" si="0"/>
        <v>2000000</v>
      </c>
    </row>
    <row r="12" spans="1:8" x14ac:dyDescent="0.35">
      <c r="A12" s="57" t="s">
        <v>26</v>
      </c>
      <c r="B12" s="65" t="s">
        <v>258</v>
      </c>
      <c r="C12" s="66">
        <v>0</v>
      </c>
      <c r="D12" s="178">
        <v>1200000</v>
      </c>
      <c r="E12" s="66">
        <v>0</v>
      </c>
      <c r="F12" s="68">
        <f t="shared" si="0"/>
        <v>1200000</v>
      </c>
    </row>
    <row r="13" spans="1:8" x14ac:dyDescent="0.35">
      <c r="A13" s="57" t="s">
        <v>28</v>
      </c>
      <c r="B13" s="65" t="s">
        <v>703</v>
      </c>
      <c r="C13" s="66">
        <v>0</v>
      </c>
      <c r="D13" s="178">
        <v>15906800</v>
      </c>
      <c r="E13" s="67">
        <v>0</v>
      </c>
      <c r="F13" s="68">
        <f t="shared" si="0"/>
        <v>15906800</v>
      </c>
    </row>
    <row r="14" spans="1:8" x14ac:dyDescent="0.35">
      <c r="A14" s="57" t="s">
        <v>30</v>
      </c>
      <c r="B14" s="65" t="s">
        <v>708</v>
      </c>
      <c r="C14" s="66">
        <v>0</v>
      </c>
      <c r="D14" s="182">
        <v>15000</v>
      </c>
      <c r="E14" s="67">
        <v>0</v>
      </c>
      <c r="F14" s="68">
        <f t="shared" si="0"/>
        <v>15000</v>
      </c>
    </row>
    <row r="15" spans="1:8" ht="15" customHeight="1" x14ac:dyDescent="0.35">
      <c r="A15" s="57" t="s">
        <v>32</v>
      </c>
      <c r="B15" s="65" t="s">
        <v>707</v>
      </c>
      <c r="C15" s="182">
        <v>0</v>
      </c>
      <c r="D15" s="182">
        <v>1171310</v>
      </c>
      <c r="E15" s="67">
        <v>0</v>
      </c>
      <c r="F15" s="179">
        <f t="shared" si="0"/>
        <v>1171310</v>
      </c>
    </row>
    <row r="16" spans="1:8" x14ac:dyDescent="0.35">
      <c r="A16" s="57" t="s">
        <v>34</v>
      </c>
      <c r="B16" s="65" t="s">
        <v>706</v>
      </c>
      <c r="C16" s="182">
        <v>0</v>
      </c>
      <c r="D16" s="182">
        <v>270000</v>
      </c>
      <c r="E16" s="67">
        <v>0</v>
      </c>
      <c r="F16" s="179">
        <f t="shared" si="0"/>
        <v>270000</v>
      </c>
    </row>
    <row r="17" spans="1:6" s="135" customFormat="1" x14ac:dyDescent="0.35">
      <c r="A17" s="51"/>
      <c r="B17" s="70" t="s">
        <v>133</v>
      </c>
      <c r="C17" s="179">
        <f>SUM(C7:C16)</f>
        <v>151264111</v>
      </c>
      <c r="D17" s="179">
        <f>SUM(D7:D16)</f>
        <v>28563110</v>
      </c>
      <c r="E17" s="179">
        <f t="shared" ref="E17:F17" si="1">SUM(E7:E16)</f>
        <v>0</v>
      </c>
      <c r="F17" s="179">
        <f t="shared" si="1"/>
        <v>179827221</v>
      </c>
    </row>
    <row r="19" spans="1:6" x14ac:dyDescent="0.35">
      <c r="F19" s="11"/>
    </row>
    <row r="20" spans="1:6" x14ac:dyDescent="0.35">
      <c r="C20" s="188"/>
    </row>
  </sheetData>
  <mergeCells count="4">
    <mergeCell ref="C2:D2"/>
    <mergeCell ref="E2:F4"/>
    <mergeCell ref="A3:C3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D2" sqref="D2:F4"/>
    </sheetView>
  </sheetViews>
  <sheetFormatPr defaultRowHeight="14.5" x14ac:dyDescent="0.35"/>
  <cols>
    <col min="1" max="1" width="6.26953125" bestFit="1" customWidth="1"/>
    <col min="2" max="2" width="51.7265625" bestFit="1" customWidth="1"/>
    <col min="3" max="3" width="11.26953125" customWidth="1"/>
    <col min="4" max="4" width="11.81640625" customWidth="1"/>
    <col min="5" max="5" width="11.7265625" customWidth="1"/>
    <col min="6" max="6" width="12.1796875" customWidth="1"/>
  </cols>
  <sheetData>
    <row r="1" spans="1:6" x14ac:dyDescent="0.35">
      <c r="A1" s="61"/>
      <c r="B1" s="61"/>
      <c r="C1" s="61"/>
      <c r="D1" s="61"/>
      <c r="E1" s="61"/>
      <c r="F1" s="61"/>
    </row>
    <row r="2" spans="1:6" x14ac:dyDescent="0.35">
      <c r="A2" s="144"/>
      <c r="B2" s="145"/>
      <c r="C2" s="146"/>
      <c r="D2" s="308" t="s">
        <v>727</v>
      </c>
      <c r="E2" s="309"/>
      <c r="F2" s="309"/>
    </row>
    <row r="3" spans="1:6" x14ac:dyDescent="0.35">
      <c r="A3" s="327" t="s">
        <v>642</v>
      </c>
      <c r="B3" s="327"/>
      <c r="C3" s="327"/>
      <c r="D3" s="309"/>
      <c r="E3" s="309"/>
      <c r="F3" s="309"/>
    </row>
    <row r="4" spans="1:6" x14ac:dyDescent="0.35">
      <c r="A4" s="136"/>
      <c r="B4" s="136"/>
      <c r="C4" s="136"/>
      <c r="D4" s="309"/>
      <c r="E4" s="309"/>
      <c r="F4" s="309"/>
    </row>
    <row r="5" spans="1:6" x14ac:dyDescent="0.35">
      <c r="A5" s="144"/>
      <c r="B5" s="144"/>
      <c r="C5" s="146"/>
      <c r="D5" s="147"/>
      <c r="E5" s="310" t="s">
        <v>93</v>
      </c>
      <c r="F5" s="310"/>
    </row>
    <row r="6" spans="1:6" ht="24" x14ac:dyDescent="0.35">
      <c r="A6" s="148" t="s">
        <v>1</v>
      </c>
      <c r="B6" s="148" t="s">
        <v>2</v>
      </c>
      <c r="C6" s="149" t="s">
        <v>95</v>
      </c>
      <c r="D6" s="149" t="s">
        <v>96</v>
      </c>
      <c r="E6" s="148" t="s">
        <v>97</v>
      </c>
      <c r="F6" s="148" t="s">
        <v>133</v>
      </c>
    </row>
    <row r="7" spans="1:6" ht="24.5" x14ac:dyDescent="0.35">
      <c r="A7" s="150" t="s">
        <v>4</v>
      </c>
      <c r="B7" s="151" t="s">
        <v>607</v>
      </c>
      <c r="C7" s="152">
        <f>SUM(C8:C11)</f>
        <v>0</v>
      </c>
      <c r="D7" s="152">
        <f t="shared" ref="D7:E7" si="0">SUM(D8:D11)</f>
        <v>800000</v>
      </c>
      <c r="E7" s="152">
        <f t="shared" si="0"/>
        <v>0</v>
      </c>
      <c r="F7" s="153">
        <f>SUM(C7:E7)</f>
        <v>800000</v>
      </c>
    </row>
    <row r="8" spans="1:6" ht="24.5" x14ac:dyDescent="0.35">
      <c r="A8" s="154" t="s">
        <v>60</v>
      </c>
      <c r="B8" s="155" t="s">
        <v>137</v>
      </c>
      <c r="C8" s="156">
        <v>0</v>
      </c>
      <c r="D8" s="157">
        <v>0</v>
      </c>
      <c r="E8" s="157">
        <v>0</v>
      </c>
      <c r="F8" s="157">
        <f t="shared" ref="F8:F20" si="1">SUM(C8:E8)</f>
        <v>0</v>
      </c>
    </row>
    <row r="9" spans="1:6" ht="26.25" customHeight="1" x14ac:dyDescent="0.35">
      <c r="A9" s="154" t="s">
        <v>62</v>
      </c>
      <c r="B9" s="155" t="s">
        <v>138</v>
      </c>
      <c r="C9" s="156">
        <v>0</v>
      </c>
      <c r="D9" s="157">
        <v>0</v>
      </c>
      <c r="E9" s="157">
        <v>0</v>
      </c>
      <c r="F9" s="157">
        <f t="shared" si="1"/>
        <v>0</v>
      </c>
    </row>
    <row r="10" spans="1:6" ht="24.5" x14ac:dyDescent="0.35">
      <c r="A10" s="154" t="s">
        <v>64</v>
      </c>
      <c r="B10" s="155" t="s">
        <v>139</v>
      </c>
      <c r="C10" s="156">
        <v>0</v>
      </c>
      <c r="D10" s="156">
        <v>800000</v>
      </c>
      <c r="E10" s="157">
        <v>0</v>
      </c>
      <c r="F10" s="157">
        <f t="shared" si="1"/>
        <v>800000</v>
      </c>
    </row>
    <row r="11" spans="1:6" x14ac:dyDescent="0.35">
      <c r="A11" s="154" t="s">
        <v>66</v>
      </c>
      <c r="B11" s="155" t="s">
        <v>608</v>
      </c>
      <c r="C11" s="156">
        <v>0</v>
      </c>
      <c r="D11" s="157">
        <v>0</v>
      </c>
      <c r="E11" s="157">
        <v>0</v>
      </c>
      <c r="F11" s="157">
        <f t="shared" si="1"/>
        <v>0</v>
      </c>
    </row>
    <row r="12" spans="1:6" x14ac:dyDescent="0.35">
      <c r="A12" s="150" t="s">
        <v>6</v>
      </c>
      <c r="B12" s="60" t="s">
        <v>142</v>
      </c>
      <c r="C12" s="152">
        <f>C13+C14+C15+C16+C17</f>
        <v>3958000</v>
      </c>
      <c r="D12" s="152">
        <f t="shared" ref="D12:E12" si="2">D13+D14+D15+D16+D17</f>
        <v>0</v>
      </c>
      <c r="E12" s="152">
        <f t="shared" si="2"/>
        <v>0</v>
      </c>
      <c r="F12" s="153">
        <f t="shared" si="1"/>
        <v>3958000</v>
      </c>
    </row>
    <row r="13" spans="1:6" x14ac:dyDescent="0.35">
      <c r="A13" s="154" t="s">
        <v>8</v>
      </c>
      <c r="B13" s="155" t="s">
        <v>609</v>
      </c>
      <c r="C13" s="156">
        <v>0</v>
      </c>
      <c r="D13" s="157">
        <v>0</v>
      </c>
      <c r="E13" s="157">
        <v>0</v>
      </c>
      <c r="F13" s="157">
        <f t="shared" si="1"/>
        <v>0</v>
      </c>
    </row>
    <row r="14" spans="1:6" x14ac:dyDescent="0.35">
      <c r="A14" s="154" t="s">
        <v>78</v>
      </c>
      <c r="B14" s="58" t="s">
        <v>610</v>
      </c>
      <c r="C14" s="156">
        <v>70000</v>
      </c>
      <c r="D14" s="157">
        <v>0</v>
      </c>
      <c r="E14" s="157">
        <v>0</v>
      </c>
      <c r="F14" s="157">
        <f t="shared" si="1"/>
        <v>70000</v>
      </c>
    </row>
    <row r="15" spans="1:6" x14ac:dyDescent="0.35">
      <c r="A15" s="154" t="s">
        <v>80</v>
      </c>
      <c r="B15" s="58" t="s">
        <v>611</v>
      </c>
      <c r="C15" s="156">
        <v>180000</v>
      </c>
      <c r="D15" s="157">
        <v>0</v>
      </c>
      <c r="E15" s="157">
        <v>0</v>
      </c>
      <c r="F15" s="157">
        <f t="shared" si="1"/>
        <v>180000</v>
      </c>
    </row>
    <row r="16" spans="1:6" x14ac:dyDescent="0.35">
      <c r="A16" s="154" t="s">
        <v>253</v>
      </c>
      <c r="B16" s="58" t="s">
        <v>255</v>
      </c>
      <c r="C16" s="156">
        <v>3700000</v>
      </c>
      <c r="D16" s="157">
        <v>0</v>
      </c>
      <c r="E16" s="157">
        <v>0</v>
      </c>
      <c r="F16" s="157">
        <f t="shared" si="1"/>
        <v>3700000</v>
      </c>
    </row>
    <row r="17" spans="1:6" x14ac:dyDescent="0.35">
      <c r="A17" s="154" t="s">
        <v>254</v>
      </c>
      <c r="B17" s="58" t="s">
        <v>256</v>
      </c>
      <c r="C17" s="156">
        <v>8000</v>
      </c>
      <c r="D17" s="157">
        <v>0</v>
      </c>
      <c r="E17" s="157">
        <v>0</v>
      </c>
      <c r="F17" s="157">
        <f t="shared" si="1"/>
        <v>8000</v>
      </c>
    </row>
    <row r="18" spans="1:6" x14ac:dyDescent="0.35">
      <c r="A18" s="150" t="s">
        <v>16</v>
      </c>
      <c r="B18" s="151" t="s">
        <v>140</v>
      </c>
      <c r="C18" s="152">
        <f>C19</f>
        <v>490000</v>
      </c>
      <c r="D18" s="153">
        <v>0</v>
      </c>
      <c r="E18" s="153">
        <v>0</v>
      </c>
      <c r="F18" s="153">
        <f t="shared" si="1"/>
        <v>490000</v>
      </c>
    </row>
    <row r="19" spans="1:6" s="80" customFormat="1" x14ac:dyDescent="0.35">
      <c r="A19" s="154" t="s">
        <v>141</v>
      </c>
      <c r="B19" s="158" t="s">
        <v>612</v>
      </c>
      <c r="C19" s="156">
        <v>490000</v>
      </c>
      <c r="D19" s="157"/>
      <c r="E19" s="157"/>
      <c r="F19" s="157">
        <f t="shared" si="1"/>
        <v>490000</v>
      </c>
    </row>
    <row r="20" spans="1:6" x14ac:dyDescent="0.35">
      <c r="A20" s="138" t="s">
        <v>18</v>
      </c>
      <c r="B20" s="143" t="s">
        <v>133</v>
      </c>
      <c r="C20" s="152">
        <f>C7+C12+C18</f>
        <v>4448000</v>
      </c>
      <c r="D20" s="152">
        <f t="shared" ref="D20:E20" si="3">D7+D12+D18</f>
        <v>800000</v>
      </c>
      <c r="E20" s="152">
        <f t="shared" si="3"/>
        <v>0</v>
      </c>
      <c r="F20" s="153">
        <f t="shared" si="1"/>
        <v>5248000</v>
      </c>
    </row>
  </sheetData>
  <mergeCells count="3">
    <mergeCell ref="D2:F4"/>
    <mergeCell ref="A3:C3"/>
    <mergeCell ref="E5:F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Normal="100" workbookViewId="0">
      <selection activeCell="D2" sqref="D2:F3"/>
    </sheetView>
  </sheetViews>
  <sheetFormatPr defaultRowHeight="14.5" x14ac:dyDescent="0.35"/>
  <cols>
    <col min="2" max="2" width="43.26953125" bestFit="1" customWidth="1"/>
    <col min="3" max="3" width="10.54296875" customWidth="1"/>
    <col min="4" max="5" width="10.453125" customWidth="1"/>
    <col min="6" max="6" width="12.54296875" customWidth="1"/>
    <col min="7" max="7" width="17.1796875" customWidth="1"/>
  </cols>
  <sheetData>
    <row r="1" spans="1:7" x14ac:dyDescent="0.35">
      <c r="A1" s="61"/>
      <c r="B1" s="61"/>
      <c r="C1" s="61"/>
      <c r="D1" s="61"/>
      <c r="E1" s="61"/>
      <c r="F1" s="61"/>
      <c r="G1" s="61"/>
    </row>
    <row r="2" spans="1:7" ht="15" customHeight="1" x14ac:dyDescent="0.35">
      <c r="A2" s="61"/>
      <c r="B2" s="61"/>
      <c r="C2" s="61"/>
      <c r="D2" s="295" t="s">
        <v>720</v>
      </c>
      <c r="E2" s="295"/>
      <c r="F2" s="295"/>
      <c r="G2" s="44"/>
    </row>
    <row r="3" spans="1:7" x14ac:dyDescent="0.35">
      <c r="A3" s="335" t="s">
        <v>635</v>
      </c>
      <c r="B3" s="335"/>
      <c r="C3" s="335"/>
      <c r="D3" s="295"/>
      <c r="E3" s="295"/>
      <c r="F3" s="295"/>
      <c r="G3" s="44"/>
    </row>
    <row r="4" spans="1:7" ht="18" customHeight="1" x14ac:dyDescent="0.35">
      <c r="A4" s="61"/>
      <c r="B4" s="61"/>
      <c r="C4" s="61"/>
      <c r="D4" s="218"/>
      <c r="E4" s="218"/>
      <c r="F4" s="218"/>
      <c r="G4" s="44"/>
    </row>
    <row r="5" spans="1:7" x14ac:dyDescent="0.35">
      <c r="A5" s="61"/>
      <c r="B5" s="61"/>
      <c r="C5" s="61"/>
      <c r="D5" s="219"/>
      <c r="E5" s="219"/>
      <c r="F5" s="219" t="s">
        <v>93</v>
      </c>
      <c r="G5" s="78"/>
    </row>
    <row r="6" spans="1:7" ht="23.25" customHeight="1" x14ac:dyDescent="0.35">
      <c r="A6" s="336" t="s">
        <v>1</v>
      </c>
      <c r="B6" s="336" t="s">
        <v>2</v>
      </c>
      <c r="C6" s="338" t="s">
        <v>143</v>
      </c>
      <c r="D6" s="339"/>
      <c r="E6" s="340" t="s">
        <v>98</v>
      </c>
      <c r="F6" s="336" t="s">
        <v>123</v>
      </c>
      <c r="G6" s="79"/>
    </row>
    <row r="7" spans="1:7" ht="21" x14ac:dyDescent="0.35">
      <c r="A7" s="337"/>
      <c r="B7" s="337"/>
      <c r="C7" s="32" t="s">
        <v>95</v>
      </c>
      <c r="D7" s="32" t="s">
        <v>96</v>
      </c>
      <c r="E7" s="341"/>
      <c r="F7" s="337"/>
      <c r="G7" s="79"/>
    </row>
    <row r="8" spans="1:7" x14ac:dyDescent="0.35">
      <c r="A8" s="12" t="s">
        <v>4</v>
      </c>
      <c r="B8" s="76" t="s">
        <v>144</v>
      </c>
      <c r="C8" s="190">
        <f>C9+C10+C11+C12+C13</f>
        <v>3500000</v>
      </c>
      <c r="D8" s="190">
        <f>D9+D10+D11+D12+D13</f>
        <v>0</v>
      </c>
      <c r="E8" s="190">
        <f>SUM(C8:D8)</f>
        <v>3500000</v>
      </c>
      <c r="F8" s="220"/>
      <c r="G8" s="61"/>
    </row>
    <row r="9" spans="1:7" x14ac:dyDescent="0.35">
      <c r="A9" s="7" t="s">
        <v>60</v>
      </c>
      <c r="B9" s="52" t="s">
        <v>145</v>
      </c>
      <c r="C9" s="221">
        <v>0</v>
      </c>
      <c r="D9" s="222">
        <v>0</v>
      </c>
      <c r="E9" s="190">
        <f t="shared" ref="E9:E20" si="0">SUM(C9:D9)</f>
        <v>0</v>
      </c>
      <c r="F9" s="220"/>
      <c r="G9" s="61"/>
    </row>
    <row r="10" spans="1:7" x14ac:dyDescent="0.35">
      <c r="A10" s="7" t="s">
        <v>62</v>
      </c>
      <c r="B10" s="52" t="s">
        <v>146</v>
      </c>
      <c r="C10" s="191">
        <v>0</v>
      </c>
      <c r="D10" s="222">
        <v>0</v>
      </c>
      <c r="E10" s="190">
        <f t="shared" si="0"/>
        <v>0</v>
      </c>
      <c r="F10" s="220"/>
      <c r="G10" s="61"/>
    </row>
    <row r="11" spans="1:7" x14ac:dyDescent="0.35">
      <c r="A11" s="7" t="s">
        <v>64</v>
      </c>
      <c r="B11" s="52" t="s">
        <v>147</v>
      </c>
      <c r="C11" s="221">
        <v>3500000</v>
      </c>
      <c r="D11" s="222">
        <v>0</v>
      </c>
      <c r="E11" s="190">
        <f t="shared" si="0"/>
        <v>3500000</v>
      </c>
      <c r="F11" s="220"/>
      <c r="G11" s="61"/>
    </row>
    <row r="12" spans="1:7" x14ac:dyDescent="0.35">
      <c r="A12" s="7" t="s">
        <v>66</v>
      </c>
      <c r="B12" s="52" t="s">
        <v>148</v>
      </c>
      <c r="C12" s="221">
        <v>0</v>
      </c>
      <c r="D12" s="222">
        <v>0</v>
      </c>
      <c r="E12" s="190">
        <f t="shared" si="0"/>
        <v>0</v>
      </c>
      <c r="F12" s="220"/>
      <c r="G12" s="61"/>
    </row>
    <row r="13" spans="1:7" x14ac:dyDescent="0.35">
      <c r="A13" s="7" t="s">
        <v>68</v>
      </c>
      <c r="B13" s="52" t="s">
        <v>149</v>
      </c>
      <c r="C13" s="221">
        <v>0</v>
      </c>
      <c r="D13" s="222">
        <v>0</v>
      </c>
      <c r="E13" s="190">
        <f t="shared" si="0"/>
        <v>0</v>
      </c>
      <c r="F13" s="220"/>
      <c r="G13" s="61"/>
    </row>
    <row r="14" spans="1:7" x14ac:dyDescent="0.35">
      <c r="A14" s="12" t="s">
        <v>6</v>
      </c>
      <c r="B14" s="76" t="s">
        <v>150</v>
      </c>
      <c r="C14" s="190">
        <f>C15+C16+C17+C18+C19</f>
        <v>1300000</v>
      </c>
      <c r="D14" s="190">
        <f t="shared" ref="D14:E14" si="1">D15+D16+D17+D18+D19</f>
        <v>3750000</v>
      </c>
      <c r="E14" s="190">
        <f t="shared" si="1"/>
        <v>5050000</v>
      </c>
      <c r="F14" s="182"/>
      <c r="G14" s="61"/>
    </row>
    <row r="15" spans="1:7" x14ac:dyDescent="0.35">
      <c r="A15" s="7" t="s">
        <v>8</v>
      </c>
      <c r="B15" s="74" t="s">
        <v>151</v>
      </c>
      <c r="C15" s="221">
        <v>0</v>
      </c>
      <c r="D15" s="222">
        <v>3000000</v>
      </c>
      <c r="E15" s="190">
        <f t="shared" si="0"/>
        <v>3000000</v>
      </c>
      <c r="F15" s="220"/>
      <c r="G15" s="61"/>
    </row>
    <row r="16" spans="1:7" x14ac:dyDescent="0.35">
      <c r="A16" s="7" t="s">
        <v>78</v>
      </c>
      <c r="B16" s="52" t="s">
        <v>152</v>
      </c>
      <c r="C16" s="221">
        <v>1200000</v>
      </c>
      <c r="D16" s="222">
        <v>0</v>
      </c>
      <c r="E16" s="190">
        <f t="shared" si="0"/>
        <v>1200000</v>
      </c>
      <c r="F16" s="220"/>
      <c r="G16" s="61"/>
    </row>
    <row r="17" spans="1:7" x14ac:dyDescent="0.35">
      <c r="A17" s="7" t="s">
        <v>80</v>
      </c>
      <c r="B17" s="52" t="s">
        <v>619</v>
      </c>
      <c r="C17" s="221">
        <v>100000</v>
      </c>
      <c r="D17" s="222">
        <v>0</v>
      </c>
      <c r="E17" s="190">
        <f t="shared" si="0"/>
        <v>100000</v>
      </c>
      <c r="F17" s="220"/>
      <c r="G17" s="61"/>
    </row>
    <row r="18" spans="1:7" x14ac:dyDescent="0.35">
      <c r="A18" s="7" t="s">
        <v>253</v>
      </c>
      <c r="B18" s="52" t="s">
        <v>700</v>
      </c>
      <c r="C18" s="221">
        <v>0</v>
      </c>
      <c r="D18" s="222">
        <v>300000</v>
      </c>
      <c r="E18" s="190">
        <f t="shared" si="0"/>
        <v>300000</v>
      </c>
      <c r="F18" s="220"/>
      <c r="G18" s="61"/>
    </row>
    <row r="19" spans="1:7" x14ac:dyDescent="0.35">
      <c r="A19" s="7" t="s">
        <v>254</v>
      </c>
      <c r="B19" s="52" t="s">
        <v>701</v>
      </c>
      <c r="C19" s="221">
        <v>0</v>
      </c>
      <c r="D19" s="222">
        <v>450000</v>
      </c>
      <c r="E19" s="190">
        <f t="shared" si="0"/>
        <v>450000</v>
      </c>
      <c r="F19" s="220"/>
      <c r="G19" s="61"/>
    </row>
    <row r="20" spans="1:7" s="135" customFormat="1" x14ac:dyDescent="0.35">
      <c r="A20" s="12" t="s">
        <v>16</v>
      </c>
      <c r="B20" s="76" t="s">
        <v>153</v>
      </c>
      <c r="C20" s="223">
        <f>C8+C14</f>
        <v>4800000</v>
      </c>
      <c r="D20" s="223">
        <f>D8+D14</f>
        <v>3750000</v>
      </c>
      <c r="E20" s="191">
        <f t="shared" si="0"/>
        <v>8550000</v>
      </c>
      <c r="F20" s="106"/>
      <c r="G20" s="180"/>
    </row>
  </sheetData>
  <mergeCells count="7">
    <mergeCell ref="A3:C3"/>
    <mergeCell ref="D2:F3"/>
    <mergeCell ref="A6:A7"/>
    <mergeCell ref="B6:B7"/>
    <mergeCell ref="C6:D6"/>
    <mergeCell ref="F6:F7"/>
    <mergeCell ref="E6:E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zoomScaleNormal="100" workbookViewId="0">
      <selection activeCell="H1" sqref="H1:J3"/>
    </sheetView>
  </sheetViews>
  <sheetFormatPr defaultRowHeight="14.5" x14ac:dyDescent="0.35"/>
  <cols>
    <col min="1" max="1" width="7.54296875" customWidth="1"/>
    <col min="2" max="2" width="56.26953125" customWidth="1"/>
    <col min="3" max="3" width="11.26953125" customWidth="1"/>
    <col min="4" max="4" width="10" customWidth="1"/>
  </cols>
  <sheetData>
    <row r="1" spans="1:10" ht="15" customHeight="1" x14ac:dyDescent="0.35">
      <c r="A1" s="73"/>
      <c r="B1" s="345" t="s">
        <v>636</v>
      </c>
      <c r="C1" s="80"/>
      <c r="D1" s="218"/>
      <c r="E1" s="44"/>
      <c r="F1" s="44"/>
      <c r="H1" s="295" t="s">
        <v>721</v>
      </c>
      <c r="I1" s="296"/>
      <c r="J1" s="296"/>
    </row>
    <row r="2" spans="1:10" x14ac:dyDescent="0.35">
      <c r="A2" s="73"/>
      <c r="B2" s="309"/>
      <c r="C2" s="73"/>
      <c r="D2" s="44"/>
      <c r="E2" s="44"/>
      <c r="F2" s="44"/>
      <c r="H2" s="296"/>
      <c r="I2" s="296"/>
      <c r="J2" s="296"/>
    </row>
    <row r="3" spans="1:10" x14ac:dyDescent="0.35">
      <c r="A3" s="49"/>
      <c r="B3" s="49"/>
      <c r="C3" s="49"/>
      <c r="D3" s="44"/>
      <c r="E3" s="44"/>
      <c r="F3" s="44"/>
      <c r="H3" s="296"/>
      <c r="I3" s="296"/>
      <c r="J3" s="296"/>
    </row>
    <row r="4" spans="1:10" ht="15" thickBot="1" x14ac:dyDescent="0.4">
      <c r="A4" s="72"/>
      <c r="B4" s="72"/>
      <c r="C4" s="72"/>
      <c r="D4" s="73"/>
      <c r="E4" s="73"/>
      <c r="F4" s="80"/>
    </row>
    <row r="5" spans="1:10" x14ac:dyDescent="0.35">
      <c r="A5" s="235"/>
      <c r="B5" s="236"/>
      <c r="C5" s="346" t="s">
        <v>679</v>
      </c>
      <c r="D5" s="343"/>
      <c r="E5" s="343"/>
      <c r="F5" s="344"/>
      <c r="G5" s="342" t="s">
        <v>695</v>
      </c>
      <c r="H5" s="343"/>
      <c r="I5" s="343"/>
      <c r="J5" s="344"/>
    </row>
    <row r="6" spans="1:10" ht="36" x14ac:dyDescent="0.35">
      <c r="A6" s="224" t="s">
        <v>1</v>
      </c>
      <c r="B6" s="225" t="s">
        <v>2</v>
      </c>
      <c r="C6" s="224" t="s">
        <v>620</v>
      </c>
      <c r="D6" s="137" t="s">
        <v>637</v>
      </c>
      <c r="E6" s="137" t="s">
        <v>638</v>
      </c>
      <c r="F6" s="225" t="s">
        <v>154</v>
      </c>
      <c r="G6" s="224" t="s">
        <v>620</v>
      </c>
      <c r="H6" s="137" t="s">
        <v>637</v>
      </c>
      <c r="I6" s="137" t="s">
        <v>638</v>
      </c>
      <c r="J6" s="225" t="s">
        <v>154</v>
      </c>
    </row>
    <row r="7" spans="1:10" s="135" customFormat="1" x14ac:dyDescent="0.35">
      <c r="A7" s="237" t="s">
        <v>4</v>
      </c>
      <c r="B7" s="238" t="s">
        <v>158</v>
      </c>
      <c r="C7" s="226">
        <f t="shared" ref="C7:F7" si="0">SUM(C8:C10)</f>
        <v>9</v>
      </c>
      <c r="D7" s="139">
        <f t="shared" si="0"/>
        <v>9</v>
      </c>
      <c r="E7" s="139">
        <f t="shared" si="0"/>
        <v>0</v>
      </c>
      <c r="F7" s="227">
        <f t="shared" si="0"/>
        <v>9</v>
      </c>
      <c r="G7" s="226">
        <f t="shared" ref="G7:J7" si="1">SUM(G8:G10)</f>
        <v>9</v>
      </c>
      <c r="H7" s="139">
        <f t="shared" si="1"/>
        <v>9</v>
      </c>
      <c r="I7" s="139">
        <f t="shared" si="1"/>
        <v>0</v>
      </c>
      <c r="J7" s="227">
        <f t="shared" si="1"/>
        <v>9</v>
      </c>
    </row>
    <row r="8" spans="1:10" x14ac:dyDescent="0.35">
      <c r="A8" s="239"/>
      <c r="B8" s="240" t="s">
        <v>251</v>
      </c>
      <c r="C8" s="228">
        <v>3</v>
      </c>
      <c r="D8" s="140">
        <v>3</v>
      </c>
      <c r="E8" s="140">
        <v>0</v>
      </c>
      <c r="F8" s="229">
        <v>3</v>
      </c>
      <c r="G8" s="228">
        <v>3</v>
      </c>
      <c r="H8" s="140">
        <v>3</v>
      </c>
      <c r="I8" s="140">
        <v>0</v>
      </c>
      <c r="J8" s="229">
        <v>3</v>
      </c>
    </row>
    <row r="9" spans="1:10" x14ac:dyDescent="0.35">
      <c r="A9" s="239"/>
      <c r="B9" s="240" t="s">
        <v>252</v>
      </c>
      <c r="C9" s="228">
        <v>5</v>
      </c>
      <c r="D9" s="140">
        <v>5</v>
      </c>
      <c r="E9" s="140">
        <v>0</v>
      </c>
      <c r="F9" s="230">
        <v>5</v>
      </c>
      <c r="G9" s="228">
        <v>5</v>
      </c>
      <c r="H9" s="140">
        <v>5</v>
      </c>
      <c r="I9" s="140">
        <v>0</v>
      </c>
      <c r="J9" s="230">
        <v>5</v>
      </c>
    </row>
    <row r="10" spans="1:10" x14ac:dyDescent="0.35">
      <c r="A10" s="239"/>
      <c r="B10" s="240" t="s">
        <v>613</v>
      </c>
      <c r="C10" s="228">
        <v>1</v>
      </c>
      <c r="D10" s="140">
        <v>1</v>
      </c>
      <c r="E10" s="140">
        <v>0</v>
      </c>
      <c r="F10" s="230">
        <v>1</v>
      </c>
      <c r="G10" s="228">
        <v>1</v>
      </c>
      <c r="H10" s="140">
        <v>1</v>
      </c>
      <c r="I10" s="140">
        <v>0</v>
      </c>
      <c r="J10" s="230">
        <v>1</v>
      </c>
    </row>
    <row r="11" spans="1:10" s="135" customFormat="1" x14ac:dyDescent="0.35">
      <c r="A11" s="237" t="s">
        <v>6</v>
      </c>
      <c r="B11" s="238" t="s">
        <v>247</v>
      </c>
      <c r="C11" s="226">
        <f t="shared" ref="C11:F11" si="2">SUM(C12:C13)</f>
        <v>46</v>
      </c>
      <c r="D11" s="139">
        <f t="shared" si="2"/>
        <v>46</v>
      </c>
      <c r="E11" s="139">
        <f t="shared" si="2"/>
        <v>0</v>
      </c>
      <c r="F11" s="227">
        <f t="shared" si="2"/>
        <v>46</v>
      </c>
      <c r="G11" s="226">
        <f t="shared" ref="G11:J11" si="3">SUM(G12:G13)</f>
        <v>45</v>
      </c>
      <c r="H11" s="139">
        <f t="shared" si="3"/>
        <v>45</v>
      </c>
      <c r="I11" s="139">
        <f t="shared" si="3"/>
        <v>0</v>
      </c>
      <c r="J11" s="227">
        <f t="shared" si="3"/>
        <v>45</v>
      </c>
    </row>
    <row r="12" spans="1:10" x14ac:dyDescent="0.35">
      <c r="A12" s="241"/>
      <c r="B12" s="242" t="s">
        <v>155</v>
      </c>
      <c r="C12" s="228">
        <v>43</v>
      </c>
      <c r="D12" s="140">
        <v>43</v>
      </c>
      <c r="E12" s="140">
        <v>0</v>
      </c>
      <c r="F12" s="229">
        <v>43</v>
      </c>
      <c r="G12" s="228">
        <v>42</v>
      </c>
      <c r="H12" s="140">
        <v>42</v>
      </c>
      <c r="I12" s="140">
        <v>0</v>
      </c>
      <c r="J12" s="229">
        <v>42</v>
      </c>
    </row>
    <row r="13" spans="1:10" x14ac:dyDescent="0.35">
      <c r="A13" s="239"/>
      <c r="B13" s="242" t="s">
        <v>614</v>
      </c>
      <c r="C13" s="228">
        <v>3</v>
      </c>
      <c r="D13" s="141">
        <v>3</v>
      </c>
      <c r="E13" s="141">
        <v>0</v>
      </c>
      <c r="F13" s="230">
        <v>3</v>
      </c>
      <c r="G13" s="228">
        <v>3</v>
      </c>
      <c r="H13" s="141">
        <v>3</v>
      </c>
      <c r="I13" s="141">
        <v>0</v>
      </c>
      <c r="J13" s="230">
        <v>3</v>
      </c>
    </row>
    <row r="14" spans="1:10" s="135" customFormat="1" x14ac:dyDescent="0.35">
      <c r="A14" s="237" t="s">
        <v>16</v>
      </c>
      <c r="B14" s="238" t="s">
        <v>615</v>
      </c>
      <c r="C14" s="226">
        <v>6</v>
      </c>
      <c r="D14" s="142">
        <v>6</v>
      </c>
      <c r="E14" s="142">
        <v>0</v>
      </c>
      <c r="F14" s="231">
        <v>6</v>
      </c>
      <c r="G14" s="226">
        <v>6</v>
      </c>
      <c r="H14" s="142">
        <v>6</v>
      </c>
      <c r="I14" s="142">
        <v>0</v>
      </c>
      <c r="J14" s="231">
        <v>6</v>
      </c>
    </row>
    <row r="15" spans="1:10" s="135" customFormat="1" x14ac:dyDescent="0.35">
      <c r="A15" s="237" t="s">
        <v>18</v>
      </c>
      <c r="B15" s="238" t="s">
        <v>248</v>
      </c>
      <c r="C15" s="226">
        <f t="shared" ref="C15:F15" si="4">C16+C17+C18+C19</f>
        <v>75</v>
      </c>
      <c r="D15" s="139">
        <f t="shared" si="4"/>
        <v>73</v>
      </c>
      <c r="E15" s="139">
        <f t="shared" si="4"/>
        <v>2</v>
      </c>
      <c r="F15" s="227">
        <f t="shared" si="4"/>
        <v>74</v>
      </c>
      <c r="G15" s="226">
        <f t="shared" ref="G15:J15" si="5">G16+G17+G18+G19</f>
        <v>75</v>
      </c>
      <c r="H15" s="139">
        <f t="shared" si="5"/>
        <v>73</v>
      </c>
      <c r="I15" s="139">
        <f t="shared" si="5"/>
        <v>2</v>
      </c>
      <c r="J15" s="227">
        <f t="shared" si="5"/>
        <v>74</v>
      </c>
    </row>
    <row r="16" spans="1:10" s="80" customFormat="1" x14ac:dyDescent="0.35">
      <c r="A16" s="239" t="s">
        <v>156</v>
      </c>
      <c r="B16" s="242" t="s">
        <v>624</v>
      </c>
      <c r="C16" s="228">
        <v>27</v>
      </c>
      <c r="D16" s="141">
        <v>26</v>
      </c>
      <c r="E16" s="141">
        <v>1</v>
      </c>
      <c r="F16" s="230">
        <v>26.5</v>
      </c>
      <c r="G16" s="228">
        <v>27</v>
      </c>
      <c r="H16" s="141">
        <v>26</v>
      </c>
      <c r="I16" s="141">
        <v>1</v>
      </c>
      <c r="J16" s="230">
        <v>26.5</v>
      </c>
    </row>
    <row r="17" spans="1:10" s="80" customFormat="1" x14ac:dyDescent="0.35">
      <c r="A17" s="239" t="s">
        <v>157</v>
      </c>
      <c r="B17" s="242" t="s">
        <v>702</v>
      </c>
      <c r="C17" s="228">
        <v>18</v>
      </c>
      <c r="D17" s="141">
        <v>17</v>
      </c>
      <c r="E17" s="141">
        <v>1</v>
      </c>
      <c r="F17" s="230">
        <v>17.5</v>
      </c>
      <c r="G17" s="228">
        <v>18</v>
      </c>
      <c r="H17" s="141">
        <v>17</v>
      </c>
      <c r="I17" s="141">
        <v>1</v>
      </c>
      <c r="J17" s="230">
        <v>17.5</v>
      </c>
    </row>
    <row r="18" spans="1:10" s="80" customFormat="1" x14ac:dyDescent="0.35">
      <c r="A18" s="239" t="s">
        <v>249</v>
      </c>
      <c r="B18" s="242" t="s">
        <v>616</v>
      </c>
      <c r="C18" s="228">
        <v>13</v>
      </c>
      <c r="D18" s="141">
        <v>13</v>
      </c>
      <c r="E18" s="141">
        <v>0</v>
      </c>
      <c r="F18" s="230">
        <v>13</v>
      </c>
      <c r="G18" s="228">
        <v>13</v>
      </c>
      <c r="H18" s="141">
        <v>13</v>
      </c>
      <c r="I18" s="141">
        <v>0</v>
      </c>
      <c r="J18" s="230">
        <v>13</v>
      </c>
    </row>
    <row r="19" spans="1:10" s="80" customFormat="1" x14ac:dyDescent="0.35">
      <c r="A19" s="239" t="s">
        <v>250</v>
      </c>
      <c r="B19" s="242" t="s">
        <v>617</v>
      </c>
      <c r="C19" s="228">
        <v>17</v>
      </c>
      <c r="D19" s="141">
        <v>17</v>
      </c>
      <c r="E19" s="141">
        <v>0</v>
      </c>
      <c r="F19" s="230">
        <v>17</v>
      </c>
      <c r="G19" s="228">
        <v>17</v>
      </c>
      <c r="H19" s="141">
        <v>17</v>
      </c>
      <c r="I19" s="141">
        <v>0</v>
      </c>
      <c r="J19" s="230">
        <v>17</v>
      </c>
    </row>
    <row r="20" spans="1:10" s="135" customFormat="1" x14ac:dyDescent="0.35">
      <c r="A20" s="237" t="s">
        <v>24</v>
      </c>
      <c r="B20" s="238" t="s">
        <v>622</v>
      </c>
      <c r="C20" s="226">
        <f>SUM(C21:C22)</f>
        <v>8</v>
      </c>
      <c r="D20" s="139">
        <f t="shared" ref="D20:F20" si="6">SUM(D21:D22)</f>
        <v>8</v>
      </c>
      <c r="E20" s="139">
        <f t="shared" si="6"/>
        <v>0</v>
      </c>
      <c r="F20" s="227">
        <f t="shared" si="6"/>
        <v>8</v>
      </c>
      <c r="G20" s="226">
        <f>SUM(G21:G22)</f>
        <v>8</v>
      </c>
      <c r="H20" s="139">
        <f t="shared" ref="H20:J20" si="7">SUM(H21:H22)</f>
        <v>8</v>
      </c>
      <c r="I20" s="139">
        <f t="shared" si="7"/>
        <v>0</v>
      </c>
      <c r="J20" s="227">
        <f t="shared" si="7"/>
        <v>8</v>
      </c>
    </row>
    <row r="21" spans="1:10" s="135" customFormat="1" x14ac:dyDescent="0.35">
      <c r="A21" s="237"/>
      <c r="B21" s="242" t="s">
        <v>621</v>
      </c>
      <c r="C21" s="228">
        <v>7</v>
      </c>
      <c r="D21" s="141">
        <v>7</v>
      </c>
      <c r="E21" s="141">
        <v>0</v>
      </c>
      <c r="F21" s="230">
        <v>7</v>
      </c>
      <c r="G21" s="228">
        <v>7</v>
      </c>
      <c r="H21" s="141">
        <v>7</v>
      </c>
      <c r="I21" s="141">
        <v>0</v>
      </c>
      <c r="J21" s="230">
        <v>7</v>
      </c>
    </row>
    <row r="22" spans="1:10" s="135" customFormat="1" x14ac:dyDescent="0.35">
      <c r="A22" s="237"/>
      <c r="B22" s="242" t="s">
        <v>614</v>
      </c>
      <c r="C22" s="228">
        <v>1</v>
      </c>
      <c r="D22" s="141">
        <v>1</v>
      </c>
      <c r="E22" s="141">
        <v>0</v>
      </c>
      <c r="F22" s="230">
        <v>1</v>
      </c>
      <c r="G22" s="228">
        <v>1</v>
      </c>
      <c r="H22" s="141">
        <v>1</v>
      </c>
      <c r="I22" s="141">
        <v>0</v>
      </c>
      <c r="J22" s="230">
        <v>1</v>
      </c>
    </row>
    <row r="23" spans="1:10" s="135" customFormat="1" ht="15" thickBot="1" x14ac:dyDescent="0.4">
      <c r="A23" s="243"/>
      <c r="B23" s="244" t="s">
        <v>133</v>
      </c>
      <c r="C23" s="232">
        <f t="shared" ref="C23:F23" si="8">C7+C11+C14+C15+C20</f>
        <v>144</v>
      </c>
      <c r="D23" s="233">
        <f t="shared" si="8"/>
        <v>142</v>
      </c>
      <c r="E23" s="233">
        <f t="shared" si="8"/>
        <v>2</v>
      </c>
      <c r="F23" s="234">
        <f t="shared" si="8"/>
        <v>143</v>
      </c>
      <c r="G23" s="232">
        <f t="shared" ref="G23:J23" si="9">G7+G11+G14+G15+G20</f>
        <v>143</v>
      </c>
      <c r="H23" s="233">
        <f t="shared" si="9"/>
        <v>141</v>
      </c>
      <c r="I23" s="233">
        <f t="shared" si="9"/>
        <v>2</v>
      </c>
      <c r="J23" s="234">
        <f t="shared" si="9"/>
        <v>142</v>
      </c>
    </row>
  </sheetData>
  <mergeCells count="4">
    <mergeCell ref="G5:J5"/>
    <mergeCell ref="H1:J3"/>
    <mergeCell ref="B1:B2"/>
    <mergeCell ref="C5:F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D1" sqref="D1:E3"/>
    </sheetView>
  </sheetViews>
  <sheetFormatPr defaultRowHeight="14.5" x14ac:dyDescent="0.35"/>
  <cols>
    <col min="1" max="1" width="6.54296875" bestFit="1" customWidth="1"/>
    <col min="2" max="2" width="43.1796875" customWidth="1"/>
    <col min="3" max="3" width="16.81640625" bestFit="1" customWidth="1"/>
    <col min="5" max="5" width="13.54296875" bestFit="1" customWidth="1"/>
    <col min="7" max="7" width="9.54296875" bestFit="1" customWidth="1"/>
  </cols>
  <sheetData>
    <row r="1" spans="1:5" x14ac:dyDescent="0.35">
      <c r="A1" s="82"/>
      <c r="B1" s="349" t="s">
        <v>618</v>
      </c>
      <c r="C1" s="71"/>
      <c r="D1" s="295" t="s">
        <v>722</v>
      </c>
      <c r="E1" s="296"/>
    </row>
    <row r="2" spans="1:5" x14ac:dyDescent="0.35">
      <c r="A2" s="82"/>
      <c r="B2" s="349"/>
      <c r="C2" s="3"/>
      <c r="D2" s="296"/>
      <c r="E2" s="296"/>
    </row>
    <row r="3" spans="1:5" x14ac:dyDescent="0.35">
      <c r="A3" s="83"/>
      <c r="B3" s="84" t="s">
        <v>159</v>
      </c>
      <c r="C3" s="83"/>
      <c r="D3" s="296"/>
      <c r="E3" s="296"/>
    </row>
    <row r="4" spans="1:5" x14ac:dyDescent="0.35">
      <c r="A4" s="83"/>
      <c r="B4" s="83"/>
      <c r="C4" s="83"/>
      <c r="D4" s="85"/>
      <c r="E4" s="85"/>
    </row>
    <row r="5" spans="1:5" x14ac:dyDescent="0.35">
      <c r="A5" s="82"/>
      <c r="B5" s="82"/>
      <c r="C5" s="71"/>
      <c r="D5" s="85"/>
      <c r="E5" s="86" t="s">
        <v>93</v>
      </c>
    </row>
    <row r="6" spans="1:5" x14ac:dyDescent="0.35">
      <c r="A6" s="186" t="s">
        <v>1</v>
      </c>
      <c r="B6" s="186" t="s">
        <v>2</v>
      </c>
      <c r="C6" s="186" t="s">
        <v>160</v>
      </c>
      <c r="D6" s="347" t="s">
        <v>123</v>
      </c>
      <c r="E6" s="348"/>
    </row>
    <row r="7" spans="1:5" ht="43" x14ac:dyDescent="0.35">
      <c r="A7" s="186" t="s">
        <v>4</v>
      </c>
      <c r="B7" s="13" t="s">
        <v>659</v>
      </c>
      <c r="C7" s="190">
        <v>333277000</v>
      </c>
      <c r="D7" s="347" t="s">
        <v>257</v>
      </c>
      <c r="E7" s="348"/>
    </row>
    <row r="8" spans="1:5" x14ac:dyDescent="0.35">
      <c r="A8" s="186"/>
      <c r="B8" s="13" t="s">
        <v>161</v>
      </c>
      <c r="C8" s="190">
        <v>166638500</v>
      </c>
      <c r="D8" s="347" t="s">
        <v>257</v>
      </c>
      <c r="E8" s="348"/>
    </row>
    <row r="9" spans="1:5" x14ac:dyDescent="0.35">
      <c r="A9" s="186"/>
      <c r="B9" s="81" t="s">
        <v>162</v>
      </c>
      <c r="C9" s="191">
        <v>166638500</v>
      </c>
      <c r="D9" s="347" t="s">
        <v>257</v>
      </c>
      <c r="E9" s="348"/>
    </row>
    <row r="10" spans="1:5" x14ac:dyDescent="0.35">
      <c r="A10" s="186"/>
      <c r="B10" s="81" t="s">
        <v>163</v>
      </c>
      <c r="C10" s="191">
        <v>166638500</v>
      </c>
      <c r="D10" s="347" t="s">
        <v>257</v>
      </c>
      <c r="E10" s="348"/>
    </row>
    <row r="11" spans="1:5" x14ac:dyDescent="0.35">
      <c r="A11" s="186"/>
      <c r="B11" s="81" t="s">
        <v>164</v>
      </c>
      <c r="C11" s="191">
        <v>0</v>
      </c>
      <c r="D11" s="347" t="s">
        <v>257</v>
      </c>
      <c r="E11" s="348"/>
    </row>
    <row r="12" spans="1:5" x14ac:dyDescent="0.35">
      <c r="A12" s="186"/>
      <c r="B12" s="81" t="s">
        <v>165</v>
      </c>
      <c r="C12" s="191">
        <v>0</v>
      </c>
      <c r="D12" s="347" t="s">
        <v>257</v>
      </c>
      <c r="E12" s="348"/>
    </row>
    <row r="13" spans="1:5" x14ac:dyDescent="0.35">
      <c r="A13" s="186"/>
      <c r="B13" s="87" t="s">
        <v>58</v>
      </c>
      <c r="C13" s="190">
        <v>166638500</v>
      </c>
      <c r="D13" s="347" t="s">
        <v>257</v>
      </c>
      <c r="E13" s="348"/>
    </row>
    <row r="14" spans="1:5" x14ac:dyDescent="0.35">
      <c r="A14" s="186"/>
      <c r="B14" s="81" t="s">
        <v>166</v>
      </c>
      <c r="C14" s="191">
        <v>146131000</v>
      </c>
      <c r="D14" s="347" t="s">
        <v>257</v>
      </c>
      <c r="E14" s="348"/>
    </row>
    <row r="15" spans="1:5" x14ac:dyDescent="0.35">
      <c r="A15" s="186"/>
      <c r="B15" s="81" t="s">
        <v>167</v>
      </c>
      <c r="C15" s="190">
        <v>18007500</v>
      </c>
      <c r="D15" s="347" t="s">
        <v>257</v>
      </c>
      <c r="E15" s="348"/>
    </row>
    <row r="16" spans="1:5" x14ac:dyDescent="0.35">
      <c r="A16" s="186"/>
      <c r="B16" s="81" t="s">
        <v>168</v>
      </c>
      <c r="C16" s="191">
        <v>0</v>
      </c>
      <c r="D16" s="347" t="s">
        <v>257</v>
      </c>
      <c r="E16" s="348"/>
    </row>
    <row r="17" spans="1:5" x14ac:dyDescent="0.35">
      <c r="A17" s="33"/>
      <c r="B17" s="81" t="s">
        <v>169</v>
      </c>
      <c r="C17" s="191">
        <v>0</v>
      </c>
      <c r="D17" s="347" t="s">
        <v>257</v>
      </c>
      <c r="E17" s="348"/>
    </row>
    <row r="18" spans="1:5" x14ac:dyDescent="0.35">
      <c r="A18" s="33"/>
      <c r="B18" s="81" t="s">
        <v>170</v>
      </c>
      <c r="C18" s="191">
        <v>2500000</v>
      </c>
      <c r="D18" s="347" t="s">
        <v>257</v>
      </c>
      <c r="E18" s="348"/>
    </row>
    <row r="20" spans="1:5" x14ac:dyDescent="0.35">
      <c r="A20" s="186" t="s">
        <v>1</v>
      </c>
      <c r="B20" s="186" t="s">
        <v>2</v>
      </c>
      <c r="C20" s="186" t="s">
        <v>160</v>
      </c>
      <c r="D20" s="347" t="s">
        <v>123</v>
      </c>
      <c r="E20" s="348"/>
    </row>
    <row r="21" spans="1:5" ht="22" x14ac:dyDescent="0.35">
      <c r="A21" s="186" t="s">
        <v>4</v>
      </c>
      <c r="B21" s="13" t="s">
        <v>697</v>
      </c>
      <c r="C21" s="190">
        <v>8999991</v>
      </c>
      <c r="D21" s="347" t="s">
        <v>257</v>
      </c>
      <c r="E21" s="348"/>
    </row>
    <row r="22" spans="1:5" x14ac:dyDescent="0.35">
      <c r="A22" s="186"/>
      <c r="B22" s="13" t="s">
        <v>161</v>
      </c>
      <c r="C22" s="190">
        <v>8999991</v>
      </c>
      <c r="D22" s="347" t="s">
        <v>257</v>
      </c>
      <c r="E22" s="348"/>
    </row>
    <row r="23" spans="1:5" x14ac:dyDescent="0.35">
      <c r="A23" s="186"/>
      <c r="B23" s="81" t="s">
        <v>162</v>
      </c>
      <c r="C23" s="191">
        <v>8999991</v>
      </c>
      <c r="D23" s="347" t="s">
        <v>257</v>
      </c>
      <c r="E23" s="348"/>
    </row>
    <row r="24" spans="1:5" x14ac:dyDescent="0.35">
      <c r="A24" s="186"/>
      <c r="B24" s="81" t="s">
        <v>163</v>
      </c>
      <c r="C24" s="191">
        <v>8999991</v>
      </c>
      <c r="D24" s="347" t="s">
        <v>257</v>
      </c>
      <c r="E24" s="348"/>
    </row>
    <row r="25" spans="1:5" x14ac:dyDescent="0.35">
      <c r="A25" s="186"/>
      <c r="B25" s="81" t="s">
        <v>164</v>
      </c>
      <c r="C25" s="191">
        <v>0</v>
      </c>
      <c r="D25" s="347" t="s">
        <v>257</v>
      </c>
      <c r="E25" s="348"/>
    </row>
    <row r="26" spans="1:5" x14ac:dyDescent="0.35">
      <c r="A26" s="186"/>
      <c r="B26" s="81" t="s">
        <v>165</v>
      </c>
      <c r="C26" s="191">
        <v>0</v>
      </c>
      <c r="D26" s="347" t="s">
        <v>257</v>
      </c>
      <c r="E26" s="348"/>
    </row>
    <row r="27" spans="1:5" x14ac:dyDescent="0.35">
      <c r="A27" s="186"/>
      <c r="B27" s="87" t="s">
        <v>58</v>
      </c>
      <c r="C27" s="190">
        <f>C28+C31</f>
        <v>8999991</v>
      </c>
      <c r="D27" s="347" t="s">
        <v>257</v>
      </c>
      <c r="E27" s="348"/>
    </row>
    <row r="28" spans="1:5" x14ac:dyDescent="0.35">
      <c r="A28" s="186"/>
      <c r="B28" s="290" t="s">
        <v>167</v>
      </c>
      <c r="C28" s="291">
        <f>SUM(C29:C30)</f>
        <v>6839993</v>
      </c>
      <c r="D28" s="347" t="s">
        <v>257</v>
      </c>
      <c r="E28" s="348"/>
    </row>
    <row r="29" spans="1:5" x14ac:dyDescent="0.35">
      <c r="A29" s="186"/>
      <c r="B29" s="290" t="s">
        <v>696</v>
      </c>
      <c r="C29" s="292">
        <v>6614995</v>
      </c>
      <c r="D29" s="347" t="s">
        <v>257</v>
      </c>
      <c r="E29" s="348"/>
    </row>
    <row r="30" spans="1:5" x14ac:dyDescent="0.35">
      <c r="A30" s="186"/>
      <c r="B30" s="290" t="s">
        <v>169</v>
      </c>
      <c r="C30" s="292">
        <f>224998</f>
        <v>224998</v>
      </c>
      <c r="D30" s="347" t="s">
        <v>257</v>
      </c>
      <c r="E30" s="348"/>
    </row>
    <row r="31" spans="1:5" x14ac:dyDescent="0.35">
      <c r="A31" s="186"/>
      <c r="B31" s="290" t="s">
        <v>170</v>
      </c>
      <c r="C31" s="292">
        <v>2159998</v>
      </c>
      <c r="D31" s="347" t="s">
        <v>257</v>
      </c>
      <c r="E31" s="348"/>
    </row>
  </sheetData>
  <mergeCells count="27">
    <mergeCell ref="D16:E16"/>
    <mergeCell ref="D17:E17"/>
    <mergeCell ref="D18:E18"/>
    <mergeCell ref="D10:E10"/>
    <mergeCell ref="D11:E11"/>
    <mergeCell ref="D12:E12"/>
    <mergeCell ref="D13:E13"/>
    <mergeCell ref="D14:E14"/>
    <mergeCell ref="D15:E15"/>
    <mergeCell ref="D9:E9"/>
    <mergeCell ref="B1:B2"/>
    <mergeCell ref="D1:E3"/>
    <mergeCell ref="D6:E6"/>
    <mergeCell ref="D7:E7"/>
    <mergeCell ref="D8:E8"/>
    <mergeCell ref="D20:E20"/>
    <mergeCell ref="D21:E21"/>
    <mergeCell ref="D22:E22"/>
    <mergeCell ref="D23:E23"/>
    <mergeCell ref="D24:E24"/>
    <mergeCell ref="D29:E29"/>
    <mergeCell ref="D30:E30"/>
    <mergeCell ref="D31:E31"/>
    <mergeCell ref="D25:E25"/>
    <mergeCell ref="D26:E26"/>
    <mergeCell ref="D27:E27"/>
    <mergeCell ref="D28:E2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43.26953125" bestFit="1" customWidth="1"/>
    <col min="3" max="3" width="11.26953125" customWidth="1"/>
    <col min="4" max="4" width="11.1796875" customWidth="1"/>
    <col min="5" max="5" width="11.81640625" customWidth="1"/>
    <col min="6" max="6" width="12.81640625" customWidth="1"/>
    <col min="7" max="7" width="11.54296875" hidden="1" customWidth="1"/>
  </cols>
  <sheetData>
    <row r="1" spans="1:6" x14ac:dyDescent="0.35">
      <c r="A1" s="293" t="s">
        <v>94</v>
      </c>
      <c r="B1" s="294"/>
      <c r="C1" s="294"/>
      <c r="D1" s="295" t="s">
        <v>710</v>
      </c>
      <c r="E1" s="295"/>
      <c r="F1" s="296"/>
    </row>
    <row r="2" spans="1:6" x14ac:dyDescent="0.35">
      <c r="A2" s="293" t="s">
        <v>626</v>
      </c>
      <c r="B2" s="297"/>
      <c r="C2" s="297"/>
      <c r="D2" s="296"/>
      <c r="E2" s="296"/>
      <c r="F2" s="296"/>
    </row>
    <row r="3" spans="1:6" x14ac:dyDescent="0.35">
      <c r="A3" s="1"/>
      <c r="B3" s="2" t="s">
        <v>0</v>
      </c>
      <c r="C3" s="3"/>
      <c r="D3" s="4"/>
      <c r="E3" s="4"/>
      <c r="F3" s="4" t="s">
        <v>93</v>
      </c>
    </row>
    <row r="4" spans="1:6" ht="21" x14ac:dyDescent="0.35">
      <c r="A4" s="31" t="s">
        <v>1</v>
      </c>
      <c r="B4" s="32" t="s">
        <v>2</v>
      </c>
      <c r="C4" s="32" t="s">
        <v>95</v>
      </c>
      <c r="D4" s="32" t="s">
        <v>96</v>
      </c>
      <c r="E4" s="32" t="s">
        <v>97</v>
      </c>
      <c r="F4" s="31" t="s">
        <v>98</v>
      </c>
    </row>
    <row r="5" spans="1:6" x14ac:dyDescent="0.35">
      <c r="A5" s="7" t="s">
        <v>4</v>
      </c>
      <c r="B5" s="8" t="s">
        <v>5</v>
      </c>
      <c r="C5" s="9">
        <f>'Költségvetési bevételek'!C11+'Költségvetési bevételek'!E11-'Költségvetési bevételek'!C9-'Költségvetési bevételek'!D9-'Költségvetési bevételek'!E9</f>
        <v>776293066</v>
      </c>
      <c r="D5" s="9">
        <f>'Költségvetési bevételek'!D11</f>
        <v>0</v>
      </c>
      <c r="E5" s="9">
        <v>0</v>
      </c>
      <c r="F5" s="10">
        <f>C5+D5+E5</f>
        <v>776293066</v>
      </c>
    </row>
    <row r="6" spans="1:6" x14ac:dyDescent="0.35">
      <c r="A6" s="7" t="s">
        <v>6</v>
      </c>
      <c r="B6" s="8" t="s">
        <v>601</v>
      </c>
      <c r="C6" s="9">
        <f>'Költségvetési bevételek'!C16+'Költségvetési bevételek'!E16+'Költségvetési bevételek'!C9+'Költségvetési bevételek'!E9</f>
        <v>27354000</v>
      </c>
      <c r="D6" s="9">
        <f>'Költségvetési bevételek'!D16+'Költségvetési bevételek'!D9</f>
        <v>8796502</v>
      </c>
      <c r="E6" s="9">
        <v>0</v>
      </c>
      <c r="F6" s="10">
        <f>C6+D6+E6</f>
        <v>36150502</v>
      </c>
    </row>
    <row r="7" spans="1:6" x14ac:dyDescent="0.35">
      <c r="A7" s="7" t="s">
        <v>8</v>
      </c>
      <c r="B7" s="8" t="s">
        <v>9</v>
      </c>
      <c r="C7" s="9">
        <f>SUM(C8:C10)</f>
        <v>27354000</v>
      </c>
      <c r="D7" s="9">
        <f t="shared" ref="D7:F7" si="0">SUM(D8:D10)</f>
        <v>8796502</v>
      </c>
      <c r="E7" s="9">
        <f t="shared" si="0"/>
        <v>0</v>
      </c>
      <c r="F7" s="10">
        <f t="shared" si="0"/>
        <v>36150502</v>
      </c>
    </row>
    <row r="8" spans="1:6" x14ac:dyDescent="0.35">
      <c r="A8" s="7" t="s">
        <v>10</v>
      </c>
      <c r="B8" s="8" t="s">
        <v>602</v>
      </c>
      <c r="C8" s="9">
        <f>'Költségvetési bevételek'!C9+'Költségvetési bevételek'!E9</f>
        <v>27354000</v>
      </c>
      <c r="D8" s="9">
        <f>'Költségvetési bevételek'!D9</f>
        <v>0</v>
      </c>
      <c r="E8" s="9">
        <v>0</v>
      </c>
      <c r="F8" s="10">
        <f t="shared" ref="F8:F30" si="1">C8+D8+E8</f>
        <v>27354000</v>
      </c>
    </row>
    <row r="9" spans="1:6" x14ac:dyDescent="0.35">
      <c r="A9" s="7" t="s">
        <v>12</v>
      </c>
      <c r="B9" s="8" t="s">
        <v>13</v>
      </c>
      <c r="C9" s="9">
        <v>0</v>
      </c>
      <c r="D9" s="9">
        <v>0</v>
      </c>
      <c r="E9" s="9">
        <v>0</v>
      </c>
      <c r="F9" s="10">
        <f t="shared" si="1"/>
        <v>0</v>
      </c>
    </row>
    <row r="10" spans="1:6" x14ac:dyDescent="0.35">
      <c r="A10" s="7" t="s">
        <v>14</v>
      </c>
      <c r="B10" s="8" t="s">
        <v>15</v>
      </c>
      <c r="C10" s="9">
        <f>'Költségvetési bevételek'!C16</f>
        <v>0</v>
      </c>
      <c r="D10" s="9">
        <f>'Költségvetési bevételek'!D16</f>
        <v>8796502</v>
      </c>
      <c r="E10" s="9">
        <v>0</v>
      </c>
      <c r="F10" s="10">
        <f t="shared" si="1"/>
        <v>8796502</v>
      </c>
    </row>
    <row r="11" spans="1:6" x14ac:dyDescent="0.35">
      <c r="A11" s="7" t="s">
        <v>16</v>
      </c>
      <c r="B11" s="8" t="s">
        <v>17</v>
      </c>
      <c r="C11" s="9">
        <f>'Költségvetési bevételek'!C23+'Költségvetési bevételek'!E23</f>
        <v>0</v>
      </c>
      <c r="D11" s="9">
        <f>'Költségvetési bevételek'!D23</f>
        <v>359926067</v>
      </c>
      <c r="E11" s="9">
        <f>'Költségvetési bevételek'!H23</f>
        <v>0</v>
      </c>
      <c r="F11" s="10">
        <f t="shared" si="1"/>
        <v>359926067</v>
      </c>
    </row>
    <row r="12" spans="1:6" x14ac:dyDescent="0.35">
      <c r="A12" s="7" t="s">
        <v>18</v>
      </c>
      <c r="B12" s="8" t="s">
        <v>19</v>
      </c>
      <c r="C12" s="9">
        <f>SUM(C13:C19)</f>
        <v>505000000</v>
      </c>
      <c r="D12" s="9">
        <f t="shared" ref="D12:F12" si="2">SUM(D13:D19)</f>
        <v>0</v>
      </c>
      <c r="E12" s="9">
        <f t="shared" si="2"/>
        <v>0</v>
      </c>
      <c r="F12" s="10">
        <f t="shared" si="2"/>
        <v>505000000</v>
      </c>
    </row>
    <row r="13" spans="1:6" x14ac:dyDescent="0.35">
      <c r="A13" s="7"/>
      <c r="B13" s="8" t="s">
        <v>20</v>
      </c>
      <c r="C13" s="9">
        <v>58045000</v>
      </c>
      <c r="D13" s="9">
        <v>0</v>
      </c>
      <c r="E13" s="9">
        <v>0</v>
      </c>
      <c r="F13" s="10">
        <f t="shared" ref="F13:F19" si="3">SUM(C13:E13)</f>
        <v>58045000</v>
      </c>
    </row>
    <row r="14" spans="1:6" x14ac:dyDescent="0.35">
      <c r="A14" s="7"/>
      <c r="B14" s="8" t="s">
        <v>21</v>
      </c>
      <c r="C14" s="9">
        <v>11542000</v>
      </c>
      <c r="D14" s="9">
        <v>0</v>
      </c>
      <c r="E14" s="9">
        <v>0</v>
      </c>
      <c r="F14" s="10">
        <f t="shared" si="3"/>
        <v>11542000</v>
      </c>
    </row>
    <row r="15" spans="1:6" x14ac:dyDescent="0.35">
      <c r="A15" s="7"/>
      <c r="B15" s="8" t="s">
        <v>22</v>
      </c>
      <c r="C15" s="9">
        <v>315625000</v>
      </c>
      <c r="D15" s="9">
        <v>0</v>
      </c>
      <c r="E15" s="9">
        <v>0</v>
      </c>
      <c r="F15" s="10">
        <f t="shared" si="3"/>
        <v>315625000</v>
      </c>
    </row>
    <row r="16" spans="1:6" x14ac:dyDescent="0.35">
      <c r="A16" s="7"/>
      <c r="B16" s="8" t="s">
        <v>23</v>
      </c>
      <c r="C16" s="9">
        <v>46160000</v>
      </c>
      <c r="D16" s="9">
        <v>0</v>
      </c>
      <c r="E16" s="9">
        <v>0</v>
      </c>
      <c r="F16" s="10">
        <f t="shared" si="3"/>
        <v>46160000</v>
      </c>
    </row>
    <row r="17" spans="1:6" x14ac:dyDescent="0.35">
      <c r="A17" s="7"/>
      <c r="B17" s="8" t="s">
        <v>599</v>
      </c>
      <c r="C17" s="9">
        <v>64740000</v>
      </c>
      <c r="D17" s="9">
        <v>0</v>
      </c>
      <c r="E17" s="9">
        <v>0</v>
      </c>
      <c r="F17" s="10">
        <f t="shared" si="3"/>
        <v>64740000</v>
      </c>
    </row>
    <row r="18" spans="1:6" x14ac:dyDescent="0.35">
      <c r="A18" s="7"/>
      <c r="B18" s="8" t="s">
        <v>261</v>
      </c>
      <c r="C18" s="9">
        <v>1967000</v>
      </c>
      <c r="D18" s="9">
        <v>0</v>
      </c>
      <c r="E18" s="9">
        <v>0</v>
      </c>
      <c r="F18" s="10">
        <f t="shared" si="3"/>
        <v>1967000</v>
      </c>
    </row>
    <row r="19" spans="1:6" x14ac:dyDescent="0.35">
      <c r="A19" s="7"/>
      <c r="B19" s="8" t="s">
        <v>262</v>
      </c>
      <c r="C19" s="9">
        <v>6921000</v>
      </c>
      <c r="D19" s="9">
        <v>0</v>
      </c>
      <c r="E19" s="9">
        <v>0</v>
      </c>
      <c r="F19" s="10">
        <f t="shared" si="3"/>
        <v>6921000</v>
      </c>
    </row>
    <row r="20" spans="1:6" x14ac:dyDescent="0.35">
      <c r="A20" s="7" t="s">
        <v>24</v>
      </c>
      <c r="B20" s="8" t="s">
        <v>25</v>
      </c>
      <c r="C20" s="9">
        <f>'Költségvetési bevételek'!C53+'Költségvetési bevételek'!E53</f>
        <v>409539048.11000001</v>
      </c>
      <c r="D20" s="9">
        <f>'Költségvetési bevételek'!D53</f>
        <v>31000000</v>
      </c>
      <c r="E20" s="9">
        <v>0</v>
      </c>
      <c r="F20" s="10">
        <f t="shared" si="1"/>
        <v>440539048.11000001</v>
      </c>
    </row>
    <row r="21" spans="1:6" x14ac:dyDescent="0.35">
      <c r="A21" s="7" t="s">
        <v>26</v>
      </c>
      <c r="B21" s="8" t="s">
        <v>27</v>
      </c>
      <c r="C21" s="9">
        <f>'Költségvetési bevételek'!C59+'Költségvetési bevételek'!E59</f>
        <v>64566929</v>
      </c>
      <c r="D21" s="9">
        <f>'Költségvetési bevételek'!D59</f>
        <v>0</v>
      </c>
      <c r="E21" s="9">
        <v>0</v>
      </c>
      <c r="F21" s="10">
        <f t="shared" si="1"/>
        <v>64566929</v>
      </c>
    </row>
    <row r="22" spans="1:6" x14ac:dyDescent="0.35">
      <c r="A22" s="7" t="s">
        <v>28</v>
      </c>
      <c r="B22" s="8" t="s">
        <v>29</v>
      </c>
      <c r="C22" s="9">
        <f>'Költségvetési bevételek'!C65+'Költségvetési bevételek'!E65</f>
        <v>0</v>
      </c>
      <c r="D22" s="9">
        <f>'Költségvetési bevételek'!D65</f>
        <v>0</v>
      </c>
      <c r="E22" s="9">
        <v>0</v>
      </c>
      <c r="F22" s="10">
        <f t="shared" si="1"/>
        <v>0</v>
      </c>
    </row>
    <row r="23" spans="1:6" x14ac:dyDescent="0.35">
      <c r="A23" s="7" t="s">
        <v>30</v>
      </c>
      <c r="B23" s="8" t="s">
        <v>31</v>
      </c>
      <c r="C23" s="9">
        <f>'Költségvetési bevételek'!C71+'Költségvetési bevételek'!E71</f>
        <v>0</v>
      </c>
      <c r="D23" s="9">
        <f>'Költségvetési bevételek'!D71</f>
        <v>0</v>
      </c>
      <c r="E23" s="9">
        <v>0</v>
      </c>
      <c r="F23" s="10">
        <f t="shared" si="1"/>
        <v>0</v>
      </c>
    </row>
    <row r="24" spans="1:6" s="135" customFormat="1" x14ac:dyDescent="0.35">
      <c r="A24" s="12" t="s">
        <v>32</v>
      </c>
      <c r="B24" s="13" t="s">
        <v>33</v>
      </c>
      <c r="C24" s="10">
        <f>C5+C6+C11+C12+C20+C21+C22+C23</f>
        <v>1782753043.1100001</v>
      </c>
      <c r="D24" s="10">
        <f>D5+D6+D11+D12+D20+D21+D22+D23</f>
        <v>399722569</v>
      </c>
      <c r="E24" s="10">
        <f t="shared" ref="E24:F24" si="4">E5+E6+E11+E12+E20+E21+E22+E23</f>
        <v>0</v>
      </c>
      <c r="F24" s="10">
        <f t="shared" si="4"/>
        <v>2182475612.1100001</v>
      </c>
    </row>
    <row r="25" spans="1:6" x14ac:dyDescent="0.35">
      <c r="A25" s="7" t="s">
        <v>34</v>
      </c>
      <c r="B25" s="8" t="s">
        <v>35</v>
      </c>
      <c r="C25" s="9">
        <f>'Finanszírozási bevételek'!C8+'Finanszírozási bevételek'!E8</f>
        <v>120000000</v>
      </c>
      <c r="D25" s="9">
        <f>'Finanszírozási bevételek'!D8</f>
        <v>0</v>
      </c>
      <c r="E25" s="9">
        <v>0</v>
      </c>
      <c r="F25" s="10">
        <f t="shared" si="1"/>
        <v>120000000</v>
      </c>
    </row>
    <row r="26" spans="1:6" x14ac:dyDescent="0.35">
      <c r="A26" s="7" t="s">
        <v>36</v>
      </c>
      <c r="B26" s="8" t="s">
        <v>37</v>
      </c>
      <c r="C26" s="9">
        <f>'Finanszírozási bevételek'!C13+'Finanszírozási bevételek'!E13</f>
        <v>0</v>
      </c>
      <c r="D26" s="9">
        <f>'Finanszírozási bevételek'!D13</f>
        <v>0</v>
      </c>
      <c r="E26" s="9">
        <v>0</v>
      </c>
      <c r="F26" s="10">
        <f t="shared" si="1"/>
        <v>0</v>
      </c>
    </row>
    <row r="27" spans="1:6" x14ac:dyDescent="0.35">
      <c r="A27" s="7" t="s">
        <v>38</v>
      </c>
      <c r="B27" s="8" t="s">
        <v>99</v>
      </c>
      <c r="C27" s="9">
        <f>'Finanszírozási bevételek'!C16+'Finanszírozási bevételek'!E16</f>
        <v>175783880</v>
      </c>
      <c r="D27" s="9">
        <f>'Finanszírozási bevételek'!D16</f>
        <v>0</v>
      </c>
      <c r="E27" s="9">
        <v>0</v>
      </c>
      <c r="F27" s="10">
        <f t="shared" si="1"/>
        <v>175783880</v>
      </c>
    </row>
    <row r="28" spans="1:6" x14ac:dyDescent="0.35">
      <c r="A28" s="7" t="s">
        <v>40</v>
      </c>
      <c r="B28" s="8" t="s">
        <v>41</v>
      </c>
      <c r="C28" s="9">
        <f>SUM(C29:C30)</f>
        <v>0</v>
      </c>
      <c r="D28" s="9">
        <f t="shared" ref="D28:F28" si="5">SUM(D29:D30)</f>
        <v>0</v>
      </c>
      <c r="E28" s="9">
        <f t="shared" si="5"/>
        <v>0</v>
      </c>
      <c r="F28" s="10">
        <f t="shared" si="5"/>
        <v>0</v>
      </c>
    </row>
    <row r="29" spans="1:6" x14ac:dyDescent="0.35">
      <c r="A29" s="7"/>
      <c r="B29" s="8" t="s">
        <v>42</v>
      </c>
      <c r="C29" s="9">
        <f>'Finanszírozási bevételek'!C21+'Finanszírozási bevételek'!E21</f>
        <v>0</v>
      </c>
      <c r="D29" s="9">
        <f>'Finanszírozási bevételek'!D19</f>
        <v>0</v>
      </c>
      <c r="E29" s="9">
        <v>0</v>
      </c>
      <c r="F29" s="10">
        <f t="shared" si="1"/>
        <v>0</v>
      </c>
    </row>
    <row r="30" spans="1:6" x14ac:dyDescent="0.35">
      <c r="A30" s="14"/>
      <c r="B30" s="8" t="s">
        <v>55</v>
      </c>
      <c r="C30" s="9">
        <v>0</v>
      </c>
      <c r="D30" s="9">
        <v>0</v>
      </c>
      <c r="E30" s="16">
        <v>0</v>
      </c>
      <c r="F30" s="10">
        <f t="shared" si="1"/>
        <v>0</v>
      </c>
    </row>
    <row r="31" spans="1:6" x14ac:dyDescent="0.35">
      <c r="A31" s="7" t="s">
        <v>44</v>
      </c>
      <c r="B31" s="8" t="s">
        <v>45</v>
      </c>
      <c r="C31" s="9">
        <v>0</v>
      </c>
      <c r="D31" s="9">
        <v>0</v>
      </c>
      <c r="E31" s="9">
        <v>0</v>
      </c>
      <c r="F31" s="10">
        <f>C31+D31+E31</f>
        <v>0</v>
      </c>
    </row>
    <row r="32" spans="1:6" x14ac:dyDescent="0.35">
      <c r="A32" s="7" t="s">
        <v>46</v>
      </c>
      <c r="B32" s="8" t="s">
        <v>47</v>
      </c>
      <c r="C32" s="9">
        <v>0</v>
      </c>
      <c r="D32" s="9">
        <v>0</v>
      </c>
      <c r="E32" s="9">
        <v>0</v>
      </c>
      <c r="F32" s="10">
        <f>C32+D32+E32</f>
        <v>0</v>
      </c>
    </row>
    <row r="33" spans="1:6" s="135" customFormat="1" x14ac:dyDescent="0.35">
      <c r="A33" s="12" t="s">
        <v>48</v>
      </c>
      <c r="B33" s="13" t="s">
        <v>49</v>
      </c>
      <c r="C33" s="10">
        <f>C25+C26+C27+C28+C31+C32</f>
        <v>295783880</v>
      </c>
      <c r="D33" s="10">
        <f t="shared" ref="D33:F33" si="6">D25+D26+D27+D28+D31+D32</f>
        <v>0</v>
      </c>
      <c r="E33" s="10">
        <f t="shared" si="6"/>
        <v>0</v>
      </c>
      <c r="F33" s="10">
        <f t="shared" si="6"/>
        <v>295783880</v>
      </c>
    </row>
    <row r="34" spans="1:6" s="135" customFormat="1" x14ac:dyDescent="0.35">
      <c r="A34" s="12" t="s">
        <v>50</v>
      </c>
      <c r="B34" s="13" t="s">
        <v>51</v>
      </c>
      <c r="C34" s="10">
        <f>C24+C33</f>
        <v>2078536923.1100001</v>
      </c>
      <c r="D34" s="10">
        <f>D24+D33</f>
        <v>399722569</v>
      </c>
      <c r="E34" s="10">
        <f t="shared" ref="E34:F34" si="7">E24+E33</f>
        <v>0</v>
      </c>
      <c r="F34" s="10">
        <f t="shared" si="7"/>
        <v>2478259492.1100001</v>
      </c>
    </row>
    <row r="35" spans="1:6" x14ac:dyDescent="0.35">
      <c r="A35" s="7"/>
      <c r="B35" s="13"/>
      <c r="C35" s="10"/>
      <c r="D35" s="10"/>
      <c r="E35" s="10"/>
      <c r="F35" s="10"/>
    </row>
    <row r="36" spans="1:6" x14ac:dyDescent="0.35">
      <c r="A36" s="33"/>
      <c r="B36" s="34"/>
      <c r="C36" s="10"/>
      <c r="D36" s="10"/>
      <c r="E36" s="9"/>
      <c r="F36" s="10"/>
    </row>
    <row r="37" spans="1:6" x14ac:dyDescent="0.35">
      <c r="A37" s="17"/>
      <c r="B37" s="18" t="s">
        <v>58</v>
      </c>
      <c r="C37" s="19"/>
      <c r="F37" s="4" t="s">
        <v>93</v>
      </c>
    </row>
    <row r="38" spans="1:6" ht="21" x14ac:dyDescent="0.35">
      <c r="A38" s="31" t="s">
        <v>1</v>
      </c>
      <c r="B38" s="32" t="s">
        <v>2</v>
      </c>
      <c r="C38" s="32" t="s">
        <v>95</v>
      </c>
      <c r="D38" s="32" t="s">
        <v>96</v>
      </c>
      <c r="E38" s="32" t="s">
        <v>97</v>
      </c>
      <c r="F38" s="31" t="s">
        <v>98</v>
      </c>
    </row>
    <row r="39" spans="1:6" x14ac:dyDescent="0.35">
      <c r="A39" s="20" t="s">
        <v>4</v>
      </c>
      <c r="B39" s="21" t="s">
        <v>59</v>
      </c>
      <c r="C39" s="22">
        <f>C40+C41+C42+C43+C44+C47</f>
        <v>867284291.59500003</v>
      </c>
      <c r="D39" s="22">
        <f t="shared" ref="D39:F39" si="8">D40+D41+D42+D43+D44+D47</f>
        <v>267827655.81999999</v>
      </c>
      <c r="E39" s="22">
        <f t="shared" si="8"/>
        <v>0</v>
      </c>
      <c r="F39" s="43">
        <f t="shared" si="8"/>
        <v>1135111947.415</v>
      </c>
    </row>
    <row r="40" spans="1:6" x14ac:dyDescent="0.35">
      <c r="A40" s="7" t="s">
        <v>60</v>
      </c>
      <c r="B40" s="8" t="s">
        <v>61</v>
      </c>
      <c r="C40" s="9">
        <f>'Költségvetési kiadások'!C23+'Költségvetési kiadások'!E23</f>
        <v>73548195</v>
      </c>
      <c r="D40" s="9">
        <f>'Költségvetési kiadások'!D23</f>
        <v>18816572</v>
      </c>
      <c r="E40" s="9">
        <v>0</v>
      </c>
      <c r="F40" s="10">
        <f t="shared" ref="F40:F58" si="9">C40+D40+E40</f>
        <v>92364767</v>
      </c>
    </row>
    <row r="41" spans="1:6" x14ac:dyDescent="0.35">
      <c r="A41" s="7" t="s">
        <v>62</v>
      </c>
      <c r="B41" s="8" t="s">
        <v>63</v>
      </c>
      <c r="C41" s="9">
        <f>'Költségvetési kiadások'!C24+'Költségvetési kiadások'!E24</f>
        <v>14368922.594999999</v>
      </c>
      <c r="D41" s="9">
        <f>'Költségvetési kiadások'!D24</f>
        <v>3669231.54</v>
      </c>
      <c r="E41" s="9">
        <v>0</v>
      </c>
      <c r="F41" s="10">
        <f t="shared" si="9"/>
        <v>18038154.134999998</v>
      </c>
    </row>
    <row r="42" spans="1:6" x14ac:dyDescent="0.35">
      <c r="A42" s="7" t="s">
        <v>64</v>
      </c>
      <c r="B42" s="8" t="s">
        <v>65</v>
      </c>
      <c r="C42" s="9">
        <f>'Költségvetési kiadások'!C49+'Költségvetési kiadások'!E49</f>
        <v>577619803</v>
      </c>
      <c r="D42" s="9">
        <f>'Költségvetési kiadások'!D49</f>
        <v>213028742.28</v>
      </c>
      <c r="E42" s="9">
        <v>0</v>
      </c>
      <c r="F42" s="10">
        <f t="shared" si="9"/>
        <v>790648545.27999997</v>
      </c>
    </row>
    <row r="43" spans="1:6" x14ac:dyDescent="0.35">
      <c r="A43" s="7" t="s">
        <v>66</v>
      </c>
      <c r="B43" s="8" t="s">
        <v>67</v>
      </c>
      <c r="C43" s="9">
        <f>'Költségvetési kiadások'!C58+'Költségvetési kiadások'!E58</f>
        <v>4800000</v>
      </c>
      <c r="D43" s="9">
        <f>'Költségvetési kiadások'!D58</f>
        <v>3750000</v>
      </c>
      <c r="E43" s="9">
        <v>0</v>
      </c>
      <c r="F43" s="10">
        <f t="shared" si="9"/>
        <v>8550000</v>
      </c>
    </row>
    <row r="44" spans="1:6" x14ac:dyDescent="0.35">
      <c r="A44" s="7" t="s">
        <v>68</v>
      </c>
      <c r="B44" s="8" t="s">
        <v>69</v>
      </c>
      <c r="C44" s="9">
        <f>SUM(C45:C46)</f>
        <v>151264111</v>
      </c>
      <c r="D44" s="9">
        <f t="shared" ref="D44:F44" si="10">SUM(D45:D46)</f>
        <v>28563110</v>
      </c>
      <c r="E44" s="9">
        <f t="shared" si="10"/>
        <v>0</v>
      </c>
      <c r="F44" s="9">
        <f t="shared" si="10"/>
        <v>179827221</v>
      </c>
    </row>
    <row r="45" spans="1:6" x14ac:dyDescent="0.35">
      <c r="A45" s="23" t="s">
        <v>70</v>
      </c>
      <c r="B45" s="8" t="s">
        <v>71</v>
      </c>
      <c r="C45" s="9">
        <f>'Költségvetési kiadások'!C73+'Költségvetési kiadások'!E73</f>
        <v>151264111</v>
      </c>
      <c r="D45" s="9">
        <f>'Költségvetési kiadások'!D73</f>
        <v>28563110</v>
      </c>
      <c r="E45" s="9">
        <v>0</v>
      </c>
      <c r="F45" s="10">
        <f t="shared" si="9"/>
        <v>179827221</v>
      </c>
    </row>
    <row r="46" spans="1:6" x14ac:dyDescent="0.35">
      <c r="A46" s="23" t="s">
        <v>72</v>
      </c>
      <c r="B46" s="8" t="s">
        <v>73</v>
      </c>
      <c r="C46" s="9">
        <f>'Költségvetési kiadások'!C67+'Költségvetési kiadások'!E67</f>
        <v>0</v>
      </c>
      <c r="D46" s="9">
        <f>'Költségvetési kiadások'!D67</f>
        <v>0</v>
      </c>
      <c r="E46" s="9">
        <v>0</v>
      </c>
      <c r="F46" s="10">
        <f t="shared" si="9"/>
        <v>0</v>
      </c>
    </row>
    <row r="47" spans="1:6" x14ac:dyDescent="0.35">
      <c r="A47" s="23" t="s">
        <v>74</v>
      </c>
      <c r="B47" s="8" t="s">
        <v>75</v>
      </c>
      <c r="C47" s="9">
        <f>'Költségvetési kiadások'!C74+'Költségvetési kiadások'!D74</f>
        <v>45683260</v>
      </c>
      <c r="D47" s="9">
        <f>'Költségvetési kiadások'!D74</f>
        <v>0</v>
      </c>
      <c r="E47" s="9">
        <v>0</v>
      </c>
      <c r="F47" s="10">
        <f t="shared" si="9"/>
        <v>45683260</v>
      </c>
    </row>
    <row r="48" spans="1:6" x14ac:dyDescent="0.35">
      <c r="A48" s="23" t="s">
        <v>6</v>
      </c>
      <c r="B48" s="8" t="s">
        <v>76</v>
      </c>
      <c r="C48" s="9">
        <f>C49+C50+C51</f>
        <v>0</v>
      </c>
      <c r="D48" s="9">
        <f t="shared" ref="D48:F48" si="11">D49+D50+D51</f>
        <v>489011999</v>
      </c>
      <c r="E48" s="9">
        <f t="shared" si="11"/>
        <v>0</v>
      </c>
      <c r="F48" s="10">
        <f t="shared" si="11"/>
        <v>489011999</v>
      </c>
    </row>
    <row r="49" spans="1:7" x14ac:dyDescent="0.35">
      <c r="A49" s="23" t="s">
        <v>8</v>
      </c>
      <c r="B49" s="8" t="s">
        <v>77</v>
      </c>
      <c r="C49" s="9">
        <f>'Költségvetési kiadások'!C83+'Költségvetési kiadások'!E83</f>
        <v>0</v>
      </c>
      <c r="D49" s="9">
        <f>'Költségvetési kiadások'!D83</f>
        <v>173029011</v>
      </c>
      <c r="E49" s="9">
        <v>0</v>
      </c>
      <c r="F49" s="10">
        <f t="shared" si="9"/>
        <v>173029011</v>
      </c>
    </row>
    <row r="50" spans="1:7" x14ac:dyDescent="0.35">
      <c r="A50" s="23" t="s">
        <v>78</v>
      </c>
      <c r="B50" s="8" t="s">
        <v>79</v>
      </c>
      <c r="C50" s="9">
        <f>'Költségvetési kiadások'!C88+'Költségvetési kiadások'!E88</f>
        <v>0</v>
      </c>
      <c r="D50" s="9">
        <f>'Költségvetési kiadások'!D88</f>
        <v>315982988</v>
      </c>
      <c r="E50" s="9">
        <v>0</v>
      </c>
      <c r="F50" s="10">
        <f t="shared" si="9"/>
        <v>315982988</v>
      </c>
    </row>
    <row r="51" spans="1:7" x14ac:dyDescent="0.35">
      <c r="A51" s="23" t="s">
        <v>80</v>
      </c>
      <c r="B51" s="8" t="s">
        <v>81</v>
      </c>
      <c r="C51" s="9">
        <f>'Költségvetési kiadások'!C98+'Költségvetési kiadások'!E98</f>
        <v>0</v>
      </c>
      <c r="D51" s="9">
        <v>0</v>
      </c>
      <c r="E51" s="9">
        <v>0</v>
      </c>
      <c r="F51" s="10">
        <f t="shared" si="9"/>
        <v>0</v>
      </c>
    </row>
    <row r="52" spans="1:7" s="135" customFormat="1" x14ac:dyDescent="0.35">
      <c r="A52" s="207" t="s">
        <v>16</v>
      </c>
      <c r="B52" s="13" t="s">
        <v>82</v>
      </c>
      <c r="C52" s="10">
        <f>C39+C48</f>
        <v>867284291.59500003</v>
      </c>
      <c r="D52" s="10">
        <f t="shared" ref="D52:F52" si="12">D39+D48</f>
        <v>756839654.81999993</v>
      </c>
      <c r="E52" s="10">
        <f t="shared" si="12"/>
        <v>0</v>
      </c>
      <c r="F52" s="10">
        <f t="shared" si="12"/>
        <v>1624123946.415</v>
      </c>
    </row>
    <row r="53" spans="1:7" x14ac:dyDescent="0.35">
      <c r="A53" s="7" t="s">
        <v>18</v>
      </c>
      <c r="B53" s="8" t="s">
        <v>83</v>
      </c>
      <c r="C53" s="9">
        <f>'Finanszírozási kiadások'!C8+'Finanszírozási kiadások'!E8</f>
        <v>120000000</v>
      </c>
      <c r="D53" s="9">
        <v>0</v>
      </c>
      <c r="E53" s="9">
        <v>0</v>
      </c>
      <c r="F53" s="10">
        <f t="shared" si="9"/>
        <v>120000000</v>
      </c>
    </row>
    <row r="54" spans="1:7" x14ac:dyDescent="0.35">
      <c r="A54" s="7" t="s">
        <v>24</v>
      </c>
      <c r="B54" s="8" t="s">
        <v>84</v>
      </c>
      <c r="C54" s="9">
        <v>0</v>
      </c>
      <c r="D54" s="9">
        <v>0</v>
      </c>
      <c r="E54" s="9">
        <v>0</v>
      </c>
      <c r="F54" s="10">
        <f t="shared" si="9"/>
        <v>0</v>
      </c>
    </row>
    <row r="55" spans="1:7" x14ac:dyDescent="0.35">
      <c r="A55" s="7" t="s">
        <v>26</v>
      </c>
      <c r="B55" s="8" t="s">
        <v>85</v>
      </c>
      <c r="C55" s="9">
        <f>SUM(C56:C58)</f>
        <v>703430946.89999998</v>
      </c>
      <c r="D55" s="9">
        <f t="shared" ref="D55:F55" si="13">SUM(D56:D58)</f>
        <v>30704598.829999998</v>
      </c>
      <c r="E55" s="9">
        <f t="shared" si="13"/>
        <v>0</v>
      </c>
      <c r="F55" s="9">
        <f t="shared" si="13"/>
        <v>734135545.73000002</v>
      </c>
    </row>
    <row r="56" spans="1:7" x14ac:dyDescent="0.35">
      <c r="A56" s="7"/>
      <c r="B56" s="8" t="s">
        <v>86</v>
      </c>
      <c r="C56" s="9">
        <f>'4. melléklet'!C17+'5. melléklet'!F17+'6. melléklet'!F17+'7. melléklet'!F17</f>
        <v>675412939.89999998</v>
      </c>
      <c r="D56" s="9">
        <f>'4. melléklet'!D17+'5. melléklet'!G17+'6. melléklet'!G17+'7. melléklet'!G17</f>
        <v>29463299.829999998</v>
      </c>
      <c r="E56" s="9">
        <f>'4. melléklet'!E17+'5. melléklet'!H17+'6. melléklet'!H17+'7. melléklet'!H17</f>
        <v>0</v>
      </c>
      <c r="F56" s="10">
        <f t="shared" si="9"/>
        <v>704876239.73000002</v>
      </c>
    </row>
    <row r="57" spans="1:7" x14ac:dyDescent="0.35">
      <c r="A57" s="14"/>
      <c r="B57" s="8" t="s">
        <v>680</v>
      </c>
      <c r="C57" s="9">
        <f>'Finanszírozási kiadások'!C20</f>
        <v>0</v>
      </c>
      <c r="D57" s="9">
        <f>'Finanszírozási kiadások'!D20</f>
        <v>1241299</v>
      </c>
      <c r="E57" s="16">
        <v>0</v>
      </c>
      <c r="F57" s="10">
        <f t="shared" si="9"/>
        <v>1241299</v>
      </c>
    </row>
    <row r="58" spans="1:7" x14ac:dyDescent="0.35">
      <c r="A58" s="254"/>
      <c r="B58" s="8" t="s">
        <v>681</v>
      </c>
      <c r="C58" s="9">
        <f>'Finanszírozási kiadások'!C17+'Finanszírozási kiadások'!E17</f>
        <v>28018007</v>
      </c>
      <c r="D58" s="9">
        <f>'Finanszírozási kiadások'!D17</f>
        <v>0</v>
      </c>
      <c r="E58" s="16">
        <v>0</v>
      </c>
      <c r="F58" s="10">
        <f t="shared" si="9"/>
        <v>28018007</v>
      </c>
    </row>
    <row r="59" spans="1:7" x14ac:dyDescent="0.35">
      <c r="A59" s="7" t="s">
        <v>28</v>
      </c>
      <c r="B59" s="8" t="s">
        <v>87</v>
      </c>
      <c r="C59" s="9">
        <v>0</v>
      </c>
      <c r="D59" s="9">
        <v>0</v>
      </c>
      <c r="E59" s="9">
        <v>0</v>
      </c>
      <c r="F59" s="10">
        <f>C59+D59+E59</f>
        <v>0</v>
      </c>
    </row>
    <row r="60" spans="1:7" s="135" customFormat="1" x14ac:dyDescent="0.35">
      <c r="A60" s="12" t="s">
        <v>30</v>
      </c>
      <c r="B60" s="13" t="s">
        <v>88</v>
      </c>
      <c r="C60" s="10">
        <f>C53+C54+C55+C59</f>
        <v>823430946.89999998</v>
      </c>
      <c r="D60" s="10">
        <f t="shared" ref="D60:F60" si="14">D53+D54+D55+D59</f>
        <v>30704598.829999998</v>
      </c>
      <c r="E60" s="10">
        <f t="shared" si="14"/>
        <v>0</v>
      </c>
      <c r="F60" s="10">
        <f t="shared" si="14"/>
        <v>854135545.73000002</v>
      </c>
    </row>
    <row r="61" spans="1:7" s="135" customFormat="1" x14ac:dyDescent="0.35">
      <c r="A61" s="12" t="s">
        <v>32</v>
      </c>
      <c r="B61" s="13" t="s">
        <v>89</v>
      </c>
      <c r="C61" s="10">
        <f>C52+C60</f>
        <v>1690715238.4949999</v>
      </c>
      <c r="D61" s="10">
        <f t="shared" ref="D61:F61" si="15">D52+D60</f>
        <v>787544253.64999998</v>
      </c>
      <c r="E61" s="10">
        <f t="shared" si="15"/>
        <v>0</v>
      </c>
      <c r="F61" s="10">
        <f t="shared" si="15"/>
        <v>2478259492.145</v>
      </c>
      <c r="G61" s="208">
        <f>F34-F61</f>
        <v>-3.4999847412109375E-2</v>
      </c>
    </row>
  </sheetData>
  <mergeCells count="3">
    <mergeCell ref="A1:C1"/>
    <mergeCell ref="D1:F2"/>
    <mergeCell ref="A2:C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1" workbookViewId="0">
      <selection activeCell="H1" sqref="H1:K2"/>
    </sheetView>
  </sheetViews>
  <sheetFormatPr defaultRowHeight="14.5" x14ac:dyDescent="0.35"/>
  <cols>
    <col min="1" max="1" width="6.26953125" bestFit="1" customWidth="1"/>
    <col min="2" max="2" width="38" bestFit="1" customWidth="1"/>
    <col min="3" max="3" width="12.26953125" bestFit="1" customWidth="1"/>
    <col min="4" max="4" width="10.81640625" bestFit="1" customWidth="1"/>
    <col min="6" max="6" width="12.26953125" bestFit="1" customWidth="1"/>
    <col min="7" max="7" width="45.453125" customWidth="1"/>
    <col min="8" max="9" width="12.26953125" bestFit="1" customWidth="1"/>
    <col min="11" max="11" width="12.26953125" bestFit="1" customWidth="1"/>
  </cols>
  <sheetData>
    <row r="1" spans="1:11" x14ac:dyDescent="0.35">
      <c r="A1" s="73"/>
      <c r="B1" s="73"/>
      <c r="C1" s="73"/>
      <c r="D1" s="73"/>
      <c r="E1" s="73"/>
      <c r="F1" s="73"/>
      <c r="G1" s="73"/>
      <c r="H1" s="295" t="s">
        <v>723</v>
      </c>
      <c r="I1" s="295"/>
      <c r="J1" s="295"/>
      <c r="K1" s="295"/>
    </row>
    <row r="2" spans="1:11" x14ac:dyDescent="0.35">
      <c r="A2" s="350" t="s">
        <v>630</v>
      </c>
      <c r="B2" s="350"/>
      <c r="C2" s="350"/>
      <c r="D2" s="350"/>
      <c r="E2" s="350"/>
      <c r="F2" s="350"/>
      <c r="G2" s="350"/>
      <c r="H2" s="296"/>
      <c r="I2" s="296"/>
      <c r="J2" s="296"/>
      <c r="K2" s="296"/>
    </row>
    <row r="3" spans="1:11" x14ac:dyDescent="0.35">
      <c r="A3" s="72"/>
      <c r="B3" s="72"/>
      <c r="C3" s="72"/>
      <c r="D3" s="72"/>
      <c r="E3" s="72"/>
      <c r="F3" s="72"/>
      <c r="G3" s="72"/>
      <c r="H3" s="72"/>
      <c r="I3" s="80"/>
      <c r="J3" s="298" t="s">
        <v>93</v>
      </c>
      <c r="K3" s="298"/>
    </row>
    <row r="4" spans="1:11" ht="21" x14ac:dyDescent="0.35">
      <c r="A4" s="88" t="s">
        <v>1</v>
      </c>
      <c r="B4" s="88" t="s">
        <v>2</v>
      </c>
      <c r="C4" s="89" t="s">
        <v>95</v>
      </c>
      <c r="D4" s="89" t="s">
        <v>96</v>
      </c>
      <c r="E4" s="89" t="s">
        <v>97</v>
      </c>
      <c r="F4" s="89" t="s">
        <v>98</v>
      </c>
      <c r="G4" s="88" t="s">
        <v>2</v>
      </c>
      <c r="H4" s="89" t="s">
        <v>95</v>
      </c>
      <c r="I4" s="89" t="s">
        <v>96</v>
      </c>
      <c r="J4" s="89" t="s">
        <v>97</v>
      </c>
      <c r="K4" s="89" t="s">
        <v>98</v>
      </c>
    </row>
    <row r="5" spans="1:11" x14ac:dyDescent="0.35">
      <c r="A5" s="33" t="s">
        <v>4</v>
      </c>
      <c r="B5" s="74" t="s">
        <v>5</v>
      </c>
      <c r="C5" s="90">
        <f>'1. melléklet'!C5</f>
        <v>776293066</v>
      </c>
      <c r="D5" s="90">
        <f>'1. melléklet'!D5</f>
        <v>0</v>
      </c>
      <c r="E5" s="90">
        <v>0</v>
      </c>
      <c r="F5" s="91">
        <f>C5+D5+E5</f>
        <v>776293066</v>
      </c>
      <c r="G5" s="92" t="s">
        <v>61</v>
      </c>
      <c r="H5" s="91">
        <f>'1. melléklet'!C40</f>
        <v>540725122</v>
      </c>
      <c r="I5" s="91">
        <f>'1. melléklet'!D40</f>
        <v>48045787</v>
      </c>
      <c r="J5" s="93">
        <v>0</v>
      </c>
      <c r="K5" s="94">
        <f>H5+I5+J5</f>
        <v>588770909</v>
      </c>
    </row>
    <row r="6" spans="1:11" x14ac:dyDescent="0.35">
      <c r="A6" s="33" t="s">
        <v>6</v>
      </c>
      <c r="B6" s="74" t="s">
        <v>171</v>
      </c>
      <c r="C6" s="90">
        <f>'1. melléklet'!C6</f>
        <v>27354000</v>
      </c>
      <c r="D6" s="90">
        <f>'1. melléklet'!D6</f>
        <v>8796502</v>
      </c>
      <c r="E6" s="90">
        <v>0</v>
      </c>
      <c r="F6" s="91">
        <f t="shared" ref="F6:F9" si="0">C6+D6+E6</f>
        <v>36150502</v>
      </c>
      <c r="G6" s="65" t="s">
        <v>172</v>
      </c>
      <c r="H6" s="91">
        <f>'1. melléklet'!C41</f>
        <v>109453539.595</v>
      </c>
      <c r="I6" s="91">
        <f>'1. melléklet'!D41</f>
        <v>10763348.539999999</v>
      </c>
      <c r="J6" s="93">
        <v>0</v>
      </c>
      <c r="K6" s="94">
        <f t="shared" ref="K6:K31" si="1">H6+I6+J6</f>
        <v>120216888.13499999</v>
      </c>
    </row>
    <row r="7" spans="1:11" x14ac:dyDescent="0.35">
      <c r="A7" s="33" t="s">
        <v>16</v>
      </c>
      <c r="B7" s="74" t="s">
        <v>19</v>
      </c>
      <c r="C7" s="90">
        <f>'1. melléklet'!C12</f>
        <v>505000000</v>
      </c>
      <c r="D7" s="90"/>
      <c r="E7" s="90">
        <v>0</v>
      </c>
      <c r="F7" s="91">
        <f t="shared" si="0"/>
        <v>505000000</v>
      </c>
      <c r="G7" s="92" t="s">
        <v>173</v>
      </c>
      <c r="H7" s="91">
        <f>'1. melléklet'!C42</f>
        <v>669996378</v>
      </c>
      <c r="I7" s="91">
        <f>'1. melléklet'!D42</f>
        <v>218210680.61000001</v>
      </c>
      <c r="J7" s="93">
        <v>0</v>
      </c>
      <c r="K7" s="94">
        <f t="shared" si="1"/>
        <v>888207058.61000001</v>
      </c>
    </row>
    <row r="8" spans="1:11" x14ac:dyDescent="0.35">
      <c r="A8" s="33" t="s">
        <v>18</v>
      </c>
      <c r="B8" s="74" t="s">
        <v>29</v>
      </c>
      <c r="C8" s="90">
        <v>0</v>
      </c>
      <c r="D8" s="90">
        <f>'1. melléklet'!D8</f>
        <v>0</v>
      </c>
      <c r="E8" s="90">
        <v>0</v>
      </c>
      <c r="F8" s="91">
        <f t="shared" si="0"/>
        <v>0</v>
      </c>
      <c r="G8" s="65" t="s">
        <v>174</v>
      </c>
      <c r="H8" s="91">
        <f>'1. melléklet'!C43</f>
        <v>4800000</v>
      </c>
      <c r="I8" s="91">
        <f>'1. melléklet'!D43</f>
        <v>3750000</v>
      </c>
      <c r="J8" s="93">
        <v>0</v>
      </c>
      <c r="K8" s="94">
        <f t="shared" si="1"/>
        <v>8550000</v>
      </c>
    </row>
    <row r="9" spans="1:11" x14ac:dyDescent="0.35">
      <c r="A9" s="33" t="s">
        <v>24</v>
      </c>
      <c r="B9" s="74" t="s">
        <v>25</v>
      </c>
      <c r="C9" s="90">
        <f>'1. melléklet'!C20</f>
        <v>418889048.11000001</v>
      </c>
      <c r="D9" s="90">
        <f>'1. melléklet'!D20</f>
        <v>31000000</v>
      </c>
      <c r="E9" s="90">
        <v>0</v>
      </c>
      <c r="F9" s="91">
        <f t="shared" si="0"/>
        <v>449889048.11000001</v>
      </c>
      <c r="G9" s="65" t="s">
        <v>175</v>
      </c>
      <c r="H9" s="91">
        <f>'1. melléklet'!C44</f>
        <v>151264111</v>
      </c>
      <c r="I9" s="91">
        <f>'1. melléklet'!D44</f>
        <v>28563110</v>
      </c>
      <c r="J9" s="93">
        <v>0</v>
      </c>
      <c r="K9" s="94">
        <f t="shared" si="1"/>
        <v>179827221</v>
      </c>
    </row>
    <row r="10" spans="1:11" x14ac:dyDescent="0.35">
      <c r="A10" s="33" t="s">
        <v>26</v>
      </c>
      <c r="B10" s="24"/>
      <c r="C10" s="90"/>
      <c r="D10" s="95"/>
      <c r="E10" s="90"/>
      <c r="F10" s="91"/>
      <c r="G10" s="65" t="s">
        <v>75</v>
      </c>
      <c r="H10" s="91">
        <f>'1. melléklet'!C47</f>
        <v>45683260</v>
      </c>
      <c r="I10" s="91">
        <f>'1. melléklet'!D47</f>
        <v>0</v>
      </c>
      <c r="J10" s="93">
        <v>0</v>
      </c>
      <c r="K10" s="94">
        <f t="shared" si="1"/>
        <v>45683260</v>
      </c>
    </row>
    <row r="11" spans="1:11" x14ac:dyDescent="0.35">
      <c r="A11" s="33" t="s">
        <v>28</v>
      </c>
      <c r="B11" s="24"/>
      <c r="C11" s="90"/>
      <c r="D11" s="95"/>
      <c r="E11" s="90"/>
      <c r="F11" s="91"/>
      <c r="G11" s="65"/>
      <c r="H11" s="93"/>
      <c r="I11" s="93"/>
      <c r="J11" s="93"/>
      <c r="K11" s="94"/>
    </row>
    <row r="12" spans="1:11" x14ac:dyDescent="0.35">
      <c r="A12" s="33" t="s">
        <v>30</v>
      </c>
      <c r="B12" s="24"/>
      <c r="C12" s="95"/>
      <c r="D12" s="95"/>
      <c r="E12" s="90"/>
      <c r="F12" s="91"/>
      <c r="G12" s="65"/>
      <c r="H12" s="93"/>
      <c r="I12" s="93"/>
      <c r="J12" s="93"/>
      <c r="K12" s="94"/>
    </row>
    <row r="13" spans="1:11" x14ac:dyDescent="0.35">
      <c r="A13" s="33" t="s">
        <v>32</v>
      </c>
      <c r="B13" s="24"/>
      <c r="C13" s="90"/>
      <c r="D13" s="95"/>
      <c r="E13" s="90"/>
      <c r="F13" s="91"/>
      <c r="G13" s="65"/>
      <c r="H13" s="93"/>
      <c r="I13" s="93"/>
      <c r="J13" s="93"/>
      <c r="K13" s="94"/>
    </row>
    <row r="14" spans="1:11" x14ac:dyDescent="0.35">
      <c r="A14" s="33" t="s">
        <v>34</v>
      </c>
      <c r="B14" s="24"/>
      <c r="C14" s="95"/>
      <c r="D14" s="95"/>
      <c r="E14" s="90"/>
      <c r="F14" s="91"/>
      <c r="G14" s="65"/>
      <c r="H14" s="93"/>
      <c r="I14" s="93"/>
      <c r="J14" s="93"/>
      <c r="K14" s="94"/>
    </row>
    <row r="15" spans="1:11" x14ac:dyDescent="0.35">
      <c r="A15" s="33" t="s">
        <v>36</v>
      </c>
      <c r="B15" s="96"/>
      <c r="C15" s="97"/>
      <c r="D15" s="97"/>
      <c r="E15" s="98"/>
      <c r="F15" s="91"/>
      <c r="G15" s="99"/>
      <c r="H15" s="100"/>
      <c r="I15" s="100"/>
      <c r="J15" s="100"/>
      <c r="K15" s="94"/>
    </row>
    <row r="16" spans="1:11" s="135" customFormat="1" x14ac:dyDescent="0.35">
      <c r="A16" s="77" t="s">
        <v>38</v>
      </c>
      <c r="B16" s="24" t="s">
        <v>176</v>
      </c>
      <c r="C16" s="95">
        <f>C5+C6+C7+C8+C9+C10+C11+C12+C13+C14+C15</f>
        <v>1727536114.1100001</v>
      </c>
      <c r="D16" s="95">
        <f>D5+D6+D7+D8+D9+D10+D11+D12+D13+D14+D15</f>
        <v>39796502</v>
      </c>
      <c r="E16" s="95">
        <f t="shared" ref="E16:F16" si="2">E5+E6+E7+E8+E9+E10+E11+E12+E13+E14+E15</f>
        <v>0</v>
      </c>
      <c r="F16" s="95">
        <f t="shared" si="2"/>
        <v>1767332616.1100001</v>
      </c>
      <c r="G16" s="24" t="s">
        <v>177</v>
      </c>
      <c r="H16" s="104">
        <f>H5+H6+H7+H8+H9+H10</f>
        <v>1521922410.595</v>
      </c>
      <c r="I16" s="104">
        <f t="shared" ref="I16:K16" si="3">I5+I6+I7+I8+I9+I10</f>
        <v>309332926.15000004</v>
      </c>
      <c r="J16" s="104">
        <f t="shared" si="3"/>
        <v>0</v>
      </c>
      <c r="K16" s="104">
        <f t="shared" si="3"/>
        <v>1831255336.7449999</v>
      </c>
    </row>
    <row r="17" spans="1:11" s="135" customFormat="1" x14ac:dyDescent="0.35">
      <c r="A17" s="12" t="s">
        <v>40</v>
      </c>
      <c r="B17" s="24" t="s">
        <v>178</v>
      </c>
      <c r="C17" s="95">
        <f>C18+C19+C20+C21</f>
        <v>851196819.89999998</v>
      </c>
      <c r="D17" s="95">
        <f t="shared" ref="D17:F17" si="4">D18+D19+D20+D21</f>
        <v>29463299.829999998</v>
      </c>
      <c r="E17" s="95">
        <f t="shared" si="4"/>
        <v>0</v>
      </c>
      <c r="F17" s="95">
        <f t="shared" si="4"/>
        <v>880660119.73000002</v>
      </c>
      <c r="G17" s="24" t="s">
        <v>179</v>
      </c>
      <c r="H17" s="104">
        <v>0</v>
      </c>
      <c r="I17" s="104">
        <v>0</v>
      </c>
      <c r="J17" s="104">
        <v>0</v>
      </c>
      <c r="K17" s="111">
        <f t="shared" si="1"/>
        <v>0</v>
      </c>
    </row>
    <row r="18" spans="1:11" x14ac:dyDescent="0.35">
      <c r="A18" s="7" t="s">
        <v>180</v>
      </c>
      <c r="B18" s="74" t="s">
        <v>181</v>
      </c>
      <c r="C18" s="90">
        <f>'1. melléklet'!F27</f>
        <v>175783880</v>
      </c>
      <c r="D18" s="90">
        <v>0</v>
      </c>
      <c r="E18" s="90">
        <v>0</v>
      </c>
      <c r="F18" s="91">
        <f>C18+D18+E18</f>
        <v>175783880</v>
      </c>
      <c r="G18" s="74" t="s">
        <v>182</v>
      </c>
      <c r="H18" s="93">
        <v>120000000</v>
      </c>
      <c r="I18" s="93">
        <v>0</v>
      </c>
      <c r="J18" s="93">
        <v>0</v>
      </c>
      <c r="K18" s="94">
        <f t="shared" si="1"/>
        <v>120000000</v>
      </c>
    </row>
    <row r="19" spans="1:11" x14ac:dyDescent="0.35">
      <c r="A19" s="7" t="s">
        <v>183</v>
      </c>
      <c r="B19" s="74" t="s">
        <v>184</v>
      </c>
      <c r="C19" s="90">
        <v>0</v>
      </c>
      <c r="D19" s="90">
        <v>0</v>
      </c>
      <c r="E19" s="90">
        <v>0</v>
      </c>
      <c r="F19" s="91">
        <f t="shared" ref="F19:F21" si="5">C19+D19+E19</f>
        <v>0</v>
      </c>
      <c r="G19" s="74" t="s">
        <v>185</v>
      </c>
      <c r="H19" s="93"/>
      <c r="I19" s="93">
        <v>0</v>
      </c>
      <c r="J19" s="93">
        <v>0</v>
      </c>
      <c r="K19" s="94">
        <f t="shared" si="1"/>
        <v>0</v>
      </c>
    </row>
    <row r="20" spans="1:11" x14ac:dyDescent="0.35">
      <c r="A20" s="7" t="s">
        <v>186</v>
      </c>
      <c r="B20" s="74" t="s">
        <v>187</v>
      </c>
      <c r="C20" s="90">
        <v>0</v>
      </c>
      <c r="D20" s="90">
        <v>0</v>
      </c>
      <c r="E20" s="90">
        <v>0</v>
      </c>
      <c r="F20" s="91">
        <f t="shared" si="5"/>
        <v>0</v>
      </c>
      <c r="G20" s="74" t="s">
        <v>188</v>
      </c>
      <c r="H20" s="93"/>
      <c r="I20" s="93">
        <v>0</v>
      </c>
      <c r="J20" s="93">
        <v>0</v>
      </c>
      <c r="K20" s="94">
        <f t="shared" si="1"/>
        <v>0</v>
      </c>
    </row>
    <row r="21" spans="1:11" x14ac:dyDescent="0.35">
      <c r="A21" s="7" t="s">
        <v>189</v>
      </c>
      <c r="B21" s="74" t="s">
        <v>190</v>
      </c>
      <c r="C21" s="90">
        <f>'1. melléklet'!C29</f>
        <v>675412939.89999998</v>
      </c>
      <c r="D21" s="90">
        <f>'1. melléklet'!D29</f>
        <v>29463299.829999998</v>
      </c>
      <c r="E21" s="90">
        <f>'1. melléklet'!E29</f>
        <v>0</v>
      </c>
      <c r="F21" s="91">
        <f t="shared" si="5"/>
        <v>704876239.73000002</v>
      </c>
      <c r="G21" s="74" t="s">
        <v>191</v>
      </c>
      <c r="H21" s="93"/>
      <c r="I21" s="93">
        <v>0</v>
      </c>
      <c r="J21" s="93">
        <v>0</v>
      </c>
      <c r="K21" s="94">
        <f t="shared" si="1"/>
        <v>0</v>
      </c>
    </row>
    <row r="22" spans="1:11" s="135" customFormat="1" x14ac:dyDescent="0.35">
      <c r="A22" s="12" t="s">
        <v>44</v>
      </c>
      <c r="B22" s="24" t="s">
        <v>192</v>
      </c>
      <c r="C22" s="95">
        <f>C23+C24+C25</f>
        <v>120000000</v>
      </c>
      <c r="D22" s="95">
        <f t="shared" ref="D22:E22" si="6">D23+D24+D25</f>
        <v>0</v>
      </c>
      <c r="E22" s="95">
        <f t="shared" si="6"/>
        <v>0</v>
      </c>
      <c r="F22" s="112">
        <f>C22+D22+E22</f>
        <v>120000000</v>
      </c>
      <c r="G22" s="24" t="s">
        <v>193</v>
      </c>
      <c r="H22" s="104"/>
      <c r="I22" s="104">
        <v>0</v>
      </c>
      <c r="J22" s="104">
        <v>0</v>
      </c>
      <c r="K22" s="111">
        <f t="shared" si="1"/>
        <v>0</v>
      </c>
    </row>
    <row r="23" spans="1:11" x14ac:dyDescent="0.35">
      <c r="A23" s="7" t="s">
        <v>194</v>
      </c>
      <c r="B23" s="74" t="s">
        <v>195</v>
      </c>
      <c r="C23" s="90">
        <f>'1. melléklet'!F25</f>
        <v>120000000</v>
      </c>
      <c r="D23" s="90">
        <v>0</v>
      </c>
      <c r="E23" s="90">
        <v>0</v>
      </c>
      <c r="F23" s="91">
        <f t="shared" ref="F23:F25" si="7">C23+D23+E23</f>
        <v>120000000</v>
      </c>
      <c r="G23" s="74" t="s">
        <v>196</v>
      </c>
      <c r="H23" s="93"/>
      <c r="I23" s="93">
        <v>0</v>
      </c>
      <c r="J23" s="93">
        <v>0</v>
      </c>
      <c r="K23" s="94">
        <f t="shared" si="1"/>
        <v>0</v>
      </c>
    </row>
    <row r="24" spans="1:11" x14ac:dyDescent="0.35">
      <c r="A24" s="7" t="s">
        <v>197</v>
      </c>
      <c r="B24" s="101" t="s">
        <v>198</v>
      </c>
      <c r="C24" s="98">
        <v>0</v>
      </c>
      <c r="D24" s="98">
        <v>0</v>
      </c>
      <c r="E24" s="98">
        <v>0</v>
      </c>
      <c r="F24" s="91">
        <f t="shared" si="7"/>
        <v>0</v>
      </c>
      <c r="G24" s="101" t="s">
        <v>85</v>
      </c>
      <c r="H24" s="102">
        <f>'1. melléklet'!C56</f>
        <v>675412939.89999998</v>
      </c>
      <c r="I24" s="102">
        <v>0</v>
      </c>
      <c r="J24" s="103">
        <v>0</v>
      </c>
      <c r="K24" s="94">
        <f t="shared" si="1"/>
        <v>675412939.89999998</v>
      </c>
    </row>
    <row r="25" spans="1:11" x14ac:dyDescent="0.35">
      <c r="A25" s="7" t="s">
        <v>199</v>
      </c>
      <c r="B25" s="74" t="s">
        <v>200</v>
      </c>
      <c r="C25" s="90">
        <v>0</v>
      </c>
      <c r="D25" s="90">
        <v>0</v>
      </c>
      <c r="E25" s="90">
        <v>0</v>
      </c>
      <c r="F25" s="91">
        <f t="shared" si="7"/>
        <v>0</v>
      </c>
      <c r="G25" s="24"/>
      <c r="H25" s="104"/>
      <c r="I25" s="104"/>
      <c r="J25" s="104"/>
      <c r="K25" s="94"/>
    </row>
    <row r="26" spans="1:11" x14ac:dyDescent="0.35">
      <c r="A26" s="7"/>
      <c r="B26" s="52"/>
      <c r="C26" s="93"/>
      <c r="D26" s="93"/>
      <c r="E26" s="93"/>
      <c r="F26" s="91"/>
      <c r="G26" s="52"/>
      <c r="H26" s="91"/>
      <c r="I26" s="94"/>
      <c r="J26" s="94"/>
      <c r="K26" s="94"/>
    </row>
    <row r="27" spans="1:11" x14ac:dyDescent="0.35">
      <c r="A27" s="7"/>
      <c r="B27" s="60"/>
      <c r="C27" s="93"/>
      <c r="D27" s="93"/>
      <c r="E27" s="93"/>
      <c r="F27" s="91"/>
      <c r="G27" s="60"/>
      <c r="H27" s="104"/>
      <c r="I27" s="104"/>
      <c r="J27" s="104"/>
      <c r="K27" s="94"/>
    </row>
    <row r="28" spans="1:11" s="135" customFormat="1" x14ac:dyDescent="0.35">
      <c r="A28" s="106" t="s">
        <v>46</v>
      </c>
      <c r="B28" s="24" t="s">
        <v>201</v>
      </c>
      <c r="C28" s="10">
        <f>C17+C22</f>
        <v>971196819.89999998</v>
      </c>
      <c r="D28" s="10">
        <f t="shared" ref="D28:F28" si="8">D17+D22</f>
        <v>29463299.829999998</v>
      </c>
      <c r="E28" s="10">
        <f t="shared" si="8"/>
        <v>0</v>
      </c>
      <c r="F28" s="10">
        <f t="shared" si="8"/>
        <v>1000660119.73</v>
      </c>
      <c r="G28" s="24" t="s">
        <v>202</v>
      </c>
      <c r="H28" s="10">
        <f>H17+H18+H19+H20+H21+H22+H23+H24</f>
        <v>795412939.89999998</v>
      </c>
      <c r="I28" s="10">
        <f t="shared" ref="I28:J28" si="9">I17+I18+I19+I20+I21+I22+I23+I24</f>
        <v>0</v>
      </c>
      <c r="J28" s="10">
        <f t="shared" si="9"/>
        <v>0</v>
      </c>
      <c r="K28" s="111">
        <f t="shared" si="1"/>
        <v>795412939.89999998</v>
      </c>
    </row>
    <row r="29" spans="1:11" s="135" customFormat="1" x14ac:dyDescent="0.35">
      <c r="A29" s="206" t="s">
        <v>48</v>
      </c>
      <c r="B29" s="105" t="s">
        <v>203</v>
      </c>
      <c r="C29" s="26">
        <f>C16+C28</f>
        <v>2698732934.0100002</v>
      </c>
      <c r="D29" s="26">
        <f>D16+D28</f>
        <v>69259801.829999998</v>
      </c>
      <c r="E29" s="26">
        <f>E16+E28</f>
        <v>0</v>
      </c>
      <c r="F29" s="26">
        <f>F16+F28</f>
        <v>2767992735.8400002</v>
      </c>
      <c r="G29" s="105" t="s">
        <v>204</v>
      </c>
      <c r="H29" s="10">
        <f>H16+H28</f>
        <v>2317335350.4949999</v>
      </c>
      <c r="I29" s="10">
        <f>I16+I28</f>
        <v>309332926.15000004</v>
      </c>
      <c r="J29" s="10">
        <f>J16+J28</f>
        <v>0</v>
      </c>
      <c r="K29" s="111">
        <f t="shared" si="1"/>
        <v>2626668276.645</v>
      </c>
    </row>
    <row r="30" spans="1:11" x14ac:dyDescent="0.35">
      <c r="A30" s="106" t="s">
        <v>50</v>
      </c>
      <c r="B30" s="54" t="s">
        <v>623</v>
      </c>
      <c r="C30" s="75">
        <f>C21</f>
        <v>675412939.89999998</v>
      </c>
      <c r="D30" s="75">
        <f t="shared" ref="D30:E30" si="10">D21</f>
        <v>29463299.829999998</v>
      </c>
      <c r="E30" s="75">
        <f t="shared" si="10"/>
        <v>0</v>
      </c>
      <c r="F30" s="35">
        <f>C30+D30+E30</f>
        <v>704876239.73000002</v>
      </c>
      <c r="G30" s="54" t="s">
        <v>205</v>
      </c>
      <c r="H30" s="75">
        <f>H24</f>
        <v>675412939.89999998</v>
      </c>
      <c r="I30" s="107">
        <v>0</v>
      </c>
      <c r="J30" s="107">
        <v>0</v>
      </c>
      <c r="K30" s="94">
        <f t="shared" si="1"/>
        <v>675412939.89999998</v>
      </c>
    </row>
    <row r="31" spans="1:11" s="135" customFormat="1" x14ac:dyDescent="0.35">
      <c r="A31" s="108" t="s">
        <v>52</v>
      </c>
      <c r="B31" s="109" t="s">
        <v>206</v>
      </c>
      <c r="C31" s="26">
        <f t="shared" ref="C31:F31" si="11">C29-C30</f>
        <v>2023319994.1100001</v>
      </c>
      <c r="D31" s="26">
        <f t="shared" si="11"/>
        <v>39796502</v>
      </c>
      <c r="E31" s="26">
        <f t="shared" si="11"/>
        <v>0</v>
      </c>
      <c r="F31" s="26">
        <f t="shared" si="11"/>
        <v>2063116496.1100001</v>
      </c>
      <c r="G31" s="110" t="s">
        <v>206</v>
      </c>
      <c r="H31" s="26">
        <f>H29-H30</f>
        <v>1641922410.5949998</v>
      </c>
      <c r="I31" s="26">
        <f t="shared" ref="I31:J31" si="12">I29-I30</f>
        <v>309332926.15000004</v>
      </c>
      <c r="J31" s="26">
        <f t="shared" si="12"/>
        <v>0</v>
      </c>
      <c r="K31" s="111">
        <f t="shared" si="1"/>
        <v>1951255336.7449999</v>
      </c>
    </row>
    <row r="33" spans="3:11" hidden="1" x14ac:dyDescent="0.35">
      <c r="C33" s="11">
        <f>C31+'17. melléklet'!C31</f>
        <v>2087886923.1100001</v>
      </c>
      <c r="D33" s="11">
        <f>D31+'17. melléklet'!D31</f>
        <v>399722569</v>
      </c>
      <c r="E33" s="11">
        <f>E31+'17. melléklet'!E31</f>
        <v>0</v>
      </c>
      <c r="F33" s="11">
        <f>F31+'17. melléklet'!F31</f>
        <v>2487609492.1100001</v>
      </c>
      <c r="G33" s="11"/>
      <c r="H33" s="11">
        <f>H31+'17. melléklet'!H31</f>
        <v>1687773268.4949999</v>
      </c>
      <c r="I33" s="11">
        <f>I31+'17. melléklet'!I31</f>
        <v>799836223.6500001</v>
      </c>
      <c r="J33" s="11">
        <f>J31+'17. melléklet'!J31</f>
        <v>0</v>
      </c>
      <c r="K33" s="11">
        <f>K31+'17. melléklet'!K31</f>
        <v>2487609492.145</v>
      </c>
    </row>
    <row r="34" spans="3:11" hidden="1" x14ac:dyDescent="0.35"/>
    <row r="35" spans="3:11" hidden="1" x14ac:dyDescent="0.35">
      <c r="K35" s="11">
        <f>K33-F33</f>
        <v>3.4999847412109375E-2</v>
      </c>
    </row>
    <row r="36" spans="3:11" x14ac:dyDescent="0.35">
      <c r="F36" s="11"/>
    </row>
  </sheetData>
  <mergeCells count="3">
    <mergeCell ref="H1:K2"/>
    <mergeCell ref="A2:G2"/>
    <mergeCell ref="J3:K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opLeftCell="B1" workbookViewId="0">
      <selection activeCell="H1" sqref="H1:K2"/>
    </sheetView>
  </sheetViews>
  <sheetFormatPr defaultRowHeight="14.5" x14ac:dyDescent="0.35"/>
  <cols>
    <col min="1" max="1" width="6.26953125" bestFit="1" customWidth="1"/>
    <col min="2" max="2" width="41" bestFit="1" customWidth="1"/>
    <col min="3" max="3" width="12.26953125" bestFit="1" customWidth="1"/>
    <col min="6" max="6" width="12.26953125" bestFit="1" customWidth="1"/>
    <col min="7" max="7" width="40.81640625" bestFit="1" customWidth="1"/>
    <col min="9" max="9" width="9.81640625" bestFit="1" customWidth="1"/>
    <col min="11" max="11" width="12.26953125" bestFit="1" customWidth="1"/>
  </cols>
  <sheetData>
    <row r="1" spans="1:11" x14ac:dyDescent="0.35">
      <c r="A1" s="73"/>
      <c r="B1" s="73"/>
      <c r="C1" s="73"/>
      <c r="D1" s="73"/>
      <c r="E1" s="73"/>
      <c r="F1" s="73"/>
      <c r="G1" s="73"/>
      <c r="H1" s="295" t="s">
        <v>724</v>
      </c>
      <c r="I1" s="295"/>
      <c r="J1" s="295"/>
      <c r="K1" s="295"/>
    </row>
    <row r="2" spans="1:11" x14ac:dyDescent="0.35">
      <c r="A2" s="350" t="s">
        <v>631</v>
      </c>
      <c r="B2" s="350"/>
      <c r="C2" s="350"/>
      <c r="D2" s="350"/>
      <c r="E2" s="350"/>
      <c r="F2" s="350"/>
      <c r="G2" s="350"/>
      <c r="H2" s="296"/>
      <c r="I2" s="296"/>
      <c r="J2" s="296"/>
      <c r="K2" s="296"/>
    </row>
    <row r="3" spans="1:11" x14ac:dyDescent="0.35">
      <c r="A3" s="72"/>
      <c r="B3" s="72"/>
      <c r="C3" s="72"/>
      <c r="D3" s="72"/>
      <c r="E3" s="72"/>
      <c r="F3" s="72"/>
      <c r="G3" s="72"/>
      <c r="H3" s="72"/>
      <c r="I3" s="80"/>
      <c r="J3" s="298" t="s">
        <v>93</v>
      </c>
      <c r="K3" s="298"/>
    </row>
    <row r="4" spans="1:11" ht="31.5" x14ac:dyDescent="0.35">
      <c r="A4" s="88" t="s">
        <v>1</v>
      </c>
      <c r="B4" s="88" t="s">
        <v>2</v>
      </c>
      <c r="C4" s="89" t="s">
        <v>95</v>
      </c>
      <c r="D4" s="89" t="s">
        <v>96</v>
      </c>
      <c r="E4" s="89" t="s">
        <v>97</v>
      </c>
      <c r="F4" s="89" t="s">
        <v>98</v>
      </c>
      <c r="G4" s="88" t="s">
        <v>2</v>
      </c>
      <c r="H4" s="89" t="s">
        <v>95</v>
      </c>
      <c r="I4" s="89" t="s">
        <v>96</v>
      </c>
      <c r="J4" s="89" t="s">
        <v>97</v>
      </c>
      <c r="K4" s="89" t="s">
        <v>98</v>
      </c>
    </row>
    <row r="5" spans="1:11" x14ac:dyDescent="0.35">
      <c r="A5" s="33" t="s">
        <v>4</v>
      </c>
      <c r="B5" s="74" t="s">
        <v>207</v>
      </c>
      <c r="C5" s="90">
        <f>'1. melléklet'!C11</f>
        <v>0</v>
      </c>
      <c r="D5" s="90">
        <f>'1. melléklet'!D11</f>
        <v>359926067</v>
      </c>
      <c r="E5" s="90">
        <f>'1. melléklet'!E11</f>
        <v>0</v>
      </c>
      <c r="F5" s="91">
        <f>C5+D5+E5</f>
        <v>359926067</v>
      </c>
      <c r="G5" s="92" t="s">
        <v>77</v>
      </c>
      <c r="H5" s="91">
        <f>'1. melléklet'!C49</f>
        <v>14488551.01</v>
      </c>
      <c r="I5" s="91">
        <f>'1. melléklet'!D49</f>
        <v>173279010.5</v>
      </c>
      <c r="J5" s="91">
        <f>'1. melléklet'!E49</f>
        <v>0</v>
      </c>
      <c r="K5" s="94">
        <f>H5+I5+J5</f>
        <v>187767561.50999999</v>
      </c>
    </row>
    <row r="6" spans="1:11" x14ac:dyDescent="0.35">
      <c r="A6" s="33" t="s">
        <v>6</v>
      </c>
      <c r="B6" s="74" t="s">
        <v>27</v>
      </c>
      <c r="C6" s="90">
        <f>'1. melléklet'!C21</f>
        <v>64566929</v>
      </c>
      <c r="D6" s="90">
        <f>'1. melléklet'!D21</f>
        <v>0</v>
      </c>
      <c r="E6" s="90">
        <f>'1. melléklet'!E21</f>
        <v>0</v>
      </c>
      <c r="F6" s="91">
        <f t="shared" ref="F6:F8" si="0">C6+D6+E6</f>
        <v>64566929</v>
      </c>
      <c r="G6" s="65" t="s">
        <v>79</v>
      </c>
      <c r="H6" s="93">
        <f>'1. melléklet'!C50</f>
        <v>3344299.89</v>
      </c>
      <c r="I6" s="93">
        <f>'1. melléklet'!D50</f>
        <v>315982988</v>
      </c>
      <c r="J6" s="93">
        <f>'1. melléklet'!E50</f>
        <v>0</v>
      </c>
      <c r="K6" s="94">
        <f t="shared" ref="K6:K31" si="1">H6+I6+J6</f>
        <v>319327287.88999999</v>
      </c>
    </row>
    <row r="7" spans="1:11" x14ac:dyDescent="0.35">
      <c r="A7" s="33" t="s">
        <v>16</v>
      </c>
      <c r="B7" s="74" t="s">
        <v>31</v>
      </c>
      <c r="C7" s="90">
        <v>0</v>
      </c>
      <c r="D7" s="90">
        <v>0</v>
      </c>
      <c r="E7" s="90">
        <v>0</v>
      </c>
      <c r="F7" s="91">
        <f t="shared" si="0"/>
        <v>0</v>
      </c>
      <c r="G7" s="92" t="s">
        <v>208</v>
      </c>
      <c r="H7" s="91">
        <v>0</v>
      </c>
      <c r="I7" s="93">
        <v>0</v>
      </c>
      <c r="J7" s="93">
        <v>0</v>
      </c>
      <c r="K7" s="94">
        <f t="shared" si="1"/>
        <v>0</v>
      </c>
    </row>
    <row r="8" spans="1:11" x14ac:dyDescent="0.35">
      <c r="A8" s="33" t="s">
        <v>18</v>
      </c>
      <c r="B8" s="74" t="s">
        <v>209</v>
      </c>
      <c r="C8" s="90">
        <v>0</v>
      </c>
      <c r="D8" s="90">
        <v>0</v>
      </c>
      <c r="E8" s="90">
        <v>0</v>
      </c>
      <c r="F8" s="91">
        <f t="shared" si="0"/>
        <v>0</v>
      </c>
      <c r="G8" s="65"/>
      <c r="H8" s="93"/>
      <c r="I8" s="93"/>
      <c r="J8" s="93"/>
      <c r="K8" s="94"/>
    </row>
    <row r="9" spans="1:11" x14ac:dyDescent="0.35">
      <c r="A9" s="33" t="s">
        <v>24</v>
      </c>
      <c r="B9" s="74"/>
      <c r="C9" s="90"/>
      <c r="D9" s="95"/>
      <c r="E9" s="95"/>
      <c r="F9" s="112"/>
      <c r="G9" s="65"/>
      <c r="H9" s="93"/>
      <c r="I9" s="93"/>
      <c r="J9" s="93"/>
      <c r="K9" s="94"/>
    </row>
    <row r="10" spans="1:11" x14ac:dyDescent="0.35">
      <c r="A10" s="33" t="s">
        <v>26</v>
      </c>
      <c r="B10" s="24"/>
      <c r="C10" s="90"/>
      <c r="D10" s="95"/>
      <c r="E10" s="95"/>
      <c r="F10" s="112"/>
      <c r="G10" s="65"/>
      <c r="H10" s="93"/>
      <c r="I10" s="93"/>
      <c r="J10" s="93"/>
      <c r="K10" s="94"/>
    </row>
    <row r="11" spans="1:11" x14ac:dyDescent="0.35">
      <c r="A11" s="33" t="s">
        <v>28</v>
      </c>
      <c r="B11" s="24"/>
      <c r="C11" s="90"/>
      <c r="D11" s="95"/>
      <c r="E11" s="95"/>
      <c r="F11" s="112"/>
      <c r="G11" s="65"/>
      <c r="H11" s="93"/>
      <c r="I11" s="93"/>
      <c r="J11" s="93"/>
      <c r="K11" s="94"/>
    </row>
    <row r="12" spans="1:11" x14ac:dyDescent="0.35">
      <c r="A12" s="33" t="s">
        <v>30</v>
      </c>
      <c r="B12" s="24"/>
      <c r="C12" s="95"/>
      <c r="D12" s="95"/>
      <c r="E12" s="95"/>
      <c r="F12" s="91"/>
      <c r="G12" s="65"/>
      <c r="H12" s="93"/>
      <c r="I12" s="93"/>
      <c r="J12" s="93"/>
      <c r="K12" s="94"/>
    </row>
    <row r="13" spans="1:11" x14ac:dyDescent="0.35">
      <c r="A13" s="33" t="s">
        <v>32</v>
      </c>
      <c r="B13" s="24"/>
      <c r="C13" s="90"/>
      <c r="D13" s="95"/>
      <c r="E13" s="95"/>
      <c r="F13" s="112"/>
      <c r="G13" s="65"/>
      <c r="H13" s="93"/>
      <c r="I13" s="93"/>
      <c r="J13" s="93"/>
      <c r="K13" s="94"/>
    </row>
    <row r="14" spans="1:11" x14ac:dyDescent="0.35">
      <c r="A14" s="33" t="s">
        <v>34</v>
      </c>
      <c r="B14" s="24"/>
      <c r="C14" s="95"/>
      <c r="D14" s="95"/>
      <c r="E14" s="95"/>
      <c r="F14" s="91"/>
      <c r="G14" s="65"/>
      <c r="H14" s="93"/>
      <c r="I14" s="93"/>
      <c r="J14" s="93"/>
      <c r="K14" s="94"/>
    </row>
    <row r="15" spans="1:11" x14ac:dyDescent="0.35">
      <c r="A15" s="33" t="s">
        <v>36</v>
      </c>
      <c r="B15" s="96"/>
      <c r="C15" s="97"/>
      <c r="D15" s="97"/>
      <c r="E15" s="97"/>
      <c r="F15" s="112"/>
      <c r="G15" s="99"/>
      <c r="H15" s="100"/>
      <c r="I15" s="100"/>
      <c r="J15" s="100"/>
      <c r="K15" s="94"/>
    </row>
    <row r="16" spans="1:11" s="135" customFormat="1" x14ac:dyDescent="0.35">
      <c r="A16" s="77" t="s">
        <v>38</v>
      </c>
      <c r="B16" s="24" t="s">
        <v>210</v>
      </c>
      <c r="C16" s="95">
        <f>C5+C6+C7+C8</f>
        <v>64566929</v>
      </c>
      <c r="D16" s="95">
        <f t="shared" ref="D16:E16" si="2">D5+D6+D7+D8</f>
        <v>359926067</v>
      </c>
      <c r="E16" s="95">
        <f t="shared" si="2"/>
        <v>0</v>
      </c>
      <c r="F16" s="112">
        <f>C16+D16+E16</f>
        <v>424492996</v>
      </c>
      <c r="G16" s="24" t="s">
        <v>177</v>
      </c>
      <c r="H16" s="104">
        <f>SUM(H17:H25)</f>
        <v>28018007</v>
      </c>
      <c r="I16" s="104">
        <f t="shared" ref="I16:K16" si="3">SUM(I17:I25)</f>
        <v>1241299</v>
      </c>
      <c r="J16" s="104">
        <f t="shared" si="3"/>
        <v>0</v>
      </c>
      <c r="K16" s="104">
        <f t="shared" si="3"/>
        <v>29259306</v>
      </c>
    </row>
    <row r="17" spans="1:11" s="135" customFormat="1" x14ac:dyDescent="0.35">
      <c r="A17" s="12" t="s">
        <v>40</v>
      </c>
      <c r="B17" s="24" t="s">
        <v>178</v>
      </c>
      <c r="C17" s="95">
        <f>C21</f>
        <v>0</v>
      </c>
      <c r="D17" s="95">
        <f t="shared" ref="D17:E17" si="4">D18+D19+D20+D21</f>
        <v>0</v>
      </c>
      <c r="E17" s="95">
        <f t="shared" si="4"/>
        <v>0</v>
      </c>
      <c r="F17" s="112">
        <f t="shared" ref="F17:F31" si="5">C17+D17+E17</f>
        <v>0</v>
      </c>
      <c r="G17" s="24" t="s">
        <v>179</v>
      </c>
      <c r="H17" s="104">
        <v>0</v>
      </c>
      <c r="I17" s="104">
        <v>0</v>
      </c>
      <c r="J17" s="104">
        <v>0</v>
      </c>
      <c r="K17" s="111">
        <f t="shared" si="1"/>
        <v>0</v>
      </c>
    </row>
    <row r="18" spans="1:11" x14ac:dyDescent="0.35">
      <c r="A18" s="7" t="s">
        <v>180</v>
      </c>
      <c r="B18" s="74" t="s">
        <v>181</v>
      </c>
      <c r="C18" s="90">
        <f>'1. melléklet'!C27</f>
        <v>175783880</v>
      </c>
      <c r="D18" s="90">
        <f>'1. melléklet'!D27</f>
        <v>0</v>
      </c>
      <c r="E18" s="90">
        <f>'1. melléklet'!E27</f>
        <v>0</v>
      </c>
      <c r="F18" s="91">
        <f t="shared" si="5"/>
        <v>175783880</v>
      </c>
      <c r="G18" s="74" t="s">
        <v>211</v>
      </c>
      <c r="H18" s="93"/>
      <c r="I18" s="93">
        <v>0</v>
      </c>
      <c r="J18" s="93">
        <v>0</v>
      </c>
      <c r="K18" s="94">
        <f t="shared" si="1"/>
        <v>0</v>
      </c>
    </row>
    <row r="19" spans="1:11" x14ac:dyDescent="0.35">
      <c r="A19" s="7" t="s">
        <v>183</v>
      </c>
      <c r="B19" s="74" t="s">
        <v>184</v>
      </c>
      <c r="C19" s="90">
        <v>0</v>
      </c>
      <c r="D19" s="90">
        <v>0</v>
      </c>
      <c r="E19" s="90">
        <v>0</v>
      </c>
      <c r="F19" s="91">
        <f t="shared" si="5"/>
        <v>0</v>
      </c>
      <c r="G19" s="74" t="s">
        <v>185</v>
      </c>
      <c r="H19" s="93"/>
      <c r="I19" s="93">
        <v>0</v>
      </c>
      <c r="J19" s="93">
        <v>0</v>
      </c>
      <c r="K19" s="94">
        <f t="shared" si="1"/>
        <v>0</v>
      </c>
    </row>
    <row r="20" spans="1:11" x14ac:dyDescent="0.35">
      <c r="A20" s="7" t="s">
        <v>186</v>
      </c>
      <c r="B20" s="74" t="s">
        <v>187</v>
      </c>
      <c r="C20" s="90">
        <v>0</v>
      </c>
      <c r="D20" s="90">
        <v>0</v>
      </c>
      <c r="E20" s="90">
        <v>0</v>
      </c>
      <c r="F20" s="91">
        <f t="shared" si="5"/>
        <v>0</v>
      </c>
      <c r="G20" s="74" t="s">
        <v>188</v>
      </c>
      <c r="H20" s="93"/>
      <c r="I20" s="93">
        <v>0</v>
      </c>
      <c r="J20" s="93">
        <v>0</v>
      </c>
      <c r="K20" s="94">
        <f t="shared" si="1"/>
        <v>0</v>
      </c>
    </row>
    <row r="21" spans="1:11" x14ac:dyDescent="0.35">
      <c r="A21" s="7" t="s">
        <v>189</v>
      </c>
      <c r="B21" s="74" t="s">
        <v>190</v>
      </c>
      <c r="C21" s="90">
        <v>0</v>
      </c>
      <c r="D21" s="90">
        <v>0</v>
      </c>
      <c r="E21" s="90">
        <v>0</v>
      </c>
      <c r="F21" s="91">
        <f t="shared" si="5"/>
        <v>0</v>
      </c>
      <c r="G21" s="74" t="s">
        <v>191</v>
      </c>
      <c r="H21" s="93"/>
      <c r="I21" s="93">
        <v>0</v>
      </c>
      <c r="J21" s="93">
        <v>0</v>
      </c>
      <c r="K21" s="94">
        <f t="shared" si="1"/>
        <v>0</v>
      </c>
    </row>
    <row r="22" spans="1:11" s="135" customFormat="1" x14ac:dyDescent="0.35">
      <c r="A22" s="12" t="s">
        <v>44</v>
      </c>
      <c r="B22" s="24" t="s">
        <v>192</v>
      </c>
      <c r="C22" s="95">
        <f>C23+C24+C25+C26+C27</f>
        <v>0</v>
      </c>
      <c r="D22" s="95">
        <f t="shared" ref="D22:E22" si="6">D23+D24+D25+D26+D27</f>
        <v>0</v>
      </c>
      <c r="E22" s="95">
        <f t="shared" si="6"/>
        <v>0</v>
      </c>
      <c r="F22" s="112">
        <f t="shared" si="5"/>
        <v>0</v>
      </c>
      <c r="G22" s="24" t="s">
        <v>212</v>
      </c>
      <c r="H22" s="104"/>
      <c r="I22" s="104">
        <v>0</v>
      </c>
      <c r="J22" s="104">
        <v>0</v>
      </c>
      <c r="K22" s="111">
        <f t="shared" si="1"/>
        <v>0</v>
      </c>
    </row>
    <row r="23" spans="1:11" x14ac:dyDescent="0.35">
      <c r="A23" s="7" t="s">
        <v>194</v>
      </c>
      <c r="B23" s="74" t="s">
        <v>213</v>
      </c>
      <c r="C23" s="90">
        <v>0</v>
      </c>
      <c r="D23" s="90">
        <v>0</v>
      </c>
      <c r="E23" s="90">
        <v>0</v>
      </c>
      <c r="F23" s="91">
        <f t="shared" si="5"/>
        <v>0</v>
      </c>
      <c r="G23" s="74" t="s">
        <v>196</v>
      </c>
      <c r="H23" s="93"/>
      <c r="I23" s="93">
        <v>0</v>
      </c>
      <c r="J23" s="93">
        <v>0</v>
      </c>
      <c r="K23" s="94">
        <f t="shared" si="1"/>
        <v>0</v>
      </c>
    </row>
    <row r="24" spans="1:11" x14ac:dyDescent="0.35">
      <c r="A24" s="7" t="s">
        <v>197</v>
      </c>
      <c r="B24" s="101" t="s">
        <v>214</v>
      </c>
      <c r="C24" s="98"/>
      <c r="D24" s="98">
        <v>0</v>
      </c>
      <c r="E24" s="98">
        <v>0</v>
      </c>
      <c r="F24" s="91">
        <f t="shared" si="5"/>
        <v>0</v>
      </c>
      <c r="G24" s="101" t="s">
        <v>215</v>
      </c>
      <c r="H24" s="102">
        <f>'1. melléklet'!C57</f>
        <v>0</v>
      </c>
      <c r="I24" s="102">
        <f>'1. melléklet'!D57</f>
        <v>1241299</v>
      </c>
      <c r="J24" s="102">
        <f>'1. melléklet'!E57</f>
        <v>0</v>
      </c>
      <c r="K24" s="94">
        <f t="shared" si="1"/>
        <v>1241299</v>
      </c>
    </row>
    <row r="25" spans="1:11" x14ac:dyDescent="0.35">
      <c r="A25" s="7" t="s">
        <v>199</v>
      </c>
      <c r="B25" s="74" t="s">
        <v>216</v>
      </c>
      <c r="C25" s="90"/>
      <c r="D25" s="90">
        <v>0</v>
      </c>
      <c r="E25" s="90">
        <v>0</v>
      </c>
      <c r="F25" s="91">
        <f t="shared" si="5"/>
        <v>0</v>
      </c>
      <c r="G25" s="24" t="s">
        <v>692</v>
      </c>
      <c r="H25" s="104">
        <f>'1. melléklet'!C64</f>
        <v>28018007</v>
      </c>
      <c r="I25" s="104">
        <f>'1. melléklet'!D64</f>
        <v>0</v>
      </c>
      <c r="J25" s="104">
        <f>'1. melléklet'!E64</f>
        <v>0</v>
      </c>
      <c r="K25" s="104">
        <f>'1. melléklet'!F64</f>
        <v>28018007</v>
      </c>
    </row>
    <row r="26" spans="1:11" x14ac:dyDescent="0.35">
      <c r="A26" s="7"/>
      <c r="B26" s="52" t="s">
        <v>217</v>
      </c>
      <c r="C26" s="93"/>
      <c r="D26" s="93">
        <v>0</v>
      </c>
      <c r="E26" s="93">
        <v>0</v>
      </c>
      <c r="F26" s="91">
        <f t="shared" si="5"/>
        <v>0</v>
      </c>
      <c r="G26" s="52"/>
      <c r="H26" s="91"/>
      <c r="I26" s="113"/>
      <c r="J26" s="113"/>
      <c r="K26" s="94"/>
    </row>
    <row r="27" spans="1:11" x14ac:dyDescent="0.35">
      <c r="A27" s="7"/>
      <c r="B27" s="52" t="s">
        <v>200</v>
      </c>
      <c r="C27" s="114"/>
      <c r="D27" s="93">
        <v>0</v>
      </c>
      <c r="E27" s="93">
        <v>0</v>
      </c>
      <c r="F27" s="91">
        <f t="shared" si="5"/>
        <v>0</v>
      </c>
      <c r="G27" s="60"/>
      <c r="H27" s="104"/>
      <c r="I27" s="104"/>
      <c r="J27" s="104"/>
      <c r="K27" s="94"/>
    </row>
    <row r="28" spans="1:11" s="135" customFormat="1" x14ac:dyDescent="0.35">
      <c r="A28" s="106" t="s">
        <v>46</v>
      </c>
      <c r="B28" s="24" t="s">
        <v>218</v>
      </c>
      <c r="C28" s="10">
        <f>C16+C17</f>
        <v>64566929</v>
      </c>
      <c r="D28" s="10">
        <f t="shared" ref="D28:E28" si="7">D17+D22</f>
        <v>0</v>
      </c>
      <c r="E28" s="10">
        <f t="shared" si="7"/>
        <v>0</v>
      </c>
      <c r="F28" s="112">
        <f t="shared" si="5"/>
        <v>64566929</v>
      </c>
      <c r="G28" s="24" t="s">
        <v>219</v>
      </c>
      <c r="H28" s="10">
        <f>H5+H6</f>
        <v>17832850.899999999</v>
      </c>
      <c r="I28" s="10">
        <f t="shared" ref="I28:J28" si="8">I5+I6</f>
        <v>489261998.5</v>
      </c>
      <c r="J28" s="10">
        <f t="shared" si="8"/>
        <v>0</v>
      </c>
      <c r="K28" s="111">
        <f t="shared" si="1"/>
        <v>507094849.39999998</v>
      </c>
    </row>
    <row r="29" spans="1:11" s="135" customFormat="1" x14ac:dyDescent="0.35">
      <c r="A29" s="206" t="s">
        <v>48</v>
      </c>
      <c r="B29" s="105" t="s">
        <v>203</v>
      </c>
      <c r="C29" s="26">
        <f>C28</f>
        <v>64566929</v>
      </c>
      <c r="D29" s="26">
        <f>D16+D28</f>
        <v>359926067</v>
      </c>
      <c r="E29" s="26">
        <f>E16+E28</f>
        <v>0</v>
      </c>
      <c r="F29" s="112">
        <f t="shared" si="5"/>
        <v>424492996</v>
      </c>
      <c r="G29" s="105" t="s">
        <v>204</v>
      </c>
      <c r="H29" s="10">
        <f>H28+H16</f>
        <v>45850857.899999999</v>
      </c>
      <c r="I29" s="10">
        <f t="shared" ref="I29:J29" si="9">I28+I16</f>
        <v>490503297.5</v>
      </c>
      <c r="J29" s="10">
        <f t="shared" si="9"/>
        <v>0</v>
      </c>
      <c r="K29" s="111">
        <f t="shared" si="1"/>
        <v>536354155.39999998</v>
      </c>
    </row>
    <row r="30" spans="1:11" x14ac:dyDescent="0.35">
      <c r="A30" s="106" t="s">
        <v>50</v>
      </c>
      <c r="B30" s="54" t="s">
        <v>205</v>
      </c>
      <c r="C30" s="57"/>
      <c r="D30" s="57">
        <v>0</v>
      </c>
      <c r="E30" s="57">
        <v>0</v>
      </c>
      <c r="F30" s="91">
        <f t="shared" si="5"/>
        <v>0</v>
      </c>
      <c r="G30" s="54" t="s">
        <v>205</v>
      </c>
      <c r="H30" s="57"/>
      <c r="I30" s="115">
        <v>0</v>
      </c>
      <c r="J30" s="115">
        <v>0</v>
      </c>
      <c r="K30" s="94">
        <f t="shared" si="1"/>
        <v>0</v>
      </c>
    </row>
    <row r="31" spans="1:11" s="135" customFormat="1" x14ac:dyDescent="0.35">
      <c r="A31" s="108" t="s">
        <v>52</v>
      </c>
      <c r="B31" s="109" t="s">
        <v>206</v>
      </c>
      <c r="C31" s="26">
        <f>C29-C30</f>
        <v>64566929</v>
      </c>
      <c r="D31" s="26">
        <f t="shared" ref="D31:E31" si="10">D29-D30</f>
        <v>359926067</v>
      </c>
      <c r="E31" s="26">
        <f t="shared" si="10"/>
        <v>0</v>
      </c>
      <c r="F31" s="112">
        <f t="shared" si="5"/>
        <v>424492996</v>
      </c>
      <c r="G31" s="110" t="s">
        <v>206</v>
      </c>
      <c r="H31" s="26">
        <f>H29-H30</f>
        <v>45850857.899999999</v>
      </c>
      <c r="I31" s="26">
        <f t="shared" ref="I31:J31" si="11">I29-I30</f>
        <v>490503297.5</v>
      </c>
      <c r="J31" s="26">
        <f t="shared" si="11"/>
        <v>0</v>
      </c>
      <c r="K31" s="111">
        <f t="shared" si="1"/>
        <v>536354155.39999998</v>
      </c>
    </row>
    <row r="33" spans="3:11" x14ac:dyDescent="0.35"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3">
    <mergeCell ref="H1:K2"/>
    <mergeCell ref="A2:G2"/>
    <mergeCell ref="J3:K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opLeftCell="C1" zoomScaleNormal="100" workbookViewId="0">
      <selection activeCell="M1" sqref="M1:O2"/>
    </sheetView>
  </sheetViews>
  <sheetFormatPr defaultRowHeight="14.5" x14ac:dyDescent="0.35"/>
  <cols>
    <col min="1" max="1" width="4" bestFit="1" customWidth="1"/>
    <col min="2" max="2" width="42.81640625" bestFit="1" customWidth="1"/>
    <col min="3" max="6" width="9.81640625" bestFit="1" customWidth="1"/>
    <col min="7" max="14" width="11" bestFit="1" customWidth="1"/>
    <col min="15" max="15" width="10.453125" bestFit="1" customWidth="1"/>
    <col min="16" max="16" width="13.54296875" hidden="1" customWidth="1"/>
    <col min="17" max="17" width="14.1796875" style="189" hidden="1" customWidth="1"/>
  </cols>
  <sheetData>
    <row r="1" spans="1:17" x14ac:dyDescent="0.35">
      <c r="A1" s="345"/>
      <c r="B1" s="345"/>
      <c r="C1" s="345"/>
      <c r="D1" s="345"/>
      <c r="E1" s="345"/>
      <c r="F1" s="37"/>
      <c r="G1" s="37"/>
      <c r="H1" s="37"/>
      <c r="M1" s="351" t="s">
        <v>725</v>
      </c>
      <c r="N1" s="351"/>
      <c r="O1" s="351"/>
    </row>
    <row r="2" spans="1:17" x14ac:dyDescent="0.35">
      <c r="A2" s="345" t="s">
        <v>632</v>
      </c>
      <c r="B2" s="345"/>
      <c r="C2" s="345"/>
      <c r="D2" s="345"/>
      <c r="E2" s="345"/>
      <c r="F2" s="116"/>
      <c r="G2" s="116"/>
      <c r="H2" s="116"/>
      <c r="M2" s="351"/>
      <c r="N2" s="351"/>
      <c r="O2" s="351"/>
    </row>
    <row r="3" spans="1:17" x14ac:dyDescent="0.35">
      <c r="A3" s="1"/>
      <c r="B3" s="117"/>
      <c r="C3" s="4"/>
      <c r="D3" s="4"/>
      <c r="E3" s="4"/>
      <c r="F3" s="4"/>
      <c r="G3" s="4"/>
      <c r="H3" s="3"/>
      <c r="N3" s="352" t="s">
        <v>93</v>
      </c>
      <c r="O3" s="352"/>
    </row>
    <row r="4" spans="1:17" x14ac:dyDescent="0.35">
      <c r="A4" s="77" t="s">
        <v>100</v>
      </c>
      <c r="B4" s="118" t="s">
        <v>2</v>
      </c>
      <c r="C4" s="118" t="s">
        <v>220</v>
      </c>
      <c r="D4" s="77" t="s">
        <v>221</v>
      </c>
      <c r="E4" s="77" t="s">
        <v>222</v>
      </c>
      <c r="F4" s="77" t="s">
        <v>223</v>
      </c>
      <c r="G4" s="77" t="s">
        <v>224</v>
      </c>
      <c r="H4" s="119" t="s">
        <v>225</v>
      </c>
      <c r="I4" s="120" t="s">
        <v>226</v>
      </c>
      <c r="J4" s="120" t="s">
        <v>227</v>
      </c>
      <c r="K4" s="120" t="s">
        <v>228</v>
      </c>
      <c r="L4" s="120" t="s">
        <v>229</v>
      </c>
      <c r="M4" s="120" t="s">
        <v>230</v>
      </c>
      <c r="N4" s="120" t="s">
        <v>231</v>
      </c>
      <c r="O4" s="120" t="s">
        <v>232</v>
      </c>
    </row>
    <row r="5" spans="1:17" x14ac:dyDescent="0.35">
      <c r="A5" s="7" t="s">
        <v>4</v>
      </c>
      <c r="B5" s="8" t="s">
        <v>5</v>
      </c>
      <c r="C5" s="9">
        <v>64691089</v>
      </c>
      <c r="D5" s="9">
        <v>64691089</v>
      </c>
      <c r="E5" s="9">
        <v>64691089</v>
      </c>
      <c r="F5" s="9">
        <v>64691089</v>
      </c>
      <c r="G5" s="9">
        <v>64691089</v>
      </c>
      <c r="H5" s="9">
        <v>64691089</v>
      </c>
      <c r="I5" s="9">
        <v>64691089</v>
      </c>
      <c r="J5" s="9">
        <v>64691089</v>
      </c>
      <c r="K5" s="9">
        <v>64691089</v>
      </c>
      <c r="L5" s="9">
        <v>64691089</v>
      </c>
      <c r="M5" s="9">
        <v>64691089</v>
      </c>
      <c r="N5" s="9">
        <v>64691087</v>
      </c>
      <c r="O5" s="26">
        <f t="shared" ref="O5:O33" si="0">SUM(C5:N5)</f>
        <v>776293066</v>
      </c>
      <c r="P5" s="11">
        <f>'1. melléklet'!F5</f>
        <v>776293066</v>
      </c>
      <c r="Q5" s="189">
        <f>P5/12</f>
        <v>64691088.833333336</v>
      </c>
    </row>
    <row r="6" spans="1:17" x14ac:dyDescent="0.35">
      <c r="A6" s="7" t="s">
        <v>6</v>
      </c>
      <c r="B6" s="8" t="s">
        <v>7</v>
      </c>
      <c r="C6" s="9">
        <v>3012542</v>
      </c>
      <c r="D6" s="9">
        <v>3012542</v>
      </c>
      <c r="E6" s="9">
        <v>3012542</v>
      </c>
      <c r="F6" s="9">
        <v>3012542</v>
      </c>
      <c r="G6" s="9">
        <v>3012542</v>
      </c>
      <c r="H6" s="9">
        <v>3012542</v>
      </c>
      <c r="I6" s="9">
        <v>3012542</v>
      </c>
      <c r="J6" s="9">
        <v>3012542</v>
      </c>
      <c r="K6" s="9">
        <v>3012542</v>
      </c>
      <c r="L6" s="9">
        <v>3012542</v>
      </c>
      <c r="M6" s="9">
        <v>3012542</v>
      </c>
      <c r="N6" s="9">
        <v>3012540</v>
      </c>
      <c r="O6" s="26">
        <f t="shared" si="0"/>
        <v>36150502</v>
      </c>
      <c r="P6" s="11">
        <f>'1. melléklet'!F6</f>
        <v>36150502</v>
      </c>
      <c r="Q6" s="189">
        <f t="shared" ref="Q6:Q34" si="1">P6/12</f>
        <v>3012541.8333333335</v>
      </c>
    </row>
    <row r="7" spans="1:17" x14ac:dyDescent="0.35">
      <c r="A7" s="7" t="s">
        <v>8</v>
      </c>
      <c r="B7" s="8" t="s">
        <v>9</v>
      </c>
      <c r="C7" s="9">
        <v>3012542</v>
      </c>
      <c r="D7" s="9">
        <v>3012542</v>
      </c>
      <c r="E7" s="9">
        <v>3012542</v>
      </c>
      <c r="F7" s="9">
        <v>3012542</v>
      </c>
      <c r="G7" s="9">
        <v>3012542</v>
      </c>
      <c r="H7" s="9">
        <v>3012542</v>
      </c>
      <c r="I7" s="9">
        <v>3012542</v>
      </c>
      <c r="J7" s="9">
        <v>3012542</v>
      </c>
      <c r="K7" s="9">
        <v>3012542</v>
      </c>
      <c r="L7" s="9">
        <v>3012542</v>
      </c>
      <c r="M7" s="9">
        <v>3012542</v>
      </c>
      <c r="N7" s="9">
        <v>3012540</v>
      </c>
      <c r="O7" s="26">
        <f t="shared" si="0"/>
        <v>36150502</v>
      </c>
      <c r="P7" s="11">
        <f>'1. melléklet'!F7</f>
        <v>36150502</v>
      </c>
      <c r="Q7" s="189">
        <f t="shared" si="1"/>
        <v>3012541.8333333335</v>
      </c>
    </row>
    <row r="8" spans="1:17" x14ac:dyDescent="0.35">
      <c r="A8" s="7" t="s">
        <v>10</v>
      </c>
      <c r="B8" s="8" t="s">
        <v>11</v>
      </c>
      <c r="C8" s="9">
        <v>2279500</v>
      </c>
      <c r="D8" s="9">
        <v>2279500</v>
      </c>
      <c r="E8" s="9">
        <v>2279500</v>
      </c>
      <c r="F8" s="9">
        <v>2279500</v>
      </c>
      <c r="G8" s="9">
        <v>2279500</v>
      </c>
      <c r="H8" s="9">
        <v>2279500</v>
      </c>
      <c r="I8" s="9">
        <v>2279500</v>
      </c>
      <c r="J8" s="9">
        <v>2279500</v>
      </c>
      <c r="K8" s="9">
        <v>2279500</v>
      </c>
      <c r="L8" s="9">
        <v>2279500</v>
      </c>
      <c r="M8" s="9">
        <v>2279500</v>
      </c>
      <c r="N8" s="9">
        <v>2279500</v>
      </c>
      <c r="O8" s="26">
        <f t="shared" si="0"/>
        <v>27354000</v>
      </c>
      <c r="P8" s="11">
        <f>'1. melléklet'!F8</f>
        <v>27354000</v>
      </c>
      <c r="Q8" s="189">
        <f t="shared" si="1"/>
        <v>2279500</v>
      </c>
    </row>
    <row r="9" spans="1:17" x14ac:dyDescent="0.35">
      <c r="A9" s="7" t="s">
        <v>12</v>
      </c>
      <c r="B9" s="8" t="s">
        <v>13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26">
        <f t="shared" si="0"/>
        <v>0</v>
      </c>
      <c r="P9" s="11">
        <f>'1. melléklet'!F9</f>
        <v>0</v>
      </c>
      <c r="Q9" s="189">
        <f t="shared" si="1"/>
        <v>0</v>
      </c>
    </row>
    <row r="10" spans="1:17" x14ac:dyDescent="0.35">
      <c r="A10" s="7" t="s">
        <v>14</v>
      </c>
      <c r="B10" s="8" t="s">
        <v>15</v>
      </c>
      <c r="C10" s="9">
        <v>733042</v>
      </c>
      <c r="D10" s="9">
        <v>733042</v>
      </c>
      <c r="E10" s="9">
        <v>733042</v>
      </c>
      <c r="F10" s="9">
        <v>733042</v>
      </c>
      <c r="G10" s="9">
        <v>733042</v>
      </c>
      <c r="H10" s="9">
        <v>733042</v>
      </c>
      <c r="I10" s="9">
        <v>733042</v>
      </c>
      <c r="J10" s="9">
        <v>733042</v>
      </c>
      <c r="K10" s="9">
        <v>733042</v>
      </c>
      <c r="L10" s="9">
        <v>733042</v>
      </c>
      <c r="M10" s="9">
        <v>733042</v>
      </c>
      <c r="N10" s="9">
        <v>733040</v>
      </c>
      <c r="O10" s="26">
        <f t="shared" si="0"/>
        <v>8796502</v>
      </c>
      <c r="P10" s="11">
        <f>'1. melléklet'!F10</f>
        <v>8796502</v>
      </c>
      <c r="Q10" s="189">
        <f t="shared" si="1"/>
        <v>733041.83333333337</v>
      </c>
    </row>
    <row r="11" spans="1:17" x14ac:dyDescent="0.35">
      <c r="A11" s="7" t="s">
        <v>16</v>
      </c>
      <c r="B11" s="8" t="s">
        <v>17</v>
      </c>
      <c r="C11" s="9">
        <v>29993839</v>
      </c>
      <c r="D11" s="9">
        <v>29993839</v>
      </c>
      <c r="E11" s="9">
        <v>29993839</v>
      </c>
      <c r="F11" s="9">
        <v>29993839</v>
      </c>
      <c r="G11" s="9">
        <v>29993839</v>
      </c>
      <c r="H11" s="9">
        <v>29993839</v>
      </c>
      <c r="I11" s="9">
        <v>29993839</v>
      </c>
      <c r="J11" s="9">
        <v>29993839</v>
      </c>
      <c r="K11" s="9">
        <v>29993839</v>
      </c>
      <c r="L11" s="9">
        <v>29993839</v>
      </c>
      <c r="M11" s="9">
        <v>29993839</v>
      </c>
      <c r="N11" s="9">
        <v>29993837</v>
      </c>
      <c r="O11" s="26">
        <f t="shared" si="0"/>
        <v>359926066</v>
      </c>
      <c r="P11" s="11">
        <f>'1. melléklet'!F11</f>
        <v>359926067</v>
      </c>
      <c r="Q11" s="189">
        <f t="shared" si="1"/>
        <v>29993838.916666668</v>
      </c>
    </row>
    <row r="12" spans="1:17" x14ac:dyDescent="0.35">
      <c r="A12" s="7" t="s">
        <v>18</v>
      </c>
      <c r="B12" s="8" t="s">
        <v>19</v>
      </c>
      <c r="C12" s="9">
        <f>SUM(C13:C19)</f>
        <v>8373417</v>
      </c>
      <c r="D12" s="9">
        <f t="shared" ref="D12:N12" si="2">SUM(D13:D19)</f>
        <v>8373417</v>
      </c>
      <c r="E12" s="9">
        <f t="shared" si="2"/>
        <v>235223417</v>
      </c>
      <c r="F12" s="9">
        <f t="shared" si="2"/>
        <v>8373417</v>
      </c>
      <c r="G12" s="9">
        <f t="shared" si="2"/>
        <v>8373417</v>
      </c>
      <c r="H12" s="9">
        <f t="shared" si="2"/>
        <v>8373417</v>
      </c>
      <c r="I12" s="9">
        <f t="shared" si="2"/>
        <v>8373417</v>
      </c>
      <c r="J12" s="9">
        <f t="shared" si="2"/>
        <v>8373417</v>
      </c>
      <c r="K12" s="9">
        <f t="shared" si="2"/>
        <v>157542417</v>
      </c>
      <c r="L12" s="9">
        <f t="shared" si="2"/>
        <v>8373417</v>
      </c>
      <c r="M12" s="9">
        <f t="shared" si="2"/>
        <v>8373417</v>
      </c>
      <c r="N12" s="9">
        <f t="shared" si="2"/>
        <v>36873413</v>
      </c>
      <c r="O12" s="9">
        <f>SUM(C12:N12)</f>
        <v>505000000</v>
      </c>
      <c r="P12" s="11">
        <f>'1. melléklet'!F12</f>
        <v>505000000</v>
      </c>
      <c r="Q12" s="189">
        <f t="shared" si="1"/>
        <v>42083333.333333336</v>
      </c>
    </row>
    <row r="13" spans="1:17" x14ac:dyDescent="0.35">
      <c r="A13" s="7"/>
      <c r="B13" s="8" t="s">
        <v>20</v>
      </c>
      <c r="C13" s="9">
        <v>800000</v>
      </c>
      <c r="D13" s="9">
        <v>800000</v>
      </c>
      <c r="E13" s="9">
        <v>25000000</v>
      </c>
      <c r="F13" s="9">
        <v>800000</v>
      </c>
      <c r="G13" s="9">
        <v>800000</v>
      </c>
      <c r="H13" s="9">
        <v>800000</v>
      </c>
      <c r="I13" s="9">
        <v>800000</v>
      </c>
      <c r="J13" s="9">
        <v>800000</v>
      </c>
      <c r="K13" s="9">
        <v>25045000</v>
      </c>
      <c r="L13" s="9">
        <v>800000</v>
      </c>
      <c r="M13" s="9">
        <v>800000</v>
      </c>
      <c r="N13" s="9">
        <v>800000</v>
      </c>
      <c r="O13" s="26">
        <f t="shared" si="0"/>
        <v>58045000</v>
      </c>
      <c r="P13" s="11">
        <f>'1. melléklet'!F13</f>
        <v>58045000</v>
      </c>
      <c r="Q13" s="189">
        <f t="shared" si="1"/>
        <v>4837083.333333333</v>
      </c>
    </row>
    <row r="14" spans="1:17" x14ac:dyDescent="0.35">
      <c r="A14" s="7"/>
      <c r="B14" s="8" t="s">
        <v>21</v>
      </c>
      <c r="C14" s="9">
        <v>100000</v>
      </c>
      <c r="D14" s="9">
        <v>100000</v>
      </c>
      <c r="E14" s="9">
        <v>5000000</v>
      </c>
      <c r="F14" s="9">
        <v>100000</v>
      </c>
      <c r="G14" s="9">
        <v>100000</v>
      </c>
      <c r="H14" s="9">
        <v>100000</v>
      </c>
      <c r="I14" s="9">
        <v>100000</v>
      </c>
      <c r="J14" s="9">
        <v>100000</v>
      </c>
      <c r="K14" s="9">
        <v>5542000</v>
      </c>
      <c r="L14" s="9">
        <v>100000</v>
      </c>
      <c r="M14" s="9">
        <v>100000</v>
      </c>
      <c r="N14" s="9">
        <v>100000</v>
      </c>
      <c r="O14" s="26">
        <f t="shared" si="0"/>
        <v>11542000</v>
      </c>
      <c r="P14" s="11">
        <f>'1. melléklet'!F14</f>
        <v>11542000</v>
      </c>
      <c r="Q14" s="189">
        <f t="shared" si="1"/>
        <v>961833.33333333337</v>
      </c>
    </row>
    <row r="15" spans="1:17" x14ac:dyDescent="0.35">
      <c r="A15" s="7"/>
      <c r="B15" s="8" t="s">
        <v>22</v>
      </c>
      <c r="C15" s="9">
        <v>1500000</v>
      </c>
      <c r="D15" s="9">
        <v>1500000</v>
      </c>
      <c r="E15" s="9">
        <v>170000000</v>
      </c>
      <c r="F15" s="9">
        <v>1500000</v>
      </c>
      <c r="G15" s="9">
        <v>1500000</v>
      </c>
      <c r="H15" s="9">
        <v>1500000</v>
      </c>
      <c r="I15" s="9">
        <v>1500000</v>
      </c>
      <c r="J15" s="9">
        <v>1500000</v>
      </c>
      <c r="K15" s="9">
        <v>102125000</v>
      </c>
      <c r="L15" s="9">
        <v>1500000</v>
      </c>
      <c r="M15" s="9">
        <v>1500000</v>
      </c>
      <c r="N15" s="9">
        <v>30000000</v>
      </c>
      <c r="O15" s="26">
        <f t="shared" si="0"/>
        <v>315625000</v>
      </c>
      <c r="P15" s="11">
        <f>'1. melléklet'!F15</f>
        <v>315625000</v>
      </c>
      <c r="Q15" s="189">
        <f t="shared" si="1"/>
        <v>26302083.333333332</v>
      </c>
    </row>
    <row r="16" spans="1:17" x14ac:dyDescent="0.35">
      <c r="A16" s="7"/>
      <c r="B16" s="8" t="s">
        <v>23</v>
      </c>
      <c r="C16" s="9">
        <v>3846667</v>
      </c>
      <c r="D16" s="9">
        <v>3846667</v>
      </c>
      <c r="E16" s="9">
        <v>3846667</v>
      </c>
      <c r="F16" s="9">
        <v>3846667</v>
      </c>
      <c r="G16" s="9">
        <v>3846667</v>
      </c>
      <c r="H16" s="9">
        <v>3846667</v>
      </c>
      <c r="I16" s="9">
        <v>3846667</v>
      </c>
      <c r="J16" s="9">
        <v>3846667</v>
      </c>
      <c r="K16" s="9">
        <v>3846667</v>
      </c>
      <c r="L16" s="9">
        <v>3846667</v>
      </c>
      <c r="M16" s="9">
        <v>3846667</v>
      </c>
      <c r="N16" s="9">
        <v>3846663</v>
      </c>
      <c r="O16" s="26">
        <f t="shared" si="0"/>
        <v>46160000</v>
      </c>
      <c r="P16" s="11">
        <f>'1. melléklet'!F16</f>
        <v>46160000</v>
      </c>
      <c r="Q16" s="189">
        <f t="shared" si="1"/>
        <v>3846666.6666666665</v>
      </c>
    </row>
    <row r="17" spans="1:17" x14ac:dyDescent="0.35">
      <c r="A17" s="7"/>
      <c r="B17" s="8" t="s">
        <v>260</v>
      </c>
      <c r="C17" s="9">
        <v>1500000</v>
      </c>
      <c r="D17" s="9">
        <v>1500000</v>
      </c>
      <c r="E17" s="9">
        <v>30000000</v>
      </c>
      <c r="F17" s="9">
        <v>1500000</v>
      </c>
      <c r="G17" s="9">
        <v>1500000</v>
      </c>
      <c r="H17" s="9">
        <v>1500000</v>
      </c>
      <c r="I17" s="9">
        <v>1500000</v>
      </c>
      <c r="J17" s="9">
        <v>1500000</v>
      </c>
      <c r="K17" s="9">
        <v>19740000</v>
      </c>
      <c r="L17" s="9">
        <v>1500000</v>
      </c>
      <c r="M17" s="9">
        <v>1500000</v>
      </c>
      <c r="N17" s="9">
        <v>1500000</v>
      </c>
      <c r="O17" s="26">
        <f t="shared" si="0"/>
        <v>64740000</v>
      </c>
      <c r="P17" s="11">
        <f>'1. melléklet'!F17</f>
        <v>64740000</v>
      </c>
      <c r="Q17" s="189">
        <f t="shared" si="1"/>
        <v>5395000</v>
      </c>
    </row>
    <row r="18" spans="1:17" x14ac:dyDescent="0.35">
      <c r="A18" s="7"/>
      <c r="B18" s="8" t="s">
        <v>261</v>
      </c>
      <c r="C18" s="9">
        <v>50000</v>
      </c>
      <c r="D18" s="9">
        <v>50000</v>
      </c>
      <c r="E18" s="9">
        <v>800000</v>
      </c>
      <c r="F18" s="9">
        <v>50000</v>
      </c>
      <c r="G18" s="9">
        <v>50000</v>
      </c>
      <c r="H18" s="9">
        <v>50000</v>
      </c>
      <c r="I18" s="9">
        <v>50000</v>
      </c>
      <c r="J18" s="9">
        <v>50000</v>
      </c>
      <c r="K18" s="9">
        <v>667000</v>
      </c>
      <c r="L18" s="9">
        <v>50000</v>
      </c>
      <c r="M18" s="9">
        <v>50000</v>
      </c>
      <c r="N18" s="9">
        <v>50000</v>
      </c>
      <c r="O18" s="26">
        <f t="shared" si="0"/>
        <v>1967000</v>
      </c>
      <c r="P18" s="11">
        <f>'1. melléklet'!F18</f>
        <v>1967000</v>
      </c>
      <c r="Q18" s="189">
        <f t="shared" si="1"/>
        <v>163916.66666666666</v>
      </c>
    </row>
    <row r="19" spans="1:17" x14ac:dyDescent="0.35">
      <c r="A19" s="7"/>
      <c r="B19" s="8" t="s">
        <v>262</v>
      </c>
      <c r="C19" s="9">
        <v>576750</v>
      </c>
      <c r="D19" s="9">
        <v>576750</v>
      </c>
      <c r="E19" s="9">
        <v>576750</v>
      </c>
      <c r="F19" s="9">
        <v>576750</v>
      </c>
      <c r="G19" s="9">
        <v>576750</v>
      </c>
      <c r="H19" s="9">
        <v>576750</v>
      </c>
      <c r="I19" s="9">
        <v>576750</v>
      </c>
      <c r="J19" s="9">
        <v>576750</v>
      </c>
      <c r="K19" s="9">
        <v>576750</v>
      </c>
      <c r="L19" s="9">
        <v>576750</v>
      </c>
      <c r="M19" s="9">
        <v>576750</v>
      </c>
      <c r="N19" s="9">
        <v>576750</v>
      </c>
      <c r="O19" s="26">
        <f t="shared" si="0"/>
        <v>6921000</v>
      </c>
      <c r="P19" s="11">
        <f>'1. melléklet'!F19</f>
        <v>6921000</v>
      </c>
      <c r="Q19" s="189">
        <f t="shared" si="1"/>
        <v>576750</v>
      </c>
    </row>
    <row r="20" spans="1:17" x14ac:dyDescent="0.35">
      <c r="A20" s="7" t="s">
        <v>24</v>
      </c>
      <c r="B20" s="8" t="s">
        <v>25</v>
      </c>
      <c r="C20" s="9">
        <v>37468254</v>
      </c>
      <c r="D20" s="9">
        <v>37468254</v>
      </c>
      <c r="E20" s="9">
        <v>37468254</v>
      </c>
      <c r="F20" s="9">
        <v>37738254</v>
      </c>
      <c r="G20" s="9">
        <v>37468254</v>
      </c>
      <c r="H20" s="9">
        <v>37468254</v>
      </c>
      <c r="I20" s="9">
        <v>37468254</v>
      </c>
      <c r="J20" s="9">
        <v>37468254</v>
      </c>
      <c r="K20" s="9">
        <v>37468254</v>
      </c>
      <c r="L20" s="9">
        <v>37468254</v>
      </c>
      <c r="M20" s="9">
        <v>37468254</v>
      </c>
      <c r="N20" s="9">
        <v>37468255</v>
      </c>
      <c r="O20" s="26">
        <f t="shared" si="0"/>
        <v>449889049</v>
      </c>
      <c r="P20" s="11">
        <f>'1. melléklet'!F20</f>
        <v>449889048.11000001</v>
      </c>
      <c r="Q20" s="189">
        <f t="shared" si="1"/>
        <v>37490754.009166665</v>
      </c>
    </row>
    <row r="21" spans="1:17" x14ac:dyDescent="0.35">
      <c r="A21" s="7" t="s">
        <v>26</v>
      </c>
      <c r="B21" s="8" t="s">
        <v>27</v>
      </c>
      <c r="C21" s="9">
        <v>5380577</v>
      </c>
      <c r="D21" s="9">
        <v>5380577</v>
      </c>
      <c r="E21" s="9">
        <v>5380577</v>
      </c>
      <c r="F21" s="9">
        <v>5380577</v>
      </c>
      <c r="G21" s="9">
        <v>5380577</v>
      </c>
      <c r="H21" s="9">
        <v>5380577</v>
      </c>
      <c r="I21" s="9">
        <v>5380577</v>
      </c>
      <c r="J21" s="9">
        <v>5380577</v>
      </c>
      <c r="K21" s="9">
        <v>5380577</v>
      </c>
      <c r="L21" s="9">
        <v>5380577</v>
      </c>
      <c r="M21" s="9">
        <v>5380577</v>
      </c>
      <c r="N21" s="9">
        <v>5380582</v>
      </c>
      <c r="O21" s="26">
        <f t="shared" si="0"/>
        <v>64566929</v>
      </c>
      <c r="P21" s="11">
        <f>'1. melléklet'!F21</f>
        <v>64566929</v>
      </c>
      <c r="Q21" s="189">
        <f t="shared" si="1"/>
        <v>5380577.416666667</v>
      </c>
    </row>
    <row r="22" spans="1:17" x14ac:dyDescent="0.35">
      <c r="A22" s="7" t="s">
        <v>28</v>
      </c>
      <c r="B22" s="8" t="s">
        <v>29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26">
        <f t="shared" si="0"/>
        <v>0</v>
      </c>
      <c r="P22" s="11">
        <f>'1. melléklet'!F22</f>
        <v>0</v>
      </c>
      <c r="Q22" s="189">
        <f t="shared" si="1"/>
        <v>0</v>
      </c>
    </row>
    <row r="23" spans="1:17" x14ac:dyDescent="0.35">
      <c r="A23" s="7" t="s">
        <v>30</v>
      </c>
      <c r="B23" s="8" t="s">
        <v>31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26">
        <f t="shared" si="0"/>
        <v>0</v>
      </c>
      <c r="P23" s="11">
        <f>'1. melléklet'!F23</f>
        <v>0</v>
      </c>
      <c r="Q23" s="189">
        <f t="shared" si="1"/>
        <v>0</v>
      </c>
    </row>
    <row r="24" spans="1:17" x14ac:dyDescent="0.35">
      <c r="A24" s="12" t="s">
        <v>32</v>
      </c>
      <c r="B24" s="13" t="s">
        <v>33</v>
      </c>
      <c r="C24" s="9">
        <f>C5+C6+C11+C12+C20+C21+C22+C23</f>
        <v>148919718</v>
      </c>
      <c r="D24" s="9">
        <f t="shared" ref="D24:N24" si="3">D5+D6+D11+D12+D20+D21+D22+D23</f>
        <v>148919718</v>
      </c>
      <c r="E24" s="9">
        <f t="shared" si="3"/>
        <v>375769718</v>
      </c>
      <c r="F24" s="9">
        <f t="shared" si="3"/>
        <v>149189718</v>
      </c>
      <c r="G24" s="9">
        <f t="shared" si="3"/>
        <v>148919718</v>
      </c>
      <c r="H24" s="9">
        <f t="shared" si="3"/>
        <v>148919718</v>
      </c>
      <c r="I24" s="9">
        <f t="shared" si="3"/>
        <v>148919718</v>
      </c>
      <c r="J24" s="9">
        <f t="shared" si="3"/>
        <v>148919718</v>
      </c>
      <c r="K24" s="9">
        <f t="shared" si="3"/>
        <v>298088718</v>
      </c>
      <c r="L24" s="9">
        <f t="shared" si="3"/>
        <v>148919718</v>
      </c>
      <c r="M24" s="9">
        <f t="shared" si="3"/>
        <v>148919718</v>
      </c>
      <c r="N24" s="9">
        <f t="shared" si="3"/>
        <v>177419714</v>
      </c>
      <c r="O24" s="26">
        <f>SUM(C24:N24)</f>
        <v>2191825612</v>
      </c>
      <c r="P24" s="11">
        <f>'1. melléklet'!F24</f>
        <v>2191825612.1100001</v>
      </c>
      <c r="Q24" s="189">
        <f t="shared" si="1"/>
        <v>182652134.3425</v>
      </c>
    </row>
    <row r="25" spans="1:17" x14ac:dyDescent="0.35">
      <c r="A25" s="7" t="s">
        <v>34</v>
      </c>
      <c r="B25" s="8" t="s">
        <v>35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120000000</v>
      </c>
      <c r="O25" s="26">
        <f t="shared" si="0"/>
        <v>120000000</v>
      </c>
      <c r="P25" s="11">
        <f>'1. melléklet'!F25</f>
        <v>120000000</v>
      </c>
      <c r="Q25" s="189">
        <f t="shared" si="1"/>
        <v>10000000</v>
      </c>
    </row>
    <row r="26" spans="1:17" x14ac:dyDescent="0.35">
      <c r="A26" s="7" t="s">
        <v>36</v>
      </c>
      <c r="B26" s="8" t="s">
        <v>37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35">
        <v>0</v>
      </c>
      <c r="O26" s="26">
        <f t="shared" si="0"/>
        <v>0</v>
      </c>
      <c r="P26" s="11">
        <f>'1. melléklet'!F26</f>
        <v>0</v>
      </c>
      <c r="Q26" s="189">
        <f t="shared" si="1"/>
        <v>0</v>
      </c>
    </row>
    <row r="27" spans="1:17" x14ac:dyDescent="0.35">
      <c r="A27" s="7" t="s">
        <v>38</v>
      </c>
      <c r="B27" s="8" t="s">
        <v>39</v>
      </c>
      <c r="C27" s="9">
        <v>175783880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26">
        <f t="shared" si="0"/>
        <v>175783880</v>
      </c>
      <c r="P27" s="11">
        <f>'1. melléklet'!F27</f>
        <v>175783880</v>
      </c>
      <c r="Q27" s="189">
        <f t="shared" si="1"/>
        <v>14648656.666666666</v>
      </c>
    </row>
    <row r="28" spans="1:17" x14ac:dyDescent="0.35">
      <c r="A28" s="7" t="s">
        <v>40</v>
      </c>
      <c r="B28" s="8" t="s">
        <v>41</v>
      </c>
      <c r="C28" s="9">
        <v>58739687</v>
      </c>
      <c r="D28" s="9">
        <v>58739687</v>
      </c>
      <c r="E28" s="9">
        <v>58739687</v>
      </c>
      <c r="F28" s="9">
        <v>58739687</v>
      </c>
      <c r="G28" s="9">
        <v>58739687</v>
      </c>
      <c r="H28" s="9">
        <v>58739687</v>
      </c>
      <c r="I28" s="9">
        <v>58739687</v>
      </c>
      <c r="J28" s="9">
        <v>58739687</v>
      </c>
      <c r="K28" s="9">
        <v>58739687</v>
      </c>
      <c r="L28" s="9">
        <v>58739687</v>
      </c>
      <c r="M28" s="9">
        <v>58739687</v>
      </c>
      <c r="N28" s="9">
        <v>58739683</v>
      </c>
      <c r="O28" s="26">
        <f t="shared" si="0"/>
        <v>704876240</v>
      </c>
      <c r="P28" s="11">
        <f>'1. melléklet'!F28</f>
        <v>704876239.73000002</v>
      </c>
      <c r="Q28" s="189">
        <f t="shared" si="1"/>
        <v>58739686.644166671</v>
      </c>
    </row>
    <row r="29" spans="1:17" x14ac:dyDescent="0.35">
      <c r="A29" s="7"/>
      <c r="B29" s="8" t="s">
        <v>42</v>
      </c>
      <c r="C29" s="9">
        <v>58739687</v>
      </c>
      <c r="D29" s="9">
        <v>58739687</v>
      </c>
      <c r="E29" s="9">
        <v>58739687</v>
      </c>
      <c r="F29" s="9">
        <v>58739687</v>
      </c>
      <c r="G29" s="9">
        <v>58739687</v>
      </c>
      <c r="H29" s="9">
        <v>58739687</v>
      </c>
      <c r="I29" s="9">
        <v>58739687</v>
      </c>
      <c r="J29" s="9">
        <v>58739687</v>
      </c>
      <c r="K29" s="9">
        <v>58739687</v>
      </c>
      <c r="L29" s="9">
        <v>58739687</v>
      </c>
      <c r="M29" s="9">
        <v>58739687</v>
      </c>
      <c r="N29" s="9">
        <v>58739683</v>
      </c>
      <c r="O29" s="26">
        <f t="shared" si="0"/>
        <v>704876240</v>
      </c>
      <c r="P29" s="11">
        <f>'1. melléklet'!F29</f>
        <v>704876239.73000002</v>
      </c>
      <c r="Q29" s="189">
        <f t="shared" si="1"/>
        <v>58739686.644166671</v>
      </c>
    </row>
    <row r="30" spans="1:17" x14ac:dyDescent="0.35">
      <c r="A30" s="7" t="s">
        <v>44</v>
      </c>
      <c r="B30" s="8" t="s">
        <v>45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26">
        <f t="shared" si="0"/>
        <v>0</v>
      </c>
      <c r="P30" s="11">
        <f>'1. melléklet'!F30</f>
        <v>0</v>
      </c>
      <c r="Q30" s="189">
        <f t="shared" si="1"/>
        <v>0</v>
      </c>
    </row>
    <row r="31" spans="1:17" x14ac:dyDescent="0.35">
      <c r="A31" s="7" t="s">
        <v>46</v>
      </c>
      <c r="B31" s="8" t="s">
        <v>47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26">
        <f t="shared" si="0"/>
        <v>0</v>
      </c>
      <c r="P31" s="11">
        <f>'1. melléklet'!F31</f>
        <v>0</v>
      </c>
      <c r="Q31" s="189">
        <f t="shared" si="1"/>
        <v>0</v>
      </c>
    </row>
    <row r="32" spans="1:17" x14ac:dyDescent="0.35">
      <c r="A32" s="7" t="s">
        <v>48</v>
      </c>
      <c r="B32" s="13" t="s">
        <v>49</v>
      </c>
      <c r="C32" s="9">
        <f>C25+C28+C27</f>
        <v>234523567</v>
      </c>
      <c r="D32" s="9">
        <f t="shared" ref="D32:N32" si="4">D25+D28+D27</f>
        <v>58739687</v>
      </c>
      <c r="E32" s="9">
        <f t="shared" si="4"/>
        <v>58739687</v>
      </c>
      <c r="F32" s="9">
        <f t="shared" si="4"/>
        <v>58739687</v>
      </c>
      <c r="G32" s="9">
        <f t="shared" si="4"/>
        <v>58739687</v>
      </c>
      <c r="H32" s="9">
        <f t="shared" si="4"/>
        <v>58739687</v>
      </c>
      <c r="I32" s="9">
        <f t="shared" si="4"/>
        <v>58739687</v>
      </c>
      <c r="J32" s="9">
        <f t="shared" si="4"/>
        <v>58739687</v>
      </c>
      <c r="K32" s="9">
        <f t="shared" si="4"/>
        <v>58739687</v>
      </c>
      <c r="L32" s="9">
        <f t="shared" si="4"/>
        <v>58739687</v>
      </c>
      <c r="M32" s="9">
        <f t="shared" si="4"/>
        <v>58739687</v>
      </c>
      <c r="N32" s="9">
        <f t="shared" si="4"/>
        <v>178739683</v>
      </c>
      <c r="O32" s="26">
        <f t="shared" si="0"/>
        <v>1000660120</v>
      </c>
      <c r="P32" s="11">
        <f>'1. melléklet'!F33</f>
        <v>1000660119.73</v>
      </c>
      <c r="Q32" s="189">
        <f t="shared" si="1"/>
        <v>83388343.310833335</v>
      </c>
    </row>
    <row r="33" spans="1:17" x14ac:dyDescent="0.35">
      <c r="A33" s="7" t="s">
        <v>50</v>
      </c>
      <c r="B33" s="13" t="s">
        <v>51</v>
      </c>
      <c r="C33" s="9">
        <f>C24+C32</f>
        <v>383443285</v>
      </c>
      <c r="D33" s="9">
        <f t="shared" ref="D33:N33" si="5">D24+D32</f>
        <v>207659405</v>
      </c>
      <c r="E33" s="9">
        <f t="shared" si="5"/>
        <v>434509405</v>
      </c>
      <c r="F33" s="9">
        <f t="shared" si="5"/>
        <v>207929405</v>
      </c>
      <c r="G33" s="9">
        <f t="shared" si="5"/>
        <v>207659405</v>
      </c>
      <c r="H33" s="9">
        <f t="shared" si="5"/>
        <v>207659405</v>
      </c>
      <c r="I33" s="9">
        <f t="shared" si="5"/>
        <v>207659405</v>
      </c>
      <c r="J33" s="9">
        <f t="shared" si="5"/>
        <v>207659405</v>
      </c>
      <c r="K33" s="9">
        <f t="shared" si="5"/>
        <v>356828405</v>
      </c>
      <c r="L33" s="9">
        <f t="shared" si="5"/>
        <v>207659405</v>
      </c>
      <c r="M33" s="9">
        <f t="shared" si="5"/>
        <v>207659405</v>
      </c>
      <c r="N33" s="9">
        <f t="shared" si="5"/>
        <v>356159397</v>
      </c>
      <c r="O33" s="26">
        <f t="shared" si="0"/>
        <v>3192485732</v>
      </c>
      <c r="P33" s="11">
        <f>'1. melléklet'!F37</f>
        <v>2487609492.1100001</v>
      </c>
      <c r="Q33" s="189">
        <f t="shared" si="1"/>
        <v>207300791.00916669</v>
      </c>
    </row>
    <row r="34" spans="1:17" x14ac:dyDescent="0.35">
      <c r="A34" s="7"/>
      <c r="B34" s="121" t="s">
        <v>623</v>
      </c>
      <c r="C34" s="122">
        <f>C28</f>
        <v>58739687</v>
      </c>
      <c r="D34" s="122">
        <f t="shared" ref="D34:N34" si="6">D28</f>
        <v>58739687</v>
      </c>
      <c r="E34" s="122">
        <f t="shared" si="6"/>
        <v>58739687</v>
      </c>
      <c r="F34" s="122">
        <f t="shared" si="6"/>
        <v>58739687</v>
      </c>
      <c r="G34" s="122">
        <f t="shared" si="6"/>
        <v>58739687</v>
      </c>
      <c r="H34" s="122">
        <f t="shared" si="6"/>
        <v>58739687</v>
      </c>
      <c r="I34" s="122">
        <f t="shared" si="6"/>
        <v>58739687</v>
      </c>
      <c r="J34" s="122">
        <f t="shared" si="6"/>
        <v>58739687</v>
      </c>
      <c r="K34" s="122">
        <f t="shared" si="6"/>
        <v>58739687</v>
      </c>
      <c r="L34" s="122">
        <f t="shared" si="6"/>
        <v>58739687</v>
      </c>
      <c r="M34" s="122">
        <f t="shared" si="6"/>
        <v>58739687</v>
      </c>
      <c r="N34" s="122">
        <f t="shared" si="6"/>
        <v>58739683</v>
      </c>
      <c r="O34" s="123">
        <f>SUM(C34:N34)</f>
        <v>704876240</v>
      </c>
      <c r="Q34" s="189">
        <f t="shared" si="1"/>
        <v>0</v>
      </c>
    </row>
    <row r="35" spans="1:17" x14ac:dyDescent="0.35">
      <c r="A35" s="7"/>
      <c r="B35" s="121" t="s">
        <v>676</v>
      </c>
      <c r="C35" s="122">
        <f>+C33-C34</f>
        <v>324703598</v>
      </c>
      <c r="D35" s="122">
        <f>+C35+D33-D34</f>
        <v>473623316</v>
      </c>
      <c r="E35" s="122">
        <f t="shared" ref="E35:N35" si="7">+D35+E33-E34</f>
        <v>849393034</v>
      </c>
      <c r="F35" s="122">
        <f t="shared" si="7"/>
        <v>998582752</v>
      </c>
      <c r="G35" s="122">
        <f t="shared" si="7"/>
        <v>1147502470</v>
      </c>
      <c r="H35" s="122">
        <f t="shared" si="7"/>
        <v>1296422188</v>
      </c>
      <c r="I35" s="122">
        <f t="shared" si="7"/>
        <v>1445341906</v>
      </c>
      <c r="J35" s="122">
        <f t="shared" si="7"/>
        <v>1594261624</v>
      </c>
      <c r="K35" s="122">
        <f t="shared" si="7"/>
        <v>1892350342</v>
      </c>
      <c r="L35" s="122">
        <f t="shared" si="7"/>
        <v>2041270060</v>
      </c>
      <c r="M35" s="122">
        <f t="shared" si="7"/>
        <v>2190189778</v>
      </c>
      <c r="N35" s="122">
        <f t="shared" si="7"/>
        <v>2487609492</v>
      </c>
      <c r="O35" s="123"/>
      <c r="P35" s="11">
        <f>O33-O29</f>
        <v>2487609492</v>
      </c>
    </row>
    <row r="36" spans="1:17" x14ac:dyDescent="0.35">
      <c r="P36" t="s">
        <v>657</v>
      </c>
    </row>
    <row r="37" spans="1:17" x14ac:dyDescent="0.35">
      <c r="N37" s="11"/>
    </row>
  </sheetData>
  <mergeCells count="4">
    <mergeCell ref="A1:E1"/>
    <mergeCell ref="M1:O2"/>
    <mergeCell ref="A2:E2"/>
    <mergeCell ref="N3:O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topLeftCell="C1" zoomScaleNormal="100" workbookViewId="0">
      <selection activeCell="L1" sqref="L1:O2"/>
    </sheetView>
  </sheetViews>
  <sheetFormatPr defaultRowHeight="14.5" x14ac:dyDescent="0.35"/>
  <cols>
    <col min="1" max="1" width="4" bestFit="1" customWidth="1"/>
    <col min="2" max="2" width="43.26953125" bestFit="1" customWidth="1"/>
    <col min="3" max="5" width="9.81640625" bestFit="1" customWidth="1"/>
    <col min="6" max="14" width="11" bestFit="1" customWidth="1"/>
    <col min="15" max="15" width="10.453125" bestFit="1" customWidth="1"/>
    <col min="16" max="16" width="13.54296875" hidden="1" customWidth="1"/>
    <col min="17" max="17" width="14.1796875" style="189" hidden="1" customWidth="1"/>
    <col min="18" max="18" width="10.81640625" bestFit="1" customWidth="1"/>
  </cols>
  <sheetData>
    <row r="1" spans="1:17" x14ac:dyDescent="0.35">
      <c r="A1" s="330"/>
      <c r="B1" s="330"/>
      <c r="C1" s="330"/>
      <c r="D1" s="330"/>
      <c r="E1" s="330"/>
      <c r="F1" s="330"/>
      <c r="G1" s="330"/>
      <c r="H1" s="49"/>
      <c r="I1" s="49"/>
      <c r="J1" s="49"/>
      <c r="K1" s="49"/>
      <c r="L1" s="295" t="s">
        <v>728</v>
      </c>
      <c r="M1" s="353"/>
      <c r="N1" s="353"/>
      <c r="O1" s="353"/>
    </row>
    <row r="2" spans="1:17" x14ac:dyDescent="0.35">
      <c r="A2" s="330" t="s">
        <v>633</v>
      </c>
      <c r="B2" s="354"/>
      <c r="C2" s="354"/>
      <c r="D2" s="354"/>
      <c r="E2" s="354"/>
      <c r="F2" s="354"/>
      <c r="G2" s="354"/>
      <c r="H2" s="49"/>
      <c r="I2" s="49"/>
      <c r="J2" s="49"/>
      <c r="K2" s="49"/>
      <c r="L2" s="353"/>
      <c r="M2" s="353"/>
      <c r="N2" s="353"/>
      <c r="O2" s="353"/>
    </row>
    <row r="3" spans="1:17" x14ac:dyDescent="0.35">
      <c r="A3" s="49"/>
      <c r="B3" s="17"/>
      <c r="C3" s="17"/>
      <c r="D3" s="17"/>
      <c r="E3" s="17"/>
      <c r="F3" s="17"/>
      <c r="G3" s="17"/>
      <c r="H3" s="49"/>
      <c r="I3" s="49"/>
      <c r="J3" s="49"/>
      <c r="K3" s="49"/>
      <c r="L3" s="124"/>
      <c r="M3" s="125"/>
      <c r="N3" s="355" t="s">
        <v>93</v>
      </c>
      <c r="O3" s="355"/>
    </row>
    <row r="4" spans="1:17" x14ac:dyDescent="0.35">
      <c r="A4" s="77" t="s">
        <v>100</v>
      </c>
      <c r="B4" s="77" t="s">
        <v>122</v>
      </c>
      <c r="C4" s="77" t="s">
        <v>220</v>
      </c>
      <c r="D4" s="77" t="s">
        <v>221</v>
      </c>
      <c r="E4" s="77" t="s">
        <v>222</v>
      </c>
      <c r="F4" s="77" t="s">
        <v>223</v>
      </c>
      <c r="G4" s="77" t="s">
        <v>224</v>
      </c>
      <c r="H4" s="77" t="s">
        <v>225</v>
      </c>
      <c r="I4" s="77" t="s">
        <v>226</v>
      </c>
      <c r="J4" s="77" t="s">
        <v>227</v>
      </c>
      <c r="K4" s="77" t="s">
        <v>228</v>
      </c>
      <c r="L4" s="77" t="s">
        <v>229</v>
      </c>
      <c r="M4" s="77" t="s">
        <v>230</v>
      </c>
      <c r="N4" s="77" t="s">
        <v>231</v>
      </c>
      <c r="O4" s="77" t="s">
        <v>3</v>
      </c>
    </row>
    <row r="5" spans="1:17" x14ac:dyDescent="0.35">
      <c r="A5" s="20" t="s">
        <v>4</v>
      </c>
      <c r="B5" s="21" t="s">
        <v>59</v>
      </c>
      <c r="C5" s="22">
        <f>SUM(C13,C6:C10)</f>
        <v>152582111</v>
      </c>
      <c r="D5" s="22">
        <f t="shared" ref="D5:N5" si="0">SUM(D13,D6:D10)</f>
        <v>152582111</v>
      </c>
      <c r="E5" s="22">
        <f t="shared" si="0"/>
        <v>152582111</v>
      </c>
      <c r="F5" s="22">
        <f t="shared" si="0"/>
        <v>152852111</v>
      </c>
      <c r="G5" s="22">
        <f t="shared" si="0"/>
        <v>152582111</v>
      </c>
      <c r="H5" s="22">
        <f t="shared" si="0"/>
        <v>152582111</v>
      </c>
      <c r="I5" s="22">
        <f t="shared" si="0"/>
        <v>152582111</v>
      </c>
      <c r="J5" s="22">
        <f t="shared" si="0"/>
        <v>152582111</v>
      </c>
      <c r="K5" s="22">
        <f t="shared" si="0"/>
        <v>152582111</v>
      </c>
      <c r="L5" s="22">
        <f t="shared" si="0"/>
        <v>152582111</v>
      </c>
      <c r="M5" s="22">
        <f t="shared" si="0"/>
        <v>152582111</v>
      </c>
      <c r="N5" s="22">
        <f t="shared" si="0"/>
        <v>152582116</v>
      </c>
      <c r="O5" s="22">
        <f>C5+D5+E5+F5+G5+H5+I5+J5+K5+L5+M5+N5</f>
        <v>1831255337</v>
      </c>
      <c r="P5" s="11">
        <f>'1. melléklet'!F39</f>
        <v>1831255336.7449999</v>
      </c>
      <c r="Q5" s="189">
        <f>P5/12</f>
        <v>152604611.39541665</v>
      </c>
    </row>
    <row r="6" spans="1:17" x14ac:dyDescent="0.35">
      <c r="A6" s="7" t="s">
        <v>60</v>
      </c>
      <c r="B6" s="8" t="s">
        <v>61</v>
      </c>
      <c r="C6" s="9">
        <v>49064242</v>
      </c>
      <c r="D6" s="9">
        <v>49064242</v>
      </c>
      <c r="E6" s="9">
        <v>49064242</v>
      </c>
      <c r="F6" s="9">
        <v>49064242</v>
      </c>
      <c r="G6" s="9">
        <v>49064242</v>
      </c>
      <c r="H6" s="9">
        <v>49064242</v>
      </c>
      <c r="I6" s="9">
        <v>49064242</v>
      </c>
      <c r="J6" s="9">
        <v>49064242</v>
      </c>
      <c r="K6" s="9">
        <v>49064242</v>
      </c>
      <c r="L6" s="9">
        <v>49064242</v>
      </c>
      <c r="M6" s="9">
        <v>49064242</v>
      </c>
      <c r="N6" s="9">
        <v>49064247</v>
      </c>
      <c r="O6" s="22">
        <f t="shared" ref="O6:O27" si="1">C6+D6+E6+F6+G6+H6+I6+J6+K6+L6+M6+N6</f>
        <v>588770909</v>
      </c>
      <c r="P6" s="11">
        <f>'1. melléklet'!F40</f>
        <v>588770909</v>
      </c>
      <c r="Q6" s="189">
        <f t="shared" ref="Q6:Q27" si="2">P6/12</f>
        <v>49064242.416666664</v>
      </c>
    </row>
    <row r="7" spans="1:17" x14ac:dyDescent="0.35">
      <c r="A7" s="7" t="s">
        <v>62</v>
      </c>
      <c r="B7" s="8" t="s">
        <v>233</v>
      </c>
      <c r="C7" s="9">
        <v>10018074</v>
      </c>
      <c r="D7" s="9">
        <v>10018074</v>
      </c>
      <c r="E7" s="9">
        <v>10018074</v>
      </c>
      <c r="F7" s="9">
        <v>10018074</v>
      </c>
      <c r="G7" s="9">
        <v>10018074</v>
      </c>
      <c r="H7" s="9">
        <v>10018074</v>
      </c>
      <c r="I7" s="9">
        <v>10018074</v>
      </c>
      <c r="J7" s="9">
        <v>10018074</v>
      </c>
      <c r="K7" s="9">
        <v>10018074</v>
      </c>
      <c r="L7" s="9">
        <v>10018074</v>
      </c>
      <c r="M7" s="9">
        <v>10018074</v>
      </c>
      <c r="N7" s="9">
        <v>10018074</v>
      </c>
      <c r="O7" s="22">
        <f t="shared" si="1"/>
        <v>120216888</v>
      </c>
      <c r="P7" s="11">
        <f>'1. melléklet'!F41</f>
        <v>120216888.13499999</v>
      </c>
      <c r="Q7" s="189">
        <f t="shared" si="2"/>
        <v>10018074.011249999</v>
      </c>
    </row>
    <row r="8" spans="1:17" x14ac:dyDescent="0.35">
      <c r="A8" s="7" t="s">
        <v>64</v>
      </c>
      <c r="B8" s="8" t="s">
        <v>65</v>
      </c>
      <c r="C8" s="9">
        <v>74017255</v>
      </c>
      <c r="D8" s="9">
        <v>74017255</v>
      </c>
      <c r="E8" s="9">
        <v>74017255</v>
      </c>
      <c r="F8" s="9">
        <v>74017255</v>
      </c>
      <c r="G8" s="9">
        <v>74017255</v>
      </c>
      <c r="H8" s="9">
        <v>74017255</v>
      </c>
      <c r="I8" s="9">
        <v>74017255</v>
      </c>
      <c r="J8" s="9">
        <v>74017255</v>
      </c>
      <c r="K8" s="9">
        <v>74017255</v>
      </c>
      <c r="L8" s="9">
        <v>74017255</v>
      </c>
      <c r="M8" s="9">
        <v>74017255</v>
      </c>
      <c r="N8" s="9">
        <v>74017254</v>
      </c>
      <c r="O8" s="22">
        <f t="shared" si="1"/>
        <v>888207059</v>
      </c>
      <c r="P8" s="11">
        <f>'1. melléklet'!F42</f>
        <v>888207058.61000001</v>
      </c>
      <c r="Q8" s="189">
        <f t="shared" si="2"/>
        <v>74017254.884166673</v>
      </c>
    </row>
    <row r="9" spans="1:17" x14ac:dyDescent="0.35">
      <c r="A9" s="7" t="s">
        <v>66</v>
      </c>
      <c r="B9" s="8" t="s">
        <v>67</v>
      </c>
      <c r="C9" s="9">
        <v>712500</v>
      </c>
      <c r="D9" s="9">
        <v>712500</v>
      </c>
      <c r="E9" s="9">
        <v>712500</v>
      </c>
      <c r="F9" s="9">
        <v>712500</v>
      </c>
      <c r="G9" s="9">
        <v>712500</v>
      </c>
      <c r="H9" s="9">
        <v>712500</v>
      </c>
      <c r="I9" s="9">
        <v>712500</v>
      </c>
      <c r="J9" s="9">
        <v>712500</v>
      </c>
      <c r="K9" s="9">
        <v>712500</v>
      </c>
      <c r="L9" s="9">
        <v>712500</v>
      </c>
      <c r="M9" s="9">
        <v>712500</v>
      </c>
      <c r="N9" s="9">
        <v>712500</v>
      </c>
      <c r="O9" s="22">
        <f t="shared" si="1"/>
        <v>8550000</v>
      </c>
      <c r="P9" s="11">
        <f>'1. melléklet'!F43</f>
        <v>8550000</v>
      </c>
      <c r="Q9" s="189">
        <f t="shared" si="2"/>
        <v>712500</v>
      </c>
    </row>
    <row r="10" spans="1:17" x14ac:dyDescent="0.35">
      <c r="A10" s="7" t="s">
        <v>68</v>
      </c>
      <c r="B10" s="8" t="s">
        <v>69</v>
      </c>
      <c r="C10" s="9">
        <f>SUM(C11:C12)</f>
        <v>14963102</v>
      </c>
      <c r="D10" s="9">
        <f t="shared" ref="D10:N10" si="3">SUM(D11:D12)</f>
        <v>14963102</v>
      </c>
      <c r="E10" s="9">
        <f t="shared" si="3"/>
        <v>14963102</v>
      </c>
      <c r="F10" s="9">
        <f t="shared" si="3"/>
        <v>15233102</v>
      </c>
      <c r="G10" s="9">
        <f t="shared" si="3"/>
        <v>14963102</v>
      </c>
      <c r="H10" s="9">
        <f t="shared" si="3"/>
        <v>14963102</v>
      </c>
      <c r="I10" s="9">
        <f t="shared" si="3"/>
        <v>14963102</v>
      </c>
      <c r="J10" s="9">
        <f t="shared" si="3"/>
        <v>14963102</v>
      </c>
      <c r="K10" s="9">
        <f t="shared" si="3"/>
        <v>14963102</v>
      </c>
      <c r="L10" s="9">
        <f t="shared" si="3"/>
        <v>14963102</v>
      </c>
      <c r="M10" s="9">
        <f t="shared" si="3"/>
        <v>14963102</v>
      </c>
      <c r="N10" s="9">
        <f t="shared" si="3"/>
        <v>14963099</v>
      </c>
      <c r="O10" s="22">
        <f t="shared" si="1"/>
        <v>179827221</v>
      </c>
      <c r="P10" s="11">
        <f>'1. melléklet'!F44</f>
        <v>179827221</v>
      </c>
      <c r="Q10" s="189">
        <f t="shared" si="2"/>
        <v>14985601.75</v>
      </c>
    </row>
    <row r="11" spans="1:17" x14ac:dyDescent="0.35">
      <c r="A11" s="23" t="s">
        <v>70</v>
      </c>
      <c r="B11" s="8" t="s">
        <v>71</v>
      </c>
      <c r="C11" s="9">
        <v>14963102</v>
      </c>
      <c r="D11" s="9">
        <v>14963102</v>
      </c>
      <c r="E11" s="9">
        <v>14963102</v>
      </c>
      <c r="F11" s="9">
        <v>15233102</v>
      </c>
      <c r="G11" s="9">
        <v>14963102</v>
      </c>
      <c r="H11" s="9">
        <v>14963102</v>
      </c>
      <c r="I11" s="9">
        <v>14963102</v>
      </c>
      <c r="J11" s="9">
        <v>14963102</v>
      </c>
      <c r="K11" s="9">
        <v>14963102</v>
      </c>
      <c r="L11" s="9">
        <v>14963102</v>
      </c>
      <c r="M11" s="9">
        <v>14963102</v>
      </c>
      <c r="N11" s="9">
        <v>14963099</v>
      </c>
      <c r="O11" s="22">
        <f t="shared" si="1"/>
        <v>179827221</v>
      </c>
      <c r="P11" s="11">
        <f>'1. melléklet'!F45</f>
        <v>179827221</v>
      </c>
      <c r="Q11" s="189">
        <f t="shared" si="2"/>
        <v>14985601.75</v>
      </c>
    </row>
    <row r="12" spans="1:17" x14ac:dyDescent="0.35">
      <c r="A12" s="23" t="s">
        <v>72</v>
      </c>
      <c r="B12" s="8" t="s">
        <v>73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22">
        <f t="shared" si="1"/>
        <v>0</v>
      </c>
      <c r="P12" s="11">
        <f>'1. melléklet'!F46</f>
        <v>0</v>
      </c>
      <c r="Q12" s="189">
        <f t="shared" si="2"/>
        <v>0</v>
      </c>
    </row>
    <row r="13" spans="1:17" x14ac:dyDescent="0.35">
      <c r="A13" s="23" t="s">
        <v>74</v>
      </c>
      <c r="B13" s="8" t="s">
        <v>75</v>
      </c>
      <c r="C13" s="9">
        <v>3806938</v>
      </c>
      <c r="D13" s="9">
        <v>3806938</v>
      </c>
      <c r="E13" s="9">
        <v>3806938</v>
      </c>
      <c r="F13" s="9">
        <v>3806938</v>
      </c>
      <c r="G13" s="9">
        <v>3806938</v>
      </c>
      <c r="H13" s="9">
        <v>3806938</v>
      </c>
      <c r="I13" s="9">
        <v>3806938</v>
      </c>
      <c r="J13" s="9">
        <v>3806938</v>
      </c>
      <c r="K13" s="9">
        <v>3806938</v>
      </c>
      <c r="L13" s="9">
        <v>3806938</v>
      </c>
      <c r="M13" s="9">
        <v>3806938</v>
      </c>
      <c r="N13" s="9">
        <v>3806942</v>
      </c>
      <c r="O13" s="22">
        <f t="shared" si="1"/>
        <v>45683260</v>
      </c>
      <c r="P13" s="11">
        <f>'1. melléklet'!F47</f>
        <v>45683260</v>
      </c>
      <c r="Q13" s="189">
        <f t="shared" si="2"/>
        <v>3806938.3333333335</v>
      </c>
    </row>
    <row r="14" spans="1:17" x14ac:dyDescent="0.35">
      <c r="A14" s="23" t="s">
        <v>6</v>
      </c>
      <c r="B14" s="8" t="s">
        <v>76</v>
      </c>
      <c r="C14" s="9">
        <v>42257904</v>
      </c>
      <c r="D14" s="9">
        <v>42257904</v>
      </c>
      <c r="E14" s="9">
        <v>42257904</v>
      </c>
      <c r="F14" s="9">
        <v>42257904</v>
      </c>
      <c r="G14" s="9">
        <v>42257904</v>
      </c>
      <c r="H14" s="9">
        <v>42257904</v>
      </c>
      <c r="I14" s="9">
        <v>42257904</v>
      </c>
      <c r="J14" s="9">
        <v>42257904</v>
      </c>
      <c r="K14" s="9">
        <v>42257904</v>
      </c>
      <c r="L14" s="9">
        <v>42257904</v>
      </c>
      <c r="M14" s="9">
        <v>42257904</v>
      </c>
      <c r="N14" s="9">
        <v>42257905</v>
      </c>
      <c r="O14" s="22">
        <f t="shared" si="1"/>
        <v>507094849</v>
      </c>
      <c r="P14" s="11">
        <f>'1. melléklet'!F48</f>
        <v>507094849.39999998</v>
      </c>
      <c r="Q14" s="189">
        <f t="shared" si="2"/>
        <v>42257904.116666667</v>
      </c>
    </row>
    <row r="15" spans="1:17" x14ac:dyDescent="0.35">
      <c r="A15" s="23" t="s">
        <v>8</v>
      </c>
      <c r="B15" s="8" t="s">
        <v>77</v>
      </c>
      <c r="C15" s="9">
        <v>15647297</v>
      </c>
      <c r="D15" s="9">
        <v>15647297</v>
      </c>
      <c r="E15" s="9">
        <v>15647297</v>
      </c>
      <c r="F15" s="9">
        <v>15647297</v>
      </c>
      <c r="G15" s="9">
        <v>15647297</v>
      </c>
      <c r="H15" s="9">
        <v>15647297</v>
      </c>
      <c r="I15" s="9">
        <v>15647297</v>
      </c>
      <c r="J15" s="9">
        <v>15647297</v>
      </c>
      <c r="K15" s="9">
        <v>15647297</v>
      </c>
      <c r="L15" s="9">
        <v>15647297</v>
      </c>
      <c r="M15" s="9">
        <v>15647297</v>
      </c>
      <c r="N15" s="9">
        <v>15647295</v>
      </c>
      <c r="O15" s="22">
        <f t="shared" si="1"/>
        <v>187767562</v>
      </c>
      <c r="P15" s="11">
        <f>'1. melléklet'!F49</f>
        <v>187767561.50999999</v>
      </c>
      <c r="Q15" s="189">
        <f t="shared" si="2"/>
        <v>15647296.792499999</v>
      </c>
    </row>
    <row r="16" spans="1:17" x14ac:dyDescent="0.35">
      <c r="A16" s="23" t="s">
        <v>78</v>
      </c>
      <c r="B16" s="8" t="s">
        <v>79</v>
      </c>
      <c r="C16" s="10">
        <v>26610607</v>
      </c>
      <c r="D16" s="10">
        <v>26610607</v>
      </c>
      <c r="E16" s="10">
        <v>26610607</v>
      </c>
      <c r="F16" s="10">
        <v>26610607</v>
      </c>
      <c r="G16" s="10">
        <v>26610607</v>
      </c>
      <c r="H16" s="10">
        <v>26610607</v>
      </c>
      <c r="I16" s="10">
        <v>26610607</v>
      </c>
      <c r="J16" s="10">
        <v>26610607</v>
      </c>
      <c r="K16" s="10">
        <v>26610607</v>
      </c>
      <c r="L16" s="10">
        <v>26610607</v>
      </c>
      <c r="M16" s="10">
        <v>26610607</v>
      </c>
      <c r="N16" s="10">
        <v>26610610</v>
      </c>
      <c r="O16" s="22">
        <f t="shared" si="1"/>
        <v>319327287</v>
      </c>
      <c r="P16" s="11">
        <f>'1. melléklet'!F50</f>
        <v>319327287.88999999</v>
      </c>
      <c r="Q16" s="189">
        <f t="shared" si="2"/>
        <v>26610607.324166667</v>
      </c>
    </row>
    <row r="17" spans="1:18" x14ac:dyDescent="0.35">
      <c r="A17" s="23" t="s">
        <v>80</v>
      </c>
      <c r="B17" s="8" t="s">
        <v>81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22">
        <v>0</v>
      </c>
      <c r="P17" s="11">
        <f>'1. melléklet'!F51</f>
        <v>0</v>
      </c>
      <c r="Q17" s="189">
        <f t="shared" si="2"/>
        <v>0</v>
      </c>
    </row>
    <row r="18" spans="1:18" x14ac:dyDescent="0.35">
      <c r="A18" s="23" t="s">
        <v>16</v>
      </c>
      <c r="B18" s="13" t="s">
        <v>82</v>
      </c>
      <c r="C18" s="9">
        <f>C5+C14</f>
        <v>194840015</v>
      </c>
      <c r="D18" s="9">
        <f t="shared" ref="D18:N18" si="4">D5+D14</f>
        <v>194840015</v>
      </c>
      <c r="E18" s="9">
        <f t="shared" si="4"/>
        <v>194840015</v>
      </c>
      <c r="F18" s="9">
        <f t="shared" si="4"/>
        <v>195110015</v>
      </c>
      <c r="G18" s="9">
        <f t="shared" si="4"/>
        <v>194840015</v>
      </c>
      <c r="H18" s="9">
        <f t="shared" si="4"/>
        <v>194840015</v>
      </c>
      <c r="I18" s="9">
        <f t="shared" si="4"/>
        <v>194840015</v>
      </c>
      <c r="J18" s="9">
        <f t="shared" si="4"/>
        <v>194840015</v>
      </c>
      <c r="K18" s="9">
        <f t="shared" si="4"/>
        <v>194840015</v>
      </c>
      <c r="L18" s="9">
        <f t="shared" si="4"/>
        <v>194840015</v>
      </c>
      <c r="M18" s="9">
        <f t="shared" si="4"/>
        <v>194840015</v>
      </c>
      <c r="N18" s="9">
        <f t="shared" si="4"/>
        <v>194840021</v>
      </c>
      <c r="O18" s="22">
        <f t="shared" si="1"/>
        <v>2338350186</v>
      </c>
      <c r="P18" s="11">
        <f>'1. melléklet'!F52</f>
        <v>2338350186.145</v>
      </c>
      <c r="Q18" s="189">
        <f t="shared" si="2"/>
        <v>194862515.51208332</v>
      </c>
    </row>
    <row r="19" spans="1:18" x14ac:dyDescent="0.35">
      <c r="A19" s="7" t="s">
        <v>18</v>
      </c>
      <c r="B19" s="8" t="s">
        <v>234</v>
      </c>
      <c r="C19" s="9">
        <v>120000000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22">
        <f t="shared" si="1"/>
        <v>120000000</v>
      </c>
      <c r="P19" s="11">
        <f>'1. melléklet'!F53</f>
        <v>120000000</v>
      </c>
      <c r="Q19" s="189">
        <f t="shared" si="2"/>
        <v>10000000</v>
      </c>
    </row>
    <row r="20" spans="1:18" x14ac:dyDescent="0.35">
      <c r="A20" s="7" t="s">
        <v>24</v>
      </c>
      <c r="B20" s="8" t="s">
        <v>84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22">
        <f t="shared" si="1"/>
        <v>0</v>
      </c>
      <c r="P20" s="11">
        <f>'1. melléklet'!F54</f>
        <v>0</v>
      </c>
      <c r="Q20" s="189">
        <f t="shared" si="2"/>
        <v>0</v>
      </c>
    </row>
    <row r="21" spans="1:18" x14ac:dyDescent="0.35">
      <c r="A21" s="7" t="s">
        <v>26</v>
      </c>
      <c r="B21" s="8" t="s">
        <v>85</v>
      </c>
      <c r="C21" s="9">
        <f>SUM(C22:C24)</f>
        <v>86861136</v>
      </c>
      <c r="D21" s="9">
        <f t="shared" ref="D21:N21" si="5">SUM(D22:D24)</f>
        <v>58843129</v>
      </c>
      <c r="E21" s="9">
        <f t="shared" si="5"/>
        <v>58843129</v>
      </c>
      <c r="F21" s="9">
        <f t="shared" si="5"/>
        <v>58843129</v>
      </c>
      <c r="G21" s="9">
        <f t="shared" si="5"/>
        <v>58843129</v>
      </c>
      <c r="H21" s="9">
        <f t="shared" si="5"/>
        <v>58843129</v>
      </c>
      <c r="I21" s="9">
        <f t="shared" si="5"/>
        <v>58843129</v>
      </c>
      <c r="J21" s="9">
        <f t="shared" si="5"/>
        <v>58843129</v>
      </c>
      <c r="K21" s="9">
        <f t="shared" si="5"/>
        <v>58843129</v>
      </c>
      <c r="L21" s="9">
        <f t="shared" si="5"/>
        <v>58843129</v>
      </c>
      <c r="M21" s="9">
        <f t="shared" si="5"/>
        <v>58843129</v>
      </c>
      <c r="N21" s="9">
        <f t="shared" si="5"/>
        <v>58843120</v>
      </c>
      <c r="O21" s="22">
        <f t="shared" si="1"/>
        <v>734135546</v>
      </c>
      <c r="P21" s="11">
        <f>'1. melléklet'!F55</f>
        <v>734135545.73000002</v>
      </c>
      <c r="Q21" s="189">
        <f t="shared" si="2"/>
        <v>61177962.144166671</v>
      </c>
      <c r="R21" s="11"/>
    </row>
    <row r="22" spans="1:18" x14ac:dyDescent="0.35">
      <c r="A22" s="7"/>
      <c r="B22" s="8" t="s">
        <v>118</v>
      </c>
      <c r="C22" s="9">
        <v>58739687</v>
      </c>
      <c r="D22" s="9">
        <v>58739687</v>
      </c>
      <c r="E22" s="9">
        <v>58739687</v>
      </c>
      <c r="F22" s="9">
        <v>58739687</v>
      </c>
      <c r="G22" s="9">
        <v>58739687</v>
      </c>
      <c r="H22" s="9">
        <v>58739687</v>
      </c>
      <c r="I22" s="9">
        <v>58739687</v>
      </c>
      <c r="J22" s="9">
        <v>58739687</v>
      </c>
      <c r="K22" s="9">
        <v>58739687</v>
      </c>
      <c r="L22" s="9">
        <v>58739687</v>
      </c>
      <c r="M22" s="9">
        <v>58739687</v>
      </c>
      <c r="N22" s="9">
        <v>58739683</v>
      </c>
      <c r="O22" s="22">
        <f t="shared" si="1"/>
        <v>704876240</v>
      </c>
      <c r="P22" s="11">
        <f>'1. melléklet'!F56</f>
        <v>704876239.73000002</v>
      </c>
      <c r="Q22" s="189">
        <f t="shared" si="2"/>
        <v>58739686.644166671</v>
      </c>
    </row>
    <row r="23" spans="1:18" x14ac:dyDescent="0.35">
      <c r="A23" s="7"/>
      <c r="B23" s="8" t="s">
        <v>693</v>
      </c>
      <c r="C23" s="9">
        <v>103442</v>
      </c>
      <c r="D23" s="9">
        <v>103442</v>
      </c>
      <c r="E23" s="9">
        <v>103442</v>
      </c>
      <c r="F23" s="9">
        <v>103442</v>
      </c>
      <c r="G23" s="9">
        <v>103442</v>
      </c>
      <c r="H23" s="9">
        <v>103442</v>
      </c>
      <c r="I23" s="9">
        <v>103442</v>
      </c>
      <c r="J23" s="9">
        <v>103442</v>
      </c>
      <c r="K23" s="9">
        <v>103442</v>
      </c>
      <c r="L23" s="9">
        <v>103442</v>
      </c>
      <c r="M23" s="9">
        <v>103442</v>
      </c>
      <c r="N23" s="9">
        <v>103437</v>
      </c>
      <c r="O23" s="22">
        <f>SUM(C23:N23)</f>
        <v>1241299</v>
      </c>
      <c r="P23" s="11"/>
    </row>
    <row r="24" spans="1:18" x14ac:dyDescent="0.35">
      <c r="A24" s="7"/>
      <c r="B24" s="8" t="s">
        <v>694</v>
      </c>
      <c r="C24" s="9">
        <v>28018007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22">
        <f>SUM(C24:N24)</f>
        <v>28018007</v>
      </c>
      <c r="P24" s="11"/>
    </row>
    <row r="25" spans="1:18" x14ac:dyDescent="0.35">
      <c r="A25" s="7" t="s">
        <v>28</v>
      </c>
      <c r="B25" s="8" t="s">
        <v>87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22">
        <f t="shared" si="1"/>
        <v>0</v>
      </c>
      <c r="P25" s="11">
        <f>'1. melléklet'!F57</f>
        <v>1241299</v>
      </c>
      <c r="Q25" s="189">
        <f t="shared" si="2"/>
        <v>103441.58333333333</v>
      </c>
    </row>
    <row r="26" spans="1:18" x14ac:dyDescent="0.35">
      <c r="A26" s="7" t="s">
        <v>30</v>
      </c>
      <c r="B26" s="13" t="s">
        <v>88</v>
      </c>
      <c r="C26" s="9">
        <f>C19+C20+C21+C25</f>
        <v>206861136</v>
      </c>
      <c r="D26" s="9">
        <f t="shared" ref="D26:N26" si="6">D19+D20+D21+D25</f>
        <v>58843129</v>
      </c>
      <c r="E26" s="9">
        <f t="shared" si="6"/>
        <v>58843129</v>
      </c>
      <c r="F26" s="9">
        <f t="shared" si="6"/>
        <v>58843129</v>
      </c>
      <c r="G26" s="9">
        <f t="shared" si="6"/>
        <v>58843129</v>
      </c>
      <c r="H26" s="9">
        <f t="shared" si="6"/>
        <v>58843129</v>
      </c>
      <c r="I26" s="9">
        <f t="shared" si="6"/>
        <v>58843129</v>
      </c>
      <c r="J26" s="9">
        <f t="shared" si="6"/>
        <v>58843129</v>
      </c>
      <c r="K26" s="9">
        <f t="shared" si="6"/>
        <v>58843129</v>
      </c>
      <c r="L26" s="9">
        <f t="shared" si="6"/>
        <v>58843129</v>
      </c>
      <c r="M26" s="9">
        <f t="shared" si="6"/>
        <v>58843129</v>
      </c>
      <c r="N26" s="9">
        <f t="shared" si="6"/>
        <v>58843120</v>
      </c>
      <c r="O26" s="22">
        <f t="shared" si="1"/>
        <v>854135546</v>
      </c>
      <c r="P26" s="11">
        <f>'1. melléklet'!F60</f>
        <v>854135545.73000002</v>
      </c>
      <c r="Q26" s="189">
        <f t="shared" si="2"/>
        <v>71177962.144166663</v>
      </c>
    </row>
    <row r="27" spans="1:18" x14ac:dyDescent="0.35">
      <c r="A27" s="12" t="s">
        <v>32</v>
      </c>
      <c r="B27" s="13" t="s">
        <v>89</v>
      </c>
      <c r="C27" s="10">
        <f>C18+C26</f>
        <v>401701151</v>
      </c>
      <c r="D27" s="10">
        <f t="shared" ref="D27:N27" si="7">D18+D26</f>
        <v>253683144</v>
      </c>
      <c r="E27" s="10">
        <f t="shared" si="7"/>
        <v>253683144</v>
      </c>
      <c r="F27" s="10">
        <f t="shared" si="7"/>
        <v>253953144</v>
      </c>
      <c r="G27" s="10">
        <f t="shared" si="7"/>
        <v>253683144</v>
      </c>
      <c r="H27" s="10">
        <f t="shared" si="7"/>
        <v>253683144</v>
      </c>
      <c r="I27" s="10">
        <f t="shared" si="7"/>
        <v>253683144</v>
      </c>
      <c r="J27" s="10">
        <f t="shared" si="7"/>
        <v>253683144</v>
      </c>
      <c r="K27" s="10">
        <f t="shared" si="7"/>
        <v>253683144</v>
      </c>
      <c r="L27" s="10">
        <f t="shared" si="7"/>
        <v>253683144</v>
      </c>
      <c r="M27" s="10">
        <f t="shared" si="7"/>
        <v>253683144</v>
      </c>
      <c r="N27" s="10">
        <f t="shared" si="7"/>
        <v>253683141</v>
      </c>
      <c r="O27" s="43">
        <f t="shared" si="1"/>
        <v>3192485732</v>
      </c>
      <c r="P27" s="11">
        <f>'1. melléklet'!F65</f>
        <v>2487609492.145</v>
      </c>
      <c r="Q27" s="189">
        <f t="shared" si="2"/>
        <v>207300791.01208332</v>
      </c>
    </row>
    <row r="28" spans="1:18" x14ac:dyDescent="0.35">
      <c r="A28" s="16"/>
      <c r="B28" s="121" t="s">
        <v>623</v>
      </c>
      <c r="C28" s="122">
        <f>C22</f>
        <v>58739687</v>
      </c>
      <c r="D28" s="122">
        <f t="shared" ref="D28:N28" si="8">D22</f>
        <v>58739687</v>
      </c>
      <c r="E28" s="122">
        <f t="shared" si="8"/>
        <v>58739687</v>
      </c>
      <c r="F28" s="122">
        <f t="shared" si="8"/>
        <v>58739687</v>
      </c>
      <c r="G28" s="122">
        <f t="shared" si="8"/>
        <v>58739687</v>
      </c>
      <c r="H28" s="122">
        <f t="shared" si="8"/>
        <v>58739687</v>
      </c>
      <c r="I28" s="122">
        <f t="shared" si="8"/>
        <v>58739687</v>
      </c>
      <c r="J28" s="122">
        <f t="shared" si="8"/>
        <v>58739687</v>
      </c>
      <c r="K28" s="122">
        <f t="shared" si="8"/>
        <v>58739687</v>
      </c>
      <c r="L28" s="122">
        <f t="shared" si="8"/>
        <v>58739687</v>
      </c>
      <c r="M28" s="122">
        <f t="shared" si="8"/>
        <v>58739687</v>
      </c>
      <c r="N28" s="122">
        <f t="shared" si="8"/>
        <v>58739683</v>
      </c>
      <c r="O28" s="123">
        <f>SUM(C28:N28)</f>
        <v>704876240</v>
      </c>
      <c r="P28" s="204"/>
    </row>
    <row r="29" spans="1:18" x14ac:dyDescent="0.35">
      <c r="A29" s="16"/>
      <c r="B29" s="121" t="s">
        <v>676</v>
      </c>
      <c r="C29" s="122">
        <f>+C27-C28</f>
        <v>342961464</v>
      </c>
      <c r="D29" s="122">
        <f>+C29+D27-D28</f>
        <v>537904921</v>
      </c>
      <c r="E29" s="122">
        <f t="shared" ref="E29:N29" si="9">+D29+E27-E28</f>
        <v>732848378</v>
      </c>
      <c r="F29" s="122">
        <f t="shared" si="9"/>
        <v>928061835</v>
      </c>
      <c r="G29" s="122">
        <f t="shared" si="9"/>
        <v>1123005292</v>
      </c>
      <c r="H29" s="122">
        <f t="shared" si="9"/>
        <v>1317948749</v>
      </c>
      <c r="I29" s="122">
        <f t="shared" si="9"/>
        <v>1512892206</v>
      </c>
      <c r="J29" s="122">
        <f t="shared" si="9"/>
        <v>1707835663</v>
      </c>
      <c r="K29" s="122">
        <f t="shared" si="9"/>
        <v>1902779120</v>
      </c>
      <c r="L29" s="122">
        <f t="shared" si="9"/>
        <v>2097722577</v>
      </c>
      <c r="M29" s="122">
        <f t="shared" si="9"/>
        <v>2292666034</v>
      </c>
      <c r="N29" s="122">
        <f t="shared" si="9"/>
        <v>2487609492</v>
      </c>
      <c r="O29" s="123"/>
    </row>
  </sheetData>
  <mergeCells count="4">
    <mergeCell ref="A1:G1"/>
    <mergeCell ref="L1:O2"/>
    <mergeCell ref="A2:G2"/>
    <mergeCell ref="N3:O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>
      <selection activeCell="C1" sqref="C1:D2"/>
    </sheetView>
  </sheetViews>
  <sheetFormatPr defaultRowHeight="14.5" x14ac:dyDescent="0.35"/>
  <cols>
    <col min="1" max="1" width="3" bestFit="1" customWidth="1"/>
    <col min="2" max="2" width="76.54296875" bestFit="1" customWidth="1"/>
    <col min="3" max="3" width="26.1796875" bestFit="1" customWidth="1"/>
    <col min="4" max="4" width="13.453125" customWidth="1"/>
    <col min="5" max="6" width="13.453125" hidden="1" customWidth="1"/>
    <col min="7" max="7" width="14.54296875" hidden="1" customWidth="1"/>
    <col min="8" max="8" width="13.1796875" hidden="1" customWidth="1"/>
    <col min="9" max="9" width="9.1796875" hidden="1" customWidth="1"/>
    <col min="10" max="10" width="10.81640625" hidden="1" customWidth="1"/>
    <col min="11" max="21" width="0" hidden="1" customWidth="1"/>
  </cols>
  <sheetData>
    <row r="1" spans="1:10" ht="15" customHeight="1" x14ac:dyDescent="0.35">
      <c r="C1" s="295" t="s">
        <v>726</v>
      </c>
      <c r="D1" s="295"/>
      <c r="E1" s="184"/>
      <c r="F1" s="184"/>
      <c r="G1" s="184"/>
      <c r="H1" s="184"/>
    </row>
    <row r="2" spans="1:10" x14ac:dyDescent="0.35">
      <c r="C2" s="295"/>
      <c r="D2" s="295"/>
      <c r="E2" s="184"/>
      <c r="F2" s="184"/>
      <c r="G2" s="184"/>
      <c r="H2" s="184"/>
    </row>
    <row r="5" spans="1:10" x14ac:dyDescent="0.35">
      <c r="A5" s="126"/>
      <c r="B5" s="126"/>
      <c r="D5" s="78" t="s">
        <v>93</v>
      </c>
      <c r="E5" s="78"/>
      <c r="F5" s="78"/>
    </row>
    <row r="6" spans="1:10" x14ac:dyDescent="0.35">
      <c r="A6" s="7"/>
      <c r="B6" s="127" t="s">
        <v>634</v>
      </c>
      <c r="C6" s="127" t="s">
        <v>235</v>
      </c>
      <c r="D6" s="128" t="s">
        <v>236</v>
      </c>
      <c r="E6" s="193" t="s">
        <v>670</v>
      </c>
      <c r="F6" s="193" t="s">
        <v>671</v>
      </c>
    </row>
    <row r="7" spans="1:10" x14ac:dyDescent="0.35">
      <c r="A7" s="129" t="s">
        <v>237</v>
      </c>
      <c r="B7" s="130" t="s">
        <v>259</v>
      </c>
      <c r="C7" s="16" t="s">
        <v>245</v>
      </c>
      <c r="D7" s="199">
        <v>16400000</v>
      </c>
      <c r="E7" s="194">
        <v>16400000</v>
      </c>
      <c r="F7" s="194">
        <v>0</v>
      </c>
      <c r="G7" t="s">
        <v>660</v>
      </c>
      <c r="H7" t="s">
        <v>666</v>
      </c>
      <c r="J7" s="131">
        <v>16400000</v>
      </c>
    </row>
    <row r="8" spans="1:10" x14ac:dyDescent="0.35">
      <c r="A8" s="129" t="s">
        <v>238</v>
      </c>
      <c r="B8" s="130" t="s">
        <v>690</v>
      </c>
      <c r="C8" s="16" t="s">
        <v>245</v>
      </c>
      <c r="D8" s="199">
        <f>21052631+29210000</f>
        <v>50262631</v>
      </c>
      <c r="E8" s="194"/>
      <c r="F8" s="194">
        <v>0</v>
      </c>
      <c r="G8" t="s">
        <v>660</v>
      </c>
      <c r="I8" t="s">
        <v>682</v>
      </c>
      <c r="J8" s="256" t="s">
        <v>686</v>
      </c>
    </row>
    <row r="9" spans="1:10" x14ac:dyDescent="0.35">
      <c r="A9" s="129" t="s">
        <v>593</v>
      </c>
      <c r="B9" s="36" t="s">
        <v>643</v>
      </c>
      <c r="C9" s="16" t="s">
        <v>245</v>
      </c>
      <c r="D9" s="259">
        <v>65255030</v>
      </c>
      <c r="E9" s="195">
        <v>28312633</v>
      </c>
      <c r="F9" s="195">
        <v>28312633</v>
      </c>
      <c r="G9" t="s">
        <v>660</v>
      </c>
      <c r="H9" t="s">
        <v>666</v>
      </c>
      <c r="I9" t="s">
        <v>682</v>
      </c>
      <c r="J9" s="257">
        <v>59625267</v>
      </c>
    </row>
    <row r="10" spans="1:10" x14ac:dyDescent="0.35">
      <c r="A10" s="129" t="s">
        <v>239</v>
      </c>
      <c r="B10" s="36" t="s">
        <v>590</v>
      </c>
      <c r="C10" s="16" t="s">
        <v>245</v>
      </c>
      <c r="D10" s="259">
        <v>5000000</v>
      </c>
      <c r="E10" s="195">
        <v>0</v>
      </c>
      <c r="F10" s="195">
        <v>0</v>
      </c>
      <c r="J10" s="132">
        <v>5000000</v>
      </c>
    </row>
    <row r="11" spans="1:10" x14ac:dyDescent="0.35">
      <c r="A11" s="129" t="s">
        <v>240</v>
      </c>
      <c r="B11" s="130" t="s">
        <v>591</v>
      </c>
      <c r="C11" s="16" t="s">
        <v>245</v>
      </c>
      <c r="D11" s="201">
        <v>3000000</v>
      </c>
      <c r="E11" s="196">
        <v>0</v>
      </c>
      <c r="F11" s="196">
        <v>0</v>
      </c>
      <c r="J11" s="133">
        <v>3000000</v>
      </c>
    </row>
    <row r="12" spans="1:10" x14ac:dyDescent="0.35">
      <c r="A12" s="129" t="s">
        <v>241</v>
      </c>
      <c r="B12" s="130" t="s">
        <v>644</v>
      </c>
      <c r="C12" s="16" t="s">
        <v>245</v>
      </c>
      <c r="D12" s="201">
        <v>2000000</v>
      </c>
      <c r="E12" s="196">
        <v>0</v>
      </c>
      <c r="F12" s="196">
        <v>0</v>
      </c>
      <c r="J12" s="133">
        <v>2000000</v>
      </c>
    </row>
    <row r="13" spans="1:10" x14ac:dyDescent="0.35">
      <c r="A13" s="129" t="s">
        <v>594</v>
      </c>
      <c r="B13" s="130" t="s">
        <v>592</v>
      </c>
      <c r="C13" s="16" t="s">
        <v>245</v>
      </c>
      <c r="D13" s="201">
        <v>1000000</v>
      </c>
      <c r="E13" s="196">
        <v>0</v>
      </c>
      <c r="F13" s="196">
        <v>0</v>
      </c>
      <c r="G13" t="s">
        <v>660</v>
      </c>
      <c r="J13" s="133">
        <v>1000000</v>
      </c>
    </row>
    <row r="14" spans="1:10" x14ac:dyDescent="0.35">
      <c r="A14" s="129" t="s">
        <v>242</v>
      </c>
      <c r="B14" s="130" t="s">
        <v>645</v>
      </c>
      <c r="C14" s="16" t="s">
        <v>245</v>
      </c>
      <c r="D14" s="201">
        <v>1500000</v>
      </c>
      <c r="E14" s="196">
        <v>0</v>
      </c>
      <c r="F14" s="196">
        <v>0</v>
      </c>
      <c r="J14" s="133">
        <v>1500000</v>
      </c>
    </row>
    <row r="15" spans="1:10" x14ac:dyDescent="0.35">
      <c r="A15" s="129" t="s">
        <v>243</v>
      </c>
      <c r="B15" s="130" t="s">
        <v>646</v>
      </c>
      <c r="C15" s="16" t="s">
        <v>245</v>
      </c>
      <c r="D15" s="201">
        <v>350000</v>
      </c>
      <c r="E15" s="196">
        <v>0</v>
      </c>
      <c r="F15" s="196">
        <v>0</v>
      </c>
      <c r="G15" t="s">
        <v>662</v>
      </c>
      <c r="J15" s="133">
        <v>350000</v>
      </c>
    </row>
    <row r="16" spans="1:10" s="203" customFormat="1" x14ac:dyDescent="0.35">
      <c r="A16" s="198" t="s">
        <v>244</v>
      </c>
      <c r="B16" s="199" t="s">
        <v>647</v>
      </c>
      <c r="C16" s="200" t="s">
        <v>245</v>
      </c>
      <c r="D16" s="201">
        <v>130529666</v>
      </c>
      <c r="E16" s="202">
        <v>0</v>
      </c>
      <c r="F16" s="202"/>
      <c r="G16" s="203" t="s">
        <v>660</v>
      </c>
      <c r="H16" s="203" t="s">
        <v>666</v>
      </c>
      <c r="I16" s="203" t="s">
        <v>682</v>
      </c>
      <c r="J16" s="201">
        <v>146131000</v>
      </c>
    </row>
    <row r="17" spans="1:10" x14ac:dyDescent="0.35">
      <c r="A17" s="129" t="s">
        <v>289</v>
      </c>
      <c r="B17" s="130" t="s">
        <v>648</v>
      </c>
      <c r="C17" s="16" t="s">
        <v>245</v>
      </c>
      <c r="D17" s="201">
        <v>22022461</v>
      </c>
      <c r="E17" s="196">
        <v>0</v>
      </c>
      <c r="F17" s="196">
        <v>20973772</v>
      </c>
      <c r="G17" t="s">
        <v>688</v>
      </c>
      <c r="H17" t="s">
        <v>666</v>
      </c>
      <c r="J17" s="258">
        <v>39224922</v>
      </c>
    </row>
    <row r="18" spans="1:10" x14ac:dyDescent="0.35">
      <c r="A18" s="129" t="s">
        <v>291</v>
      </c>
      <c r="B18" s="130" t="s">
        <v>649</v>
      </c>
      <c r="C18" s="16" t="s">
        <v>245</v>
      </c>
      <c r="D18" s="201">
        <v>28347706</v>
      </c>
      <c r="E18" s="196">
        <v>26930320</v>
      </c>
      <c r="F18" s="196">
        <v>0</v>
      </c>
      <c r="G18" t="s">
        <v>661</v>
      </c>
      <c r="H18" t="s">
        <v>666</v>
      </c>
      <c r="J18" s="133">
        <v>28347706</v>
      </c>
    </row>
    <row r="19" spans="1:10" x14ac:dyDescent="0.35">
      <c r="A19" s="129" t="s">
        <v>293</v>
      </c>
      <c r="B19" s="130" t="s">
        <v>650</v>
      </c>
      <c r="C19" s="16" t="s">
        <v>245</v>
      </c>
      <c r="D19" s="201">
        <v>8277000</v>
      </c>
      <c r="E19" s="196"/>
      <c r="F19" s="196">
        <f>10527000-2250000</f>
        <v>8277000</v>
      </c>
      <c r="G19" t="s">
        <v>687</v>
      </c>
      <c r="H19" t="s">
        <v>666</v>
      </c>
      <c r="I19" t="s">
        <v>682</v>
      </c>
      <c r="J19" s="258">
        <v>208441029</v>
      </c>
    </row>
    <row r="20" spans="1:10" x14ac:dyDescent="0.35">
      <c r="A20" s="129" t="s">
        <v>295</v>
      </c>
      <c r="B20" s="130" t="s">
        <v>651</v>
      </c>
      <c r="C20" s="16" t="s">
        <v>245</v>
      </c>
      <c r="D20" s="201">
        <v>200000</v>
      </c>
      <c r="E20" s="196">
        <v>0</v>
      </c>
      <c r="F20" s="196">
        <v>0</v>
      </c>
      <c r="G20" t="s">
        <v>663</v>
      </c>
      <c r="J20" s="133">
        <v>200000</v>
      </c>
    </row>
    <row r="21" spans="1:10" x14ac:dyDescent="0.35">
      <c r="A21" s="129" t="s">
        <v>297</v>
      </c>
      <c r="B21" s="130" t="s">
        <v>595</v>
      </c>
      <c r="C21" s="16" t="s">
        <v>245</v>
      </c>
      <c r="D21" s="201">
        <v>1000000</v>
      </c>
      <c r="E21" s="196">
        <v>0</v>
      </c>
      <c r="F21" s="196">
        <v>0</v>
      </c>
      <c r="G21" t="s">
        <v>661</v>
      </c>
      <c r="J21" s="133">
        <v>1000000</v>
      </c>
    </row>
    <row r="22" spans="1:10" x14ac:dyDescent="0.35">
      <c r="A22" s="129" t="s">
        <v>299</v>
      </c>
      <c r="B22" s="130" t="s">
        <v>691</v>
      </c>
      <c r="C22" s="16" t="s">
        <v>245</v>
      </c>
      <c r="D22" s="201">
        <v>850000</v>
      </c>
      <c r="E22" s="196">
        <v>0</v>
      </c>
      <c r="F22" s="196">
        <v>0</v>
      </c>
      <c r="G22" t="s">
        <v>661</v>
      </c>
      <c r="J22" s="133">
        <v>850000</v>
      </c>
    </row>
    <row r="23" spans="1:10" x14ac:dyDescent="0.35">
      <c r="A23" s="129" t="s">
        <v>301</v>
      </c>
      <c r="B23" s="130" t="s">
        <v>689</v>
      </c>
      <c r="C23" s="16" t="s">
        <v>245</v>
      </c>
      <c r="D23" s="201">
        <v>3650000</v>
      </c>
      <c r="E23" s="196">
        <v>0</v>
      </c>
      <c r="F23" s="196">
        <v>0</v>
      </c>
      <c r="J23" s="133">
        <v>1650000</v>
      </c>
    </row>
    <row r="24" spans="1:10" x14ac:dyDescent="0.35">
      <c r="A24" s="129" t="s">
        <v>303</v>
      </c>
      <c r="B24" s="130" t="s">
        <v>652</v>
      </c>
      <c r="C24" s="16" t="s">
        <v>245</v>
      </c>
      <c r="D24" s="201">
        <v>7000000</v>
      </c>
      <c r="E24" s="196">
        <v>0</v>
      </c>
      <c r="F24" s="196">
        <v>0</v>
      </c>
      <c r="J24" s="133">
        <v>7000000</v>
      </c>
    </row>
    <row r="25" spans="1:10" x14ac:dyDescent="0.35">
      <c r="A25" s="129" t="s">
        <v>305</v>
      </c>
      <c r="B25" s="130" t="s">
        <v>653</v>
      </c>
      <c r="C25" s="16" t="s">
        <v>245</v>
      </c>
      <c r="D25" s="201">
        <v>2000000</v>
      </c>
      <c r="E25" s="196">
        <v>0</v>
      </c>
      <c r="F25" s="196">
        <v>0</v>
      </c>
      <c r="G25" t="s">
        <v>661</v>
      </c>
      <c r="J25" s="133">
        <v>2000000</v>
      </c>
    </row>
    <row r="26" spans="1:10" x14ac:dyDescent="0.35">
      <c r="A26" s="129" t="s">
        <v>307</v>
      </c>
      <c r="B26" s="130" t="s">
        <v>654</v>
      </c>
      <c r="C26" s="16" t="s">
        <v>245</v>
      </c>
      <c r="D26" s="201">
        <v>1500000</v>
      </c>
      <c r="E26" s="196">
        <v>0</v>
      </c>
      <c r="F26" s="196">
        <v>0</v>
      </c>
      <c r="J26" s="258">
        <v>1500000</v>
      </c>
    </row>
    <row r="27" spans="1:10" x14ac:dyDescent="0.35">
      <c r="A27" s="129" t="s">
        <v>309</v>
      </c>
      <c r="B27" s="130" t="s">
        <v>655</v>
      </c>
      <c r="C27" s="16" t="s">
        <v>245</v>
      </c>
      <c r="D27" s="201">
        <v>500000</v>
      </c>
      <c r="E27" s="196">
        <v>0</v>
      </c>
      <c r="F27" s="196">
        <v>0</v>
      </c>
      <c r="G27" t="s">
        <v>663</v>
      </c>
      <c r="J27" s="258">
        <v>500000</v>
      </c>
    </row>
    <row r="28" spans="1:10" x14ac:dyDescent="0.35">
      <c r="A28" s="129" t="s">
        <v>311</v>
      </c>
      <c r="B28" s="130" t="s">
        <v>656</v>
      </c>
      <c r="C28" s="16" t="s">
        <v>245</v>
      </c>
      <c r="D28" s="201">
        <v>300000</v>
      </c>
      <c r="E28" s="196">
        <v>0</v>
      </c>
      <c r="F28" s="196">
        <v>0</v>
      </c>
      <c r="G28" t="s">
        <v>663</v>
      </c>
      <c r="J28" s="133">
        <v>300000</v>
      </c>
    </row>
    <row r="29" spans="1:10" x14ac:dyDescent="0.35">
      <c r="B29" s="134" t="s">
        <v>133</v>
      </c>
      <c r="C29" s="127"/>
      <c r="D29" s="134">
        <f>SUM(D7:D28)</f>
        <v>350944494</v>
      </c>
      <c r="E29" s="197">
        <f>SUM(E7:E28)</f>
        <v>71642953</v>
      </c>
      <c r="F29" s="197">
        <f>SUM(F7:F28)</f>
        <v>57563405</v>
      </c>
      <c r="G29" s="11">
        <f>SUM(E29:F29)</f>
        <v>129206358</v>
      </c>
      <c r="H29" s="11">
        <f>D29-G29</f>
        <v>221738136</v>
      </c>
    </row>
    <row r="30" spans="1:10" ht="15" hidden="1" customHeight="1" x14ac:dyDescent="0.35">
      <c r="D30" t="s">
        <v>672</v>
      </c>
      <c r="E30" t="s">
        <v>673</v>
      </c>
      <c r="F30" t="s">
        <v>674</v>
      </c>
      <c r="H30" t="s">
        <v>675</v>
      </c>
    </row>
    <row r="31" spans="1:10" ht="15" hidden="1" customHeight="1" x14ac:dyDescent="0.35">
      <c r="D31" t="s">
        <v>660</v>
      </c>
      <c r="F31" s="11">
        <f>G31-H31</f>
        <v>62450104.535433084</v>
      </c>
      <c r="G31" s="11">
        <f>SUM(D7,D8,D13,D16,D17,D19,D9)</f>
        <v>293746788</v>
      </c>
      <c r="H31" s="189">
        <f>G31/1.27</f>
        <v>231296683.46456692</v>
      </c>
      <c r="I31" t="s">
        <v>668</v>
      </c>
      <c r="J31" s="11">
        <f>SUM(D7:D9,D16:D19)</f>
        <v>321094494</v>
      </c>
    </row>
    <row r="32" spans="1:10" ht="15" hidden="1" customHeight="1" x14ac:dyDescent="0.35">
      <c r="D32" t="s">
        <v>663</v>
      </c>
      <c r="F32" s="11">
        <f>G32-H32</f>
        <v>212598.42519685044</v>
      </c>
      <c r="G32" s="11">
        <f>SUM(D20,D27:D28)</f>
        <v>1000000</v>
      </c>
      <c r="H32" s="189">
        <f t="shared" ref="H32:H36" si="0">G32/1.27</f>
        <v>787401.57480314956</v>
      </c>
    </row>
    <row r="33" spans="4:8" ht="15" hidden="1" customHeight="1" x14ac:dyDescent="0.35">
      <c r="D33" t="s">
        <v>661</v>
      </c>
      <c r="G33" s="11">
        <f>SUM(D18,D21:D22,D25)</f>
        <v>32197706</v>
      </c>
      <c r="H33" s="189">
        <f t="shared" si="0"/>
        <v>25352524.409448817</v>
      </c>
    </row>
    <row r="34" spans="4:8" ht="15" hidden="1" customHeight="1" x14ac:dyDescent="0.35">
      <c r="D34" t="s">
        <v>662</v>
      </c>
      <c r="G34" s="11">
        <f>SUM(D15)</f>
        <v>350000</v>
      </c>
      <c r="H34" s="189">
        <f t="shared" si="0"/>
        <v>275590.55118110235</v>
      </c>
    </row>
    <row r="35" spans="4:8" ht="15" hidden="1" customHeight="1" x14ac:dyDescent="0.35">
      <c r="D35" t="s">
        <v>667</v>
      </c>
      <c r="G35" s="11">
        <f>SUM(D10:D12,D14,D23:D24,D26)</f>
        <v>23650000</v>
      </c>
      <c r="H35" s="189">
        <f t="shared" si="0"/>
        <v>18622047.244094487</v>
      </c>
    </row>
    <row r="36" spans="4:8" ht="15" hidden="1" customHeight="1" x14ac:dyDescent="0.35">
      <c r="G36" s="11">
        <f>SUM(G31:G35)</f>
        <v>350944494</v>
      </c>
      <c r="H36" s="189">
        <f t="shared" si="0"/>
        <v>276334247.24409449</v>
      </c>
    </row>
    <row r="37" spans="4:8" hidden="1" x14ac:dyDescent="0.35">
      <c r="F37" s="11">
        <f>SUM(F31:F32)</f>
        <v>62662702.960629933</v>
      </c>
    </row>
    <row r="38" spans="4:8" hidden="1" x14ac:dyDescent="0.35"/>
    <row r="39" spans="4:8" hidden="1" x14ac:dyDescent="0.35"/>
    <row r="42" spans="4:8" x14ac:dyDescent="0.35">
      <c r="D42" s="11"/>
    </row>
  </sheetData>
  <mergeCells count="1">
    <mergeCell ref="C1:D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selection activeCell="D1" sqref="D1:H2"/>
    </sheetView>
  </sheetViews>
  <sheetFormatPr defaultColWidth="16.7265625" defaultRowHeight="14.5" x14ac:dyDescent="0.35"/>
  <cols>
    <col min="1" max="1" width="3.1796875" bestFit="1" customWidth="1"/>
    <col min="2" max="2" width="42.81640625" bestFit="1" customWidth="1"/>
    <col min="3" max="3" width="12.1796875" customWidth="1"/>
    <col min="4" max="4" width="11.1796875" customWidth="1"/>
    <col min="5" max="5" width="8.453125" hidden="1" customWidth="1"/>
    <col min="6" max="6" width="9.453125" hidden="1" customWidth="1"/>
    <col min="7" max="7" width="10.26953125" hidden="1" customWidth="1"/>
    <col min="8" max="8" width="13.1796875" customWidth="1"/>
    <col min="9" max="11" width="0" hidden="1" customWidth="1"/>
  </cols>
  <sheetData>
    <row r="1" spans="1:12" ht="15" customHeight="1" x14ac:dyDescent="0.35">
      <c r="A1" s="293" t="s">
        <v>94</v>
      </c>
      <c r="B1" s="294"/>
      <c r="C1" s="294"/>
      <c r="D1" s="299" t="s">
        <v>711</v>
      </c>
      <c r="E1" s="299"/>
      <c r="F1" s="299"/>
      <c r="G1" s="299"/>
      <c r="H1" s="299"/>
      <c r="I1" s="187"/>
      <c r="J1" s="44"/>
      <c r="K1" s="44"/>
      <c r="L1" s="44"/>
    </row>
    <row r="2" spans="1:12" x14ac:dyDescent="0.35">
      <c r="A2" s="293" t="s">
        <v>627</v>
      </c>
      <c r="B2" s="297"/>
      <c r="C2" s="297"/>
      <c r="D2" s="299"/>
      <c r="E2" s="299"/>
      <c r="F2" s="299"/>
      <c r="G2" s="299"/>
      <c r="H2" s="299"/>
      <c r="I2" s="44"/>
      <c r="J2" s="44"/>
      <c r="K2" s="44"/>
      <c r="L2" s="44"/>
    </row>
    <row r="3" spans="1:12" x14ac:dyDescent="0.35">
      <c r="A3" s="1"/>
      <c r="B3" s="2" t="s">
        <v>0</v>
      </c>
      <c r="C3" s="3"/>
      <c r="D3" s="4"/>
      <c r="E3" s="4"/>
      <c r="F3" s="38"/>
      <c r="G3" s="298" t="s">
        <v>93</v>
      </c>
      <c r="H3" s="298"/>
    </row>
    <row r="4" spans="1:12" ht="21" x14ac:dyDescent="0.35">
      <c r="A4" s="31" t="s">
        <v>100</v>
      </c>
      <c r="B4" s="32" t="s">
        <v>2</v>
      </c>
      <c r="C4" s="32" t="s">
        <v>101</v>
      </c>
      <c r="D4" s="32" t="s">
        <v>102</v>
      </c>
      <c r="E4" s="32"/>
      <c r="F4" s="32"/>
      <c r="G4" s="32"/>
      <c r="H4" s="39" t="s">
        <v>103</v>
      </c>
    </row>
    <row r="5" spans="1:12" x14ac:dyDescent="0.35">
      <c r="A5" s="7" t="s">
        <v>4</v>
      </c>
      <c r="B5" s="8" t="s">
        <v>5</v>
      </c>
      <c r="C5" s="35">
        <f>'Költségvetési bevételek'!C11+'Költségvetési bevételek'!D11-'Költségvetési bevételek'!C9-'Költségvetési bevételek'!D9</f>
        <v>776293066</v>
      </c>
      <c r="D5" s="35">
        <f>'Költségvetési bevételek'!E11-'Költségvetési bevételek'!E9</f>
        <v>0</v>
      </c>
      <c r="E5" s="9"/>
      <c r="F5" s="9"/>
      <c r="G5" s="9"/>
      <c r="H5" s="26">
        <f>C5+D5</f>
        <v>776293066</v>
      </c>
    </row>
    <row r="6" spans="1:12" x14ac:dyDescent="0.35">
      <c r="A6" s="7" t="s">
        <v>6</v>
      </c>
      <c r="B6" s="8" t="s">
        <v>603</v>
      </c>
      <c r="C6" s="35">
        <f>'Költségvetési bevételek'!C16+'Költségvetési bevételek'!D16+'Költségvetési bevételek'!C9+'Költségvetési bevételek'!D9</f>
        <v>10152502</v>
      </c>
      <c r="D6" s="35">
        <f>'Költségvetési bevételek'!E16+'Költségvetési bevételek'!E9</f>
        <v>25998000</v>
      </c>
      <c r="E6" s="9"/>
      <c r="F6" s="9"/>
      <c r="G6" s="9"/>
      <c r="H6" s="26">
        <f t="shared" ref="H6:H21" si="0">C6+D6</f>
        <v>36150502</v>
      </c>
    </row>
    <row r="7" spans="1:12" x14ac:dyDescent="0.35">
      <c r="A7" s="7" t="s">
        <v>16</v>
      </c>
      <c r="B7" s="8" t="s">
        <v>104</v>
      </c>
      <c r="C7" s="35">
        <f>'Költségvetési bevételek'!C23+'Költségvetési bevételek'!D23</f>
        <v>359926067</v>
      </c>
      <c r="D7" s="35">
        <f>'Költségvetési bevételek'!E23</f>
        <v>0</v>
      </c>
      <c r="E7" s="9"/>
      <c r="F7" s="9"/>
      <c r="G7" s="9"/>
      <c r="H7" s="26">
        <f t="shared" si="0"/>
        <v>359926067</v>
      </c>
    </row>
    <row r="8" spans="1:12" x14ac:dyDescent="0.35">
      <c r="A8" s="7" t="s">
        <v>18</v>
      </c>
      <c r="B8" s="8" t="s">
        <v>19</v>
      </c>
      <c r="C8" s="35">
        <f>'Költségvetési bevételek'!C37+'Költségvetési bevételek'!D37</f>
        <v>505000000</v>
      </c>
      <c r="D8" s="35">
        <f>'Költségvetési bevételek'!E37</f>
        <v>0</v>
      </c>
      <c r="E8" s="9"/>
      <c r="F8" s="9"/>
      <c r="G8" s="9"/>
      <c r="H8" s="26">
        <f t="shared" si="0"/>
        <v>505000000</v>
      </c>
    </row>
    <row r="9" spans="1:12" x14ac:dyDescent="0.35">
      <c r="A9" s="7" t="s">
        <v>24</v>
      </c>
      <c r="B9" s="8" t="s">
        <v>604</v>
      </c>
      <c r="C9" s="35">
        <f>'Költségvetési bevételek'!C53+'Költségvetési bevételek'!D53</f>
        <v>440539048.11000001</v>
      </c>
      <c r="D9" s="35">
        <f>'Költségvetési bevételek'!E53</f>
        <v>0</v>
      </c>
      <c r="E9" s="9"/>
      <c r="F9" s="9"/>
      <c r="G9" s="9"/>
      <c r="H9" s="26">
        <f t="shared" si="0"/>
        <v>440539048.11000001</v>
      </c>
    </row>
    <row r="10" spans="1:12" x14ac:dyDescent="0.35">
      <c r="A10" s="7" t="s">
        <v>26</v>
      </c>
      <c r="B10" s="8" t="s">
        <v>605</v>
      </c>
      <c r="C10" s="35">
        <f>'Költségvetési bevételek'!C59+'Költségvetési bevételek'!D59</f>
        <v>64566929</v>
      </c>
      <c r="D10" s="35">
        <f>'Költségvetési bevételek'!E59</f>
        <v>0</v>
      </c>
      <c r="E10" s="9"/>
      <c r="F10" s="9"/>
      <c r="G10" s="9"/>
      <c r="H10" s="26">
        <f t="shared" si="0"/>
        <v>64566929</v>
      </c>
    </row>
    <row r="11" spans="1:12" x14ac:dyDescent="0.35">
      <c r="A11" s="7" t="s">
        <v>28</v>
      </c>
      <c r="B11" s="8" t="s">
        <v>29</v>
      </c>
      <c r="C11" s="35">
        <f>'Költségvetési bevételek'!C65+'Költségvetési bevételek'!D65</f>
        <v>0</v>
      </c>
      <c r="D11" s="35">
        <f>'Költségvetési bevételek'!E65</f>
        <v>0</v>
      </c>
      <c r="E11" s="9"/>
      <c r="F11" s="9"/>
      <c r="G11" s="9"/>
      <c r="H11" s="26">
        <f t="shared" si="0"/>
        <v>0</v>
      </c>
    </row>
    <row r="12" spans="1:12" x14ac:dyDescent="0.35">
      <c r="A12" s="7" t="s">
        <v>30</v>
      </c>
      <c r="B12" s="8" t="s">
        <v>31</v>
      </c>
      <c r="C12" s="35">
        <f>'Költségvetési bevételek'!C71+'Költségvetési bevételek'!D71</f>
        <v>0</v>
      </c>
      <c r="D12" s="35">
        <f>'Költségvetési bevételek'!E71</f>
        <v>0</v>
      </c>
      <c r="E12" s="9"/>
      <c r="F12" s="9"/>
      <c r="G12" s="9"/>
      <c r="H12" s="26">
        <f t="shared" si="0"/>
        <v>0</v>
      </c>
    </row>
    <row r="13" spans="1:12" x14ac:dyDescent="0.35">
      <c r="A13" s="12" t="s">
        <v>32</v>
      </c>
      <c r="B13" s="13" t="s">
        <v>33</v>
      </c>
      <c r="C13" s="9">
        <f>SUM(C5:C12)</f>
        <v>2156477612.1100001</v>
      </c>
      <c r="D13" s="9">
        <f>SUM(D5:D12)</f>
        <v>25998000</v>
      </c>
      <c r="E13" s="9">
        <f t="shared" ref="E13:H13" si="1">SUM(E5:E12)</f>
        <v>0</v>
      </c>
      <c r="F13" s="9">
        <f t="shared" si="1"/>
        <v>0</v>
      </c>
      <c r="G13" s="9">
        <f t="shared" si="1"/>
        <v>0</v>
      </c>
      <c r="H13" s="10">
        <f t="shared" si="1"/>
        <v>2182475612.1100001</v>
      </c>
    </row>
    <row r="14" spans="1:12" x14ac:dyDescent="0.35">
      <c r="A14" s="7" t="s">
        <v>34</v>
      </c>
      <c r="B14" s="8" t="s">
        <v>35</v>
      </c>
      <c r="C14" s="35">
        <f>'Finanszírozási bevételek'!C8+'Finanszírozási bevételek'!D8</f>
        <v>120000000</v>
      </c>
      <c r="D14" s="35">
        <f>'Finanszírozási bevételek'!E8</f>
        <v>0</v>
      </c>
      <c r="E14" s="9"/>
      <c r="F14" s="9"/>
      <c r="G14" s="9"/>
      <c r="H14" s="26">
        <f t="shared" si="0"/>
        <v>120000000</v>
      </c>
    </row>
    <row r="15" spans="1:12" x14ac:dyDescent="0.35">
      <c r="A15" s="7" t="s">
        <v>36</v>
      </c>
      <c r="B15" s="8" t="s">
        <v>37</v>
      </c>
      <c r="C15" s="35">
        <v>0</v>
      </c>
      <c r="D15" s="35">
        <v>0</v>
      </c>
      <c r="E15" s="9"/>
      <c r="F15" s="9"/>
      <c r="G15" s="9"/>
      <c r="H15" s="26">
        <f t="shared" si="0"/>
        <v>0</v>
      </c>
    </row>
    <row r="16" spans="1:12" x14ac:dyDescent="0.35">
      <c r="A16" s="7" t="s">
        <v>38</v>
      </c>
      <c r="B16" s="8" t="s">
        <v>606</v>
      </c>
      <c r="C16" s="35">
        <f>'Finanszírozási bevételek'!C16+'Finanszírozási bevételek'!D16</f>
        <v>175783880</v>
      </c>
      <c r="D16" s="35">
        <f>'Finanszírozási bevételek'!E16</f>
        <v>0</v>
      </c>
      <c r="E16" s="9"/>
      <c r="F16" s="9"/>
      <c r="G16" s="9"/>
      <c r="H16" s="26">
        <f t="shared" si="0"/>
        <v>175783880</v>
      </c>
    </row>
    <row r="17" spans="1:10" x14ac:dyDescent="0.35">
      <c r="A17" s="7" t="s">
        <v>40</v>
      </c>
      <c r="B17" s="8" t="s">
        <v>41</v>
      </c>
      <c r="C17" s="35">
        <f>SUM(C18:C19)</f>
        <v>0</v>
      </c>
      <c r="D17" s="35">
        <f>SUM(D18:D19)</f>
        <v>0</v>
      </c>
      <c r="E17" s="9"/>
      <c r="F17" s="9"/>
      <c r="G17" s="9"/>
      <c r="H17" s="26">
        <f t="shared" si="0"/>
        <v>0</v>
      </c>
    </row>
    <row r="18" spans="1:10" x14ac:dyDescent="0.35">
      <c r="A18" s="7"/>
      <c r="B18" s="8" t="s">
        <v>106</v>
      </c>
      <c r="C18" s="35">
        <f>'Finanszírozási bevételek'!C19+'Finanszírozási bevételek'!D19</f>
        <v>0</v>
      </c>
      <c r="D18" s="35">
        <f>'Finanszírozási bevételek'!E19</f>
        <v>0</v>
      </c>
      <c r="E18" s="9"/>
      <c r="F18" s="9"/>
      <c r="G18" s="9"/>
      <c r="H18" s="26">
        <f t="shared" si="0"/>
        <v>0</v>
      </c>
    </row>
    <row r="19" spans="1:10" x14ac:dyDescent="0.35">
      <c r="B19" s="8" t="s">
        <v>55</v>
      </c>
      <c r="C19" s="35">
        <v>0</v>
      </c>
      <c r="D19" s="35">
        <v>0</v>
      </c>
      <c r="E19" s="16"/>
      <c r="F19" s="16"/>
      <c r="G19" s="16"/>
      <c r="H19" s="26">
        <f t="shared" si="0"/>
        <v>0</v>
      </c>
    </row>
    <row r="20" spans="1:10" x14ac:dyDescent="0.35">
      <c r="A20" s="7" t="s">
        <v>44</v>
      </c>
      <c r="B20" s="8" t="s">
        <v>45</v>
      </c>
      <c r="C20" s="35">
        <v>0</v>
      </c>
      <c r="D20" s="35">
        <v>0</v>
      </c>
      <c r="E20" s="9"/>
      <c r="F20" s="9"/>
      <c r="G20" s="9"/>
      <c r="H20" s="26">
        <f t="shared" si="0"/>
        <v>0</v>
      </c>
    </row>
    <row r="21" spans="1:10" x14ac:dyDescent="0.35">
      <c r="A21" s="7" t="s">
        <v>46</v>
      </c>
      <c r="B21" s="8" t="s">
        <v>47</v>
      </c>
      <c r="C21" s="35">
        <v>0</v>
      </c>
      <c r="D21" s="35">
        <v>0</v>
      </c>
      <c r="E21" s="9"/>
      <c r="F21" s="9"/>
      <c r="G21" s="9"/>
      <c r="H21" s="26">
        <f t="shared" si="0"/>
        <v>0</v>
      </c>
    </row>
    <row r="22" spans="1:10" x14ac:dyDescent="0.35">
      <c r="A22" s="7" t="s">
        <v>48</v>
      </c>
      <c r="B22" s="13" t="s">
        <v>49</v>
      </c>
      <c r="C22" s="9">
        <f>C14+C15+C16+C17+C20+C21</f>
        <v>295783880</v>
      </c>
      <c r="D22" s="9">
        <f t="shared" ref="D22:H22" si="2">D14+D15+D16+D17+D20+D21</f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10">
        <f t="shared" si="2"/>
        <v>295783880</v>
      </c>
    </row>
    <row r="23" spans="1:10" x14ac:dyDescent="0.35">
      <c r="A23" s="7" t="s">
        <v>50</v>
      </c>
      <c r="B23" s="13" t="s">
        <v>51</v>
      </c>
      <c r="C23" s="9">
        <f>C13+C22</f>
        <v>2452261492.1100001</v>
      </c>
      <c r="D23" s="9">
        <f t="shared" ref="D23:H23" si="3">D13+D22</f>
        <v>25998000</v>
      </c>
      <c r="E23" s="9">
        <f t="shared" si="3"/>
        <v>0</v>
      </c>
      <c r="F23" s="9">
        <f t="shared" si="3"/>
        <v>0</v>
      </c>
      <c r="G23" s="9">
        <f t="shared" si="3"/>
        <v>0</v>
      </c>
      <c r="H23" s="9">
        <f t="shared" si="3"/>
        <v>2478259492.1100001</v>
      </c>
      <c r="I23" s="11"/>
    </row>
    <row r="24" spans="1:10" x14ac:dyDescent="0.35">
      <c r="A24" s="33"/>
      <c r="B24" s="34"/>
      <c r="C24" s="36"/>
      <c r="D24" s="10"/>
      <c r="E24" s="10"/>
      <c r="F24" s="9"/>
      <c r="G24" s="10"/>
      <c r="H24" s="36"/>
    </row>
    <row r="25" spans="1:10" x14ac:dyDescent="0.35">
      <c r="A25" s="17"/>
      <c r="B25" s="18" t="s">
        <v>58</v>
      </c>
      <c r="C25" s="11"/>
      <c r="D25" s="40"/>
      <c r="E25" s="11"/>
      <c r="F25" s="11"/>
      <c r="G25" s="41"/>
      <c r="H25" s="42" t="s">
        <v>93</v>
      </c>
    </row>
    <row r="26" spans="1:10" ht="21" x14ac:dyDescent="0.35">
      <c r="A26" s="31" t="s">
        <v>100</v>
      </c>
      <c r="B26" s="32" t="s">
        <v>2</v>
      </c>
      <c r="C26" s="32" t="s">
        <v>101</v>
      </c>
      <c r="D26" s="32" t="s">
        <v>102</v>
      </c>
      <c r="E26" s="32"/>
      <c r="F26" s="32"/>
      <c r="G26" s="32"/>
      <c r="H26" s="39" t="s">
        <v>103</v>
      </c>
    </row>
    <row r="27" spans="1:10" x14ac:dyDescent="0.35">
      <c r="A27" s="20" t="s">
        <v>4</v>
      </c>
      <c r="B27" s="21" t="s">
        <v>59</v>
      </c>
      <c r="C27" s="35">
        <f>SUM(C28:C33)</f>
        <v>1107750286.8199999</v>
      </c>
      <c r="D27" s="35">
        <f>SUM(D28:D33)</f>
        <v>27361660.594999999</v>
      </c>
      <c r="E27" s="35">
        <f t="shared" ref="E27:H27" si="4">SUM(E28:E33)</f>
        <v>0</v>
      </c>
      <c r="F27" s="35">
        <f t="shared" si="4"/>
        <v>0</v>
      </c>
      <c r="G27" s="35">
        <f t="shared" si="4"/>
        <v>0</v>
      </c>
      <c r="H27" s="26">
        <f t="shared" si="4"/>
        <v>1135111947.415</v>
      </c>
    </row>
    <row r="28" spans="1:10" x14ac:dyDescent="0.35">
      <c r="A28" s="7" t="s">
        <v>60</v>
      </c>
      <c r="B28" s="8" t="s">
        <v>107</v>
      </c>
      <c r="C28" s="35">
        <f>'Költségvetési kiadások'!C23+'Költségvetési kiadások'!D23</f>
        <v>70555846</v>
      </c>
      <c r="D28" s="35">
        <f>'Költségvetési kiadások'!E23</f>
        <v>21808921</v>
      </c>
      <c r="E28" s="9"/>
      <c r="F28" s="9"/>
      <c r="G28" s="9"/>
      <c r="H28" s="43">
        <f>C28+D28</f>
        <v>92364767</v>
      </c>
      <c r="I28" s="11">
        <f>'Költségvetési kiadások'!C23</f>
        <v>51739274</v>
      </c>
      <c r="J28" s="11">
        <f>I28-D28</f>
        <v>29930353</v>
      </c>
    </row>
    <row r="29" spans="1:10" x14ac:dyDescent="0.35">
      <c r="A29" s="7" t="s">
        <v>62</v>
      </c>
      <c r="B29" s="8" t="s">
        <v>108</v>
      </c>
      <c r="C29" s="35">
        <f>'Költségvetési kiadások'!C24+'Költségvetési kiadások'!D24</f>
        <v>13785414.539999999</v>
      </c>
      <c r="D29" s="35">
        <f>'Költségvetési kiadások'!E24</f>
        <v>4252739.5949999997</v>
      </c>
      <c r="E29" s="9"/>
      <c r="F29" s="9"/>
      <c r="G29" s="9"/>
      <c r="H29" s="43">
        <f t="shared" ref="H29:H33" si="5">C29+D29</f>
        <v>18038154.134999998</v>
      </c>
      <c r="I29" s="11">
        <f>'Költségvetési kiadások'!C24</f>
        <v>10116183</v>
      </c>
      <c r="J29" s="11">
        <f>I29-D29</f>
        <v>5863443.4050000003</v>
      </c>
    </row>
    <row r="30" spans="1:10" x14ac:dyDescent="0.35">
      <c r="A30" s="7" t="s">
        <v>64</v>
      </c>
      <c r="B30" s="8" t="s">
        <v>109</v>
      </c>
      <c r="C30" s="35">
        <f>'Költségvetési kiadások'!C49+'Költségvetési kiadások'!D49</f>
        <v>789348545.27999997</v>
      </c>
      <c r="D30" s="35">
        <f>'Költségvetési kiadások'!E49</f>
        <v>1300000</v>
      </c>
      <c r="E30" s="9"/>
      <c r="F30" s="9"/>
      <c r="G30" s="9"/>
      <c r="H30" s="43">
        <f t="shared" si="5"/>
        <v>790648545.27999997</v>
      </c>
      <c r="I30" s="11">
        <f>'Költségvetési kiadások'!C49</f>
        <v>576319803</v>
      </c>
      <c r="J30" s="11">
        <f>I30-D30</f>
        <v>575019803</v>
      </c>
    </row>
    <row r="31" spans="1:10" x14ac:dyDescent="0.35">
      <c r="A31" s="7" t="s">
        <v>66</v>
      </c>
      <c r="B31" s="8" t="s">
        <v>110</v>
      </c>
      <c r="C31" s="35">
        <f>'Költségvetési kiadások'!C58+'Költségvetési kiadások'!D58</f>
        <v>8550000</v>
      </c>
      <c r="D31" s="35">
        <f>'Költségvetési kiadások'!E58</f>
        <v>0</v>
      </c>
      <c r="E31" s="9"/>
      <c r="F31" s="9"/>
      <c r="G31" s="9"/>
      <c r="H31" s="43">
        <f t="shared" si="5"/>
        <v>8550000</v>
      </c>
      <c r="I31" s="11">
        <f>'Költségvetési kiadások'!C58</f>
        <v>4800000</v>
      </c>
      <c r="J31" s="11">
        <f>I31-D31</f>
        <v>4800000</v>
      </c>
    </row>
    <row r="32" spans="1:10" x14ac:dyDescent="0.35">
      <c r="A32" s="7" t="s">
        <v>68</v>
      </c>
      <c r="B32" s="8" t="s">
        <v>111</v>
      </c>
      <c r="C32" s="35">
        <f>'Költségvetési kiadások'!C73+'Költségvetési kiadások'!D73</f>
        <v>179827221</v>
      </c>
      <c r="D32" s="35">
        <f>'Költségvetési kiadások'!E73</f>
        <v>0</v>
      </c>
      <c r="E32" s="9"/>
      <c r="F32" s="9"/>
      <c r="G32" s="9"/>
      <c r="H32" s="43">
        <f t="shared" si="5"/>
        <v>179827221</v>
      </c>
    </row>
    <row r="33" spans="1:11" x14ac:dyDescent="0.35">
      <c r="A33" s="23" t="s">
        <v>74</v>
      </c>
      <c r="B33" s="8" t="s">
        <v>112</v>
      </c>
      <c r="C33" s="35">
        <f>'Költségvetési kiadások'!C74+'Költségvetési kiadások'!D74</f>
        <v>45683260</v>
      </c>
      <c r="D33" s="35">
        <f>'Költségvetési kiadások'!E74</f>
        <v>0</v>
      </c>
      <c r="E33" s="9"/>
      <c r="F33" s="9"/>
      <c r="G33" s="9"/>
      <c r="H33" s="43">
        <f t="shared" si="5"/>
        <v>45683260</v>
      </c>
    </row>
    <row r="34" spans="1:11" x14ac:dyDescent="0.35">
      <c r="A34" s="23" t="s">
        <v>6</v>
      </c>
      <c r="B34" s="8" t="s">
        <v>76</v>
      </c>
      <c r="C34" s="35">
        <f>C35+C36+C37</f>
        <v>489011999</v>
      </c>
      <c r="D34" s="35">
        <f>SUM(D35:D37)</f>
        <v>0</v>
      </c>
      <c r="E34" s="35"/>
      <c r="F34" s="35"/>
      <c r="G34" s="35"/>
      <c r="H34" s="43">
        <f>SUM(H35:H37)</f>
        <v>489011999</v>
      </c>
    </row>
    <row r="35" spans="1:11" x14ac:dyDescent="0.35">
      <c r="A35" s="23" t="s">
        <v>8</v>
      </c>
      <c r="B35" s="8" t="s">
        <v>113</v>
      </c>
      <c r="C35" s="35">
        <f>'Költségvetési kiadások'!C83+'Költségvetési kiadások'!D83</f>
        <v>173029011</v>
      </c>
      <c r="D35" s="35">
        <f>'Költségvetési kiadások'!E83</f>
        <v>0</v>
      </c>
      <c r="E35" s="9"/>
      <c r="F35" s="9"/>
      <c r="G35" s="9"/>
      <c r="H35" s="43">
        <f>C35+D35</f>
        <v>173029011</v>
      </c>
    </row>
    <row r="36" spans="1:11" x14ac:dyDescent="0.35">
      <c r="A36" s="23" t="s">
        <v>78</v>
      </c>
      <c r="B36" s="8" t="s">
        <v>79</v>
      </c>
      <c r="C36" s="35">
        <f>'Költségvetési kiadások'!C88+'Költségvetési kiadások'!D88</f>
        <v>315982988</v>
      </c>
      <c r="D36" s="35">
        <f>'Költségvetési kiadások'!E88</f>
        <v>0</v>
      </c>
      <c r="E36" s="9"/>
      <c r="F36" s="9"/>
      <c r="G36" s="9"/>
      <c r="H36" s="43">
        <f t="shared" ref="H36:H37" si="6">C36+D36</f>
        <v>315982988</v>
      </c>
    </row>
    <row r="37" spans="1:11" x14ac:dyDescent="0.35">
      <c r="A37" s="23" t="s">
        <v>80</v>
      </c>
      <c r="B37" s="8" t="s">
        <v>81</v>
      </c>
      <c r="C37" s="35">
        <f>'Költségvetési kiadások'!C98+'Költségvetési kiadások'!D98</f>
        <v>0</v>
      </c>
      <c r="D37" s="35">
        <f>'Költségvetési kiadások'!E98</f>
        <v>0</v>
      </c>
      <c r="E37" s="9"/>
      <c r="F37" s="9"/>
      <c r="G37" s="9"/>
      <c r="H37" s="43">
        <f t="shared" si="6"/>
        <v>0</v>
      </c>
    </row>
    <row r="38" spans="1:11" x14ac:dyDescent="0.35">
      <c r="A38" s="23" t="s">
        <v>16</v>
      </c>
      <c r="B38" s="13" t="s">
        <v>82</v>
      </c>
      <c r="C38" s="9">
        <f>C27+C34</f>
        <v>1596762285.8199999</v>
      </c>
      <c r="D38" s="9">
        <f t="shared" ref="D38:H38" si="7">D27+D34</f>
        <v>27361660.594999999</v>
      </c>
      <c r="E38" s="9">
        <f t="shared" si="7"/>
        <v>0</v>
      </c>
      <c r="F38" s="9">
        <f t="shared" si="7"/>
        <v>0</v>
      </c>
      <c r="G38" s="9">
        <f t="shared" si="7"/>
        <v>0</v>
      </c>
      <c r="H38" s="10">
        <f t="shared" si="7"/>
        <v>1624123946.415</v>
      </c>
    </row>
    <row r="39" spans="1:11" x14ac:dyDescent="0.35">
      <c r="A39" s="7" t="s">
        <v>18</v>
      </c>
      <c r="B39" s="8" t="s">
        <v>83</v>
      </c>
      <c r="C39" s="35">
        <f>'Finanszírozási kiadások'!C8+'Finanszírozási kiadások'!D8</f>
        <v>120000000</v>
      </c>
      <c r="D39" s="35">
        <f>'Finanszírozási kiadások'!E8</f>
        <v>0</v>
      </c>
      <c r="E39" s="9"/>
      <c r="F39" s="9"/>
      <c r="G39" s="9"/>
      <c r="H39" s="43">
        <f>C39+D39</f>
        <v>120000000</v>
      </c>
    </row>
    <row r="40" spans="1:11" x14ac:dyDescent="0.35">
      <c r="A40" s="7" t="s">
        <v>24</v>
      </c>
      <c r="B40" s="8" t="s">
        <v>84</v>
      </c>
      <c r="C40" s="35">
        <v>0</v>
      </c>
      <c r="D40" s="9">
        <v>0</v>
      </c>
      <c r="E40" s="9"/>
      <c r="F40" s="9"/>
      <c r="G40" s="9"/>
      <c r="H40" s="43">
        <f t="shared" ref="H40:H45" si="8">C40+D40</f>
        <v>0</v>
      </c>
    </row>
    <row r="41" spans="1:11" x14ac:dyDescent="0.35">
      <c r="A41" s="7" t="s">
        <v>26</v>
      </c>
      <c r="B41" s="8" t="s">
        <v>114</v>
      </c>
      <c r="C41" s="35">
        <f>SUM(C42:C44)</f>
        <v>734135545.73000002</v>
      </c>
      <c r="D41" s="35">
        <f t="shared" ref="D41:J41" si="9">SUM(D42:D44)</f>
        <v>0</v>
      </c>
      <c r="E41" s="35">
        <f t="shared" si="9"/>
        <v>0</v>
      </c>
      <c r="F41" s="35">
        <f t="shared" si="9"/>
        <v>0</v>
      </c>
      <c r="G41" s="35">
        <f t="shared" si="9"/>
        <v>0</v>
      </c>
      <c r="H41" s="35">
        <f t="shared" si="9"/>
        <v>734135545.73000002</v>
      </c>
      <c r="I41" s="35">
        <f t="shared" si="9"/>
        <v>0</v>
      </c>
      <c r="J41" s="35">
        <f t="shared" si="9"/>
        <v>0</v>
      </c>
    </row>
    <row r="42" spans="1:11" x14ac:dyDescent="0.35">
      <c r="A42" s="7"/>
      <c r="B42" s="8" t="s">
        <v>86</v>
      </c>
      <c r="C42" s="35">
        <f>'Finanszírozási kiadások'!C18+'Finanszírozási kiadások'!D18</f>
        <v>704876239.73000002</v>
      </c>
      <c r="D42" s="35">
        <f>'Finanszírozási kiadások'!E18</f>
        <v>0</v>
      </c>
      <c r="E42" s="9"/>
      <c r="F42" s="9"/>
      <c r="G42" s="9"/>
      <c r="H42" s="43">
        <f t="shared" si="8"/>
        <v>704876239.73000002</v>
      </c>
    </row>
    <row r="43" spans="1:11" x14ac:dyDescent="0.35">
      <c r="B43" s="8" t="s">
        <v>680</v>
      </c>
      <c r="C43" s="35">
        <f>'Finanszírozási kiadások'!C20+'Finanszírozási kiadások'!D20</f>
        <v>1241299</v>
      </c>
      <c r="D43" s="35">
        <v>0</v>
      </c>
      <c r="E43" s="16"/>
      <c r="F43" s="16"/>
      <c r="G43" s="16"/>
      <c r="H43" s="43">
        <f t="shared" si="8"/>
        <v>1241299</v>
      </c>
    </row>
    <row r="44" spans="1:11" x14ac:dyDescent="0.35">
      <c r="B44" s="8" t="s">
        <v>681</v>
      </c>
      <c r="C44" s="35">
        <f>'Finanszírozási kiadások'!C17+'Finanszírozási kiadások'!D17</f>
        <v>28018007</v>
      </c>
      <c r="D44" s="35">
        <f>'Finanszírozási kiadások'!E17</f>
        <v>0</v>
      </c>
      <c r="E44" s="16"/>
      <c r="F44" s="16"/>
      <c r="G44" s="16"/>
      <c r="H44" s="43">
        <f>SUM(C44:D44)</f>
        <v>28018007</v>
      </c>
    </row>
    <row r="45" spans="1:11" x14ac:dyDescent="0.35">
      <c r="A45" s="7" t="s">
        <v>28</v>
      </c>
      <c r="B45" s="8" t="s">
        <v>87</v>
      </c>
      <c r="C45" s="35">
        <v>0</v>
      </c>
      <c r="D45" s="9">
        <v>0</v>
      </c>
      <c r="E45" s="9"/>
      <c r="F45" s="9"/>
      <c r="G45" s="9"/>
      <c r="H45" s="43">
        <f t="shared" si="8"/>
        <v>0</v>
      </c>
    </row>
    <row r="46" spans="1:11" x14ac:dyDescent="0.35">
      <c r="A46" s="7" t="s">
        <v>30</v>
      </c>
      <c r="B46" s="13" t="s">
        <v>88</v>
      </c>
      <c r="C46" s="9">
        <f>C39+C40+C41+C45</f>
        <v>854135545.73000002</v>
      </c>
      <c r="D46" s="9">
        <f t="shared" ref="D46:H46" si="10">D39+D40+D41+D45</f>
        <v>0</v>
      </c>
      <c r="E46" s="9">
        <f t="shared" si="10"/>
        <v>0</v>
      </c>
      <c r="F46" s="9">
        <f t="shared" si="10"/>
        <v>0</v>
      </c>
      <c r="G46" s="9">
        <f t="shared" si="10"/>
        <v>0</v>
      </c>
      <c r="H46" s="10">
        <f t="shared" si="10"/>
        <v>854135545.73000002</v>
      </c>
    </row>
    <row r="47" spans="1:11" x14ac:dyDescent="0.35">
      <c r="A47" s="7" t="s">
        <v>32</v>
      </c>
      <c r="B47" s="13" t="s">
        <v>89</v>
      </c>
      <c r="C47" s="9">
        <f>C38+C46</f>
        <v>2450897831.5500002</v>
      </c>
      <c r="D47" s="9">
        <f t="shared" ref="D47:H47" si="11">D38+D46</f>
        <v>27361660.594999999</v>
      </c>
      <c r="E47" s="9">
        <f t="shared" si="11"/>
        <v>0</v>
      </c>
      <c r="F47" s="9">
        <f t="shared" si="11"/>
        <v>0</v>
      </c>
      <c r="G47" s="9">
        <f t="shared" si="11"/>
        <v>0</v>
      </c>
      <c r="H47" s="10">
        <f t="shared" si="11"/>
        <v>2478259492.145</v>
      </c>
      <c r="K47" s="11">
        <f>H23-H47</f>
        <v>-3.4999847412109375E-2</v>
      </c>
    </row>
    <row r="48" spans="1:11" x14ac:dyDescent="0.35">
      <c r="C48" s="11"/>
      <c r="D48" s="11"/>
      <c r="E48" s="11"/>
      <c r="F48" s="11"/>
      <c r="G48" s="11"/>
      <c r="H48" s="11"/>
    </row>
  </sheetData>
  <mergeCells count="4">
    <mergeCell ref="A1:C1"/>
    <mergeCell ref="A2:C2"/>
    <mergeCell ref="G3:H3"/>
    <mergeCell ref="D1:H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22" zoomScaleNormal="100"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42.81640625" bestFit="1" customWidth="1"/>
    <col min="3" max="3" width="9.26953125" bestFit="1" customWidth="1"/>
    <col min="4" max="4" width="10.81640625" customWidth="1"/>
    <col min="5" max="5" width="11" customWidth="1"/>
    <col min="6" max="6" width="11.54296875" customWidth="1"/>
    <col min="7" max="7" width="10.81640625" bestFit="1" customWidth="1"/>
  </cols>
  <sheetData>
    <row r="1" spans="1:6" x14ac:dyDescent="0.35">
      <c r="A1" s="300" t="s">
        <v>115</v>
      </c>
      <c r="B1" s="301"/>
      <c r="C1" s="301"/>
      <c r="D1" s="295" t="s">
        <v>712</v>
      </c>
      <c r="E1" s="295"/>
      <c r="F1" s="296"/>
    </row>
    <row r="2" spans="1:6" ht="15" customHeight="1" x14ac:dyDescent="0.35">
      <c r="A2" s="293" t="s">
        <v>626</v>
      </c>
      <c r="B2" s="297"/>
      <c r="C2" s="297"/>
      <c r="D2" s="296"/>
      <c r="E2" s="296"/>
      <c r="F2" s="296"/>
    </row>
    <row r="3" spans="1:6" x14ac:dyDescent="0.35">
      <c r="A3" s="1"/>
      <c r="B3" s="2" t="s">
        <v>0</v>
      </c>
      <c r="C3" s="3"/>
      <c r="D3" s="4"/>
      <c r="E3" s="302" t="s">
        <v>93</v>
      </c>
      <c r="F3" s="303"/>
    </row>
    <row r="4" spans="1:6" ht="21" x14ac:dyDescent="0.35">
      <c r="A4" s="31" t="s">
        <v>1</v>
      </c>
      <c r="B4" s="32" t="s">
        <v>2</v>
      </c>
      <c r="C4" s="32" t="s">
        <v>95</v>
      </c>
      <c r="D4" s="32" t="s">
        <v>96</v>
      </c>
      <c r="E4" s="32" t="s">
        <v>97</v>
      </c>
      <c r="F4" s="31" t="s">
        <v>98</v>
      </c>
    </row>
    <row r="5" spans="1:6" x14ac:dyDescent="0.35">
      <c r="A5" s="7" t="s">
        <v>4</v>
      </c>
      <c r="B5" s="8" t="s">
        <v>5</v>
      </c>
      <c r="C5" s="9">
        <v>0</v>
      </c>
      <c r="D5" s="9">
        <v>0</v>
      </c>
      <c r="E5" s="9">
        <v>0</v>
      </c>
      <c r="F5" s="10">
        <f>C5+D5+E5</f>
        <v>0</v>
      </c>
    </row>
    <row r="6" spans="1:6" x14ac:dyDescent="0.35">
      <c r="A6" s="7" t="s">
        <v>6</v>
      </c>
      <c r="B6" s="8" t="s">
        <v>116</v>
      </c>
      <c r="C6" s="9">
        <v>0</v>
      </c>
      <c r="D6" s="9">
        <v>0</v>
      </c>
      <c r="E6" s="9">
        <v>0</v>
      </c>
      <c r="F6" s="10">
        <f t="shared" ref="F6:F20" si="0">C6+D6+E6</f>
        <v>0</v>
      </c>
    </row>
    <row r="7" spans="1:6" x14ac:dyDescent="0.35">
      <c r="A7" s="7" t="s">
        <v>16</v>
      </c>
      <c r="B7" s="8" t="s">
        <v>117</v>
      </c>
      <c r="C7" s="9">
        <v>0</v>
      </c>
      <c r="D7" s="9">
        <v>0</v>
      </c>
      <c r="E7" s="9">
        <v>0</v>
      </c>
      <c r="F7" s="10">
        <f t="shared" si="0"/>
        <v>0</v>
      </c>
    </row>
    <row r="8" spans="1:6" x14ac:dyDescent="0.35">
      <c r="A8" s="7" t="s">
        <v>18</v>
      </c>
      <c r="B8" s="8" t="s">
        <v>19</v>
      </c>
      <c r="C8" s="9">
        <f>'Költségvetési bevételek'!F37</f>
        <v>0</v>
      </c>
      <c r="D8" s="9">
        <f>'Költségvetési bevételek'!G37</f>
        <v>0</v>
      </c>
      <c r="E8" s="9">
        <v>0</v>
      </c>
      <c r="F8" s="10">
        <f t="shared" si="0"/>
        <v>0</v>
      </c>
    </row>
    <row r="9" spans="1:6" x14ac:dyDescent="0.35">
      <c r="A9" s="7" t="s">
        <v>24</v>
      </c>
      <c r="B9" s="8" t="s">
        <v>105</v>
      </c>
      <c r="C9" s="9">
        <f>'Költségvetési bevételek'!F53</f>
        <v>800000</v>
      </c>
      <c r="D9" s="9">
        <f>'Költségvetési bevételek'!G53</f>
        <v>0</v>
      </c>
      <c r="E9" s="9">
        <v>0</v>
      </c>
      <c r="F9" s="10">
        <f t="shared" si="0"/>
        <v>800000</v>
      </c>
    </row>
    <row r="10" spans="1:6" x14ac:dyDescent="0.35">
      <c r="A10" s="7" t="s">
        <v>26</v>
      </c>
      <c r="B10" s="8" t="s">
        <v>27</v>
      </c>
      <c r="C10" s="9">
        <v>0</v>
      </c>
      <c r="D10" s="9">
        <v>0</v>
      </c>
      <c r="E10" s="9">
        <v>0</v>
      </c>
      <c r="F10" s="10">
        <f t="shared" si="0"/>
        <v>0</v>
      </c>
    </row>
    <row r="11" spans="1:6" x14ac:dyDescent="0.35">
      <c r="A11" s="7" t="s">
        <v>28</v>
      </c>
      <c r="B11" s="8" t="s">
        <v>29</v>
      </c>
      <c r="C11" s="9">
        <v>0</v>
      </c>
      <c r="D11" s="9">
        <v>0</v>
      </c>
      <c r="E11" s="9">
        <v>0</v>
      </c>
      <c r="F11" s="10">
        <f t="shared" si="0"/>
        <v>0</v>
      </c>
    </row>
    <row r="12" spans="1:6" x14ac:dyDescent="0.35">
      <c r="A12" s="7" t="s">
        <v>30</v>
      </c>
      <c r="B12" s="8" t="s">
        <v>31</v>
      </c>
      <c r="C12" s="9">
        <v>0</v>
      </c>
      <c r="D12" s="9">
        <v>0</v>
      </c>
      <c r="E12" s="9">
        <v>0</v>
      </c>
      <c r="F12" s="10">
        <f t="shared" si="0"/>
        <v>0</v>
      </c>
    </row>
    <row r="13" spans="1:6" x14ac:dyDescent="0.35">
      <c r="A13" s="12" t="s">
        <v>32</v>
      </c>
      <c r="B13" s="13" t="s">
        <v>33</v>
      </c>
      <c r="C13" s="9">
        <f>C5+C6+C7+C8+C9+C10+C11+C12</f>
        <v>800000</v>
      </c>
      <c r="D13" s="9">
        <f t="shared" ref="D13:F13" si="1">D5+D6+D7+D8+D9+D10+D11+D12</f>
        <v>0</v>
      </c>
      <c r="E13" s="9">
        <f t="shared" si="1"/>
        <v>0</v>
      </c>
      <c r="F13" s="10">
        <f t="shared" si="1"/>
        <v>800000</v>
      </c>
    </row>
    <row r="14" spans="1:6" x14ac:dyDescent="0.35">
      <c r="A14" s="7" t="s">
        <v>34</v>
      </c>
      <c r="B14" s="8" t="s">
        <v>35</v>
      </c>
      <c r="C14" s="9">
        <v>0</v>
      </c>
      <c r="D14" s="9">
        <v>0</v>
      </c>
      <c r="E14" s="9">
        <v>0</v>
      </c>
      <c r="F14" s="10">
        <f t="shared" si="0"/>
        <v>0</v>
      </c>
    </row>
    <row r="15" spans="1:6" x14ac:dyDescent="0.35">
      <c r="A15" s="7" t="s">
        <v>36</v>
      </c>
      <c r="B15" s="8" t="s">
        <v>37</v>
      </c>
      <c r="C15" s="9">
        <v>0</v>
      </c>
      <c r="D15" s="9">
        <v>0</v>
      </c>
      <c r="E15" s="9">
        <v>0</v>
      </c>
      <c r="F15" s="10">
        <f t="shared" si="0"/>
        <v>0</v>
      </c>
    </row>
    <row r="16" spans="1:6" x14ac:dyDescent="0.35">
      <c r="A16" s="7" t="s">
        <v>38</v>
      </c>
      <c r="B16" s="8" t="s">
        <v>39</v>
      </c>
      <c r="C16" s="9">
        <f>'Finanszírozási bevételek'!F16</f>
        <v>0</v>
      </c>
      <c r="D16" s="9">
        <f>'Finanszírozási bevételek'!G16</f>
        <v>0</v>
      </c>
      <c r="E16" s="9">
        <v>0</v>
      </c>
      <c r="F16" s="10">
        <f t="shared" si="0"/>
        <v>0</v>
      </c>
    </row>
    <row r="17" spans="1:7" x14ac:dyDescent="0.35">
      <c r="A17" s="7" t="s">
        <v>40</v>
      </c>
      <c r="B17" s="8" t="s">
        <v>41</v>
      </c>
      <c r="C17" s="9">
        <f>C18</f>
        <v>262373057.00999999</v>
      </c>
      <c r="D17" s="9">
        <f t="shared" ref="D17:F17" si="2">D18</f>
        <v>29463299.829999998</v>
      </c>
      <c r="E17" s="9">
        <f t="shared" si="2"/>
        <v>0</v>
      </c>
      <c r="F17" s="10">
        <f t="shared" si="2"/>
        <v>291836356.83999997</v>
      </c>
    </row>
    <row r="18" spans="1:7" x14ac:dyDescent="0.35">
      <c r="A18" s="7"/>
      <c r="B18" s="8" t="s">
        <v>42</v>
      </c>
      <c r="C18" s="9">
        <f>C43-C13</f>
        <v>262373057.00999999</v>
      </c>
      <c r="D18" s="9">
        <f t="shared" ref="D18:F18" si="3">D43-D13</f>
        <v>29463299.829999998</v>
      </c>
      <c r="E18" s="9">
        <f t="shared" si="3"/>
        <v>0</v>
      </c>
      <c r="F18" s="9">
        <f t="shared" si="3"/>
        <v>291836356.83999997</v>
      </c>
    </row>
    <row r="19" spans="1:7" x14ac:dyDescent="0.35">
      <c r="A19" s="7" t="s">
        <v>44</v>
      </c>
      <c r="B19" s="8" t="s">
        <v>45</v>
      </c>
      <c r="C19" s="9">
        <v>0</v>
      </c>
      <c r="D19" s="9">
        <v>0</v>
      </c>
      <c r="E19" s="9">
        <v>0</v>
      </c>
      <c r="F19" s="10">
        <f t="shared" si="0"/>
        <v>0</v>
      </c>
    </row>
    <row r="20" spans="1:7" x14ac:dyDescent="0.35">
      <c r="A20" s="7" t="s">
        <v>46</v>
      </c>
      <c r="B20" s="8" t="s">
        <v>47</v>
      </c>
      <c r="C20" s="9">
        <v>0</v>
      </c>
      <c r="D20" s="9">
        <v>0</v>
      </c>
      <c r="E20" s="9">
        <v>0</v>
      </c>
      <c r="F20" s="10">
        <f t="shared" si="0"/>
        <v>0</v>
      </c>
    </row>
    <row r="21" spans="1:7" x14ac:dyDescent="0.35">
      <c r="A21" s="7" t="s">
        <v>48</v>
      </c>
      <c r="B21" s="13" t="s">
        <v>49</v>
      </c>
      <c r="C21" s="9">
        <f>C14+C15+C16+C17+C19+C20</f>
        <v>262373057.00999999</v>
      </c>
      <c r="D21" s="9">
        <f t="shared" ref="D21:F21" si="4">D14+D15+D16+D17+D19+D20</f>
        <v>29463299.829999998</v>
      </c>
      <c r="E21" s="9">
        <f t="shared" si="4"/>
        <v>0</v>
      </c>
      <c r="F21" s="10">
        <f t="shared" si="4"/>
        <v>291836356.83999997</v>
      </c>
    </row>
    <row r="22" spans="1:7" x14ac:dyDescent="0.35">
      <c r="A22" s="7" t="s">
        <v>50</v>
      </c>
      <c r="B22" s="13" t="s">
        <v>51</v>
      </c>
      <c r="C22" s="9">
        <f>C13+C21</f>
        <v>263173057.00999999</v>
      </c>
      <c r="D22" s="9">
        <f t="shared" ref="D22:F22" si="5">D13+D21</f>
        <v>29463299.829999998</v>
      </c>
      <c r="E22" s="9">
        <f t="shared" si="5"/>
        <v>0</v>
      </c>
      <c r="F22" s="10">
        <f t="shared" si="5"/>
        <v>292636356.83999997</v>
      </c>
    </row>
    <row r="23" spans="1:7" x14ac:dyDescent="0.35">
      <c r="A23" s="17"/>
      <c r="B23" s="18" t="s">
        <v>58</v>
      </c>
      <c r="C23" s="19"/>
      <c r="E23" s="304" t="s">
        <v>93</v>
      </c>
      <c r="F23" s="305"/>
    </row>
    <row r="24" spans="1:7" ht="21" x14ac:dyDescent="0.35">
      <c r="A24" s="31" t="s">
        <v>1</v>
      </c>
      <c r="B24" s="32" t="s">
        <v>2</v>
      </c>
      <c r="C24" s="32" t="s">
        <v>95</v>
      </c>
      <c r="D24" s="32" t="s">
        <v>96</v>
      </c>
      <c r="E24" s="32" t="s">
        <v>97</v>
      </c>
      <c r="F24" s="31" t="s">
        <v>98</v>
      </c>
    </row>
    <row r="25" spans="1:7" x14ac:dyDescent="0.35">
      <c r="A25" s="20" t="s">
        <v>4</v>
      </c>
      <c r="B25" s="21" t="s">
        <v>59</v>
      </c>
      <c r="C25" s="22">
        <f>C26+C27+C28+C29+C30+C31</f>
        <v>251613056</v>
      </c>
      <c r="D25" s="22">
        <f t="shared" ref="D25:E25" si="6">D26+D27+D28+D29+D30+D31</f>
        <v>29213300.329999998</v>
      </c>
      <c r="E25" s="22">
        <f t="shared" si="6"/>
        <v>0</v>
      </c>
      <c r="F25" s="10">
        <f>SUM(F26:F31)</f>
        <v>280826356.32999998</v>
      </c>
    </row>
    <row r="26" spans="1:7" x14ac:dyDescent="0.35">
      <c r="A26" s="7" t="s">
        <v>60</v>
      </c>
      <c r="B26" s="8" t="s">
        <v>61</v>
      </c>
      <c r="C26" s="9">
        <f>'Költségvetési kiadások'!F23</f>
        <v>173424207</v>
      </c>
      <c r="D26" s="9">
        <f>'Költségvetési kiadások'!G23</f>
        <v>20188655</v>
      </c>
      <c r="E26" s="9">
        <v>0</v>
      </c>
      <c r="F26" s="9">
        <f>C26+D26+E26</f>
        <v>193612862</v>
      </c>
      <c r="G26" s="11"/>
    </row>
    <row r="27" spans="1:7" x14ac:dyDescent="0.35">
      <c r="A27" s="7" t="s">
        <v>62</v>
      </c>
      <c r="B27" s="8" t="s">
        <v>63</v>
      </c>
      <c r="C27" s="9">
        <f>'Költségvetési kiadások'!F24</f>
        <v>35571793</v>
      </c>
      <c r="D27" s="9">
        <f>'Költségvetési kiadások'!G24</f>
        <v>3993967</v>
      </c>
      <c r="E27" s="9">
        <v>0</v>
      </c>
      <c r="F27" s="9">
        <f>C27+D27+E27</f>
        <v>39565760</v>
      </c>
      <c r="G27" s="11"/>
    </row>
    <row r="28" spans="1:7" x14ac:dyDescent="0.35">
      <c r="A28" s="7" t="s">
        <v>64</v>
      </c>
      <c r="B28" s="8" t="s">
        <v>65</v>
      </c>
      <c r="C28" s="9">
        <f>'Költségvetési kiadások'!F49</f>
        <v>42617056</v>
      </c>
      <c r="D28" s="9">
        <f>'Költségvetési kiadások'!G49</f>
        <v>5030678.33</v>
      </c>
      <c r="E28" s="9">
        <v>0</v>
      </c>
      <c r="F28" s="9">
        <f>C28+D28+E28</f>
        <v>47647734.329999998</v>
      </c>
      <c r="G28" s="11"/>
    </row>
    <row r="29" spans="1:7" x14ac:dyDescent="0.35">
      <c r="A29" s="7" t="s">
        <v>66</v>
      </c>
      <c r="B29" s="8" t="s">
        <v>67</v>
      </c>
      <c r="C29" s="9">
        <f>'Költségvetési kiadások'!F58</f>
        <v>0</v>
      </c>
      <c r="D29" s="9">
        <f>'Költségvetési kiadások'!G58</f>
        <v>0</v>
      </c>
      <c r="E29" s="9">
        <v>0</v>
      </c>
      <c r="F29" s="9">
        <f>C29+D29+E29</f>
        <v>0</v>
      </c>
    </row>
    <row r="30" spans="1:7" x14ac:dyDescent="0.35">
      <c r="A30" s="7" t="s">
        <v>68</v>
      </c>
      <c r="B30" s="8" t="s">
        <v>69</v>
      </c>
      <c r="C30" s="9">
        <f>'Költségvetési kiadások'!F75</f>
        <v>0</v>
      </c>
      <c r="D30" s="9">
        <f>'Költségvetési kiadások'!G75</f>
        <v>0</v>
      </c>
      <c r="E30" s="9">
        <v>0</v>
      </c>
      <c r="F30" s="10">
        <f t="shared" ref="F30:F41" si="7">C30+D30+E30</f>
        <v>0</v>
      </c>
    </row>
    <row r="31" spans="1:7" x14ac:dyDescent="0.35">
      <c r="A31" s="23" t="s">
        <v>74</v>
      </c>
      <c r="B31" s="8" t="s">
        <v>75</v>
      </c>
      <c r="C31" s="9">
        <f>'Költségvetési kiadások'!F74</f>
        <v>0</v>
      </c>
      <c r="D31" s="9"/>
      <c r="E31" s="9">
        <v>0</v>
      </c>
      <c r="F31" s="10">
        <f t="shared" si="7"/>
        <v>0</v>
      </c>
    </row>
    <row r="32" spans="1:7" x14ac:dyDescent="0.35">
      <c r="A32" s="23" t="s">
        <v>6</v>
      </c>
      <c r="B32" s="8" t="s">
        <v>76</v>
      </c>
      <c r="C32" s="9">
        <f>C33+C34+C35</f>
        <v>11560001.01</v>
      </c>
      <c r="D32" s="9">
        <f t="shared" ref="D32:E32" si="8">D33+D34+D35</f>
        <v>249999.5</v>
      </c>
      <c r="E32" s="9">
        <f t="shared" si="8"/>
        <v>0</v>
      </c>
      <c r="F32" s="10">
        <f>SUM(F33:F35)</f>
        <v>11810000.51</v>
      </c>
    </row>
    <row r="33" spans="1:6" x14ac:dyDescent="0.35">
      <c r="A33" s="23" t="s">
        <v>8</v>
      </c>
      <c r="B33" s="8" t="s">
        <v>77</v>
      </c>
      <c r="C33" s="9">
        <f>'Költségvetési kiadások'!F83</f>
        <v>11560001.01</v>
      </c>
      <c r="D33" s="9">
        <f>'Költségvetési kiadások'!G83</f>
        <v>249999.5</v>
      </c>
      <c r="E33" s="9">
        <v>0</v>
      </c>
      <c r="F33" s="10">
        <f t="shared" si="7"/>
        <v>11810000.51</v>
      </c>
    </row>
    <row r="34" spans="1:6" x14ac:dyDescent="0.35">
      <c r="A34" s="23" t="s">
        <v>78</v>
      </c>
      <c r="B34" s="8" t="s">
        <v>79</v>
      </c>
      <c r="C34" s="10">
        <f>'Költségvetési kiadások'!F88</f>
        <v>0</v>
      </c>
      <c r="D34" s="10">
        <f>'Költségvetési kiadások'!G88</f>
        <v>0</v>
      </c>
      <c r="E34" s="9">
        <v>0</v>
      </c>
      <c r="F34" s="10">
        <f t="shared" si="7"/>
        <v>0</v>
      </c>
    </row>
    <row r="35" spans="1:6" x14ac:dyDescent="0.35">
      <c r="A35" s="23" t="s">
        <v>80</v>
      </c>
      <c r="B35" s="8" t="s">
        <v>81</v>
      </c>
      <c r="C35" s="9">
        <v>0</v>
      </c>
      <c r="D35" s="9">
        <v>0</v>
      </c>
      <c r="E35" s="9">
        <v>0</v>
      </c>
      <c r="F35" s="10">
        <f t="shared" si="7"/>
        <v>0</v>
      </c>
    </row>
    <row r="36" spans="1:6" x14ac:dyDescent="0.35">
      <c r="A36" s="23" t="s">
        <v>16</v>
      </c>
      <c r="B36" s="13" t="s">
        <v>82</v>
      </c>
      <c r="C36" s="9">
        <f>C25+C32</f>
        <v>263173057.00999999</v>
      </c>
      <c r="D36" s="9">
        <f>D25+D32</f>
        <v>29463299.829999998</v>
      </c>
      <c r="E36" s="9">
        <f>E25+E32</f>
        <v>0</v>
      </c>
      <c r="F36" s="10">
        <f>F25+F32</f>
        <v>292636356.83999997</v>
      </c>
    </row>
    <row r="37" spans="1:6" x14ac:dyDescent="0.35">
      <c r="A37" s="7" t="s">
        <v>18</v>
      </c>
      <c r="B37" s="8" t="s">
        <v>83</v>
      </c>
      <c r="C37" s="9">
        <v>0</v>
      </c>
      <c r="D37" s="9">
        <v>0</v>
      </c>
      <c r="E37" s="9">
        <v>0</v>
      </c>
      <c r="F37" s="10">
        <f t="shared" si="7"/>
        <v>0</v>
      </c>
    </row>
    <row r="38" spans="1:6" x14ac:dyDescent="0.35">
      <c r="A38" s="7" t="s">
        <v>24</v>
      </c>
      <c r="B38" s="8" t="s">
        <v>84</v>
      </c>
      <c r="C38" s="9">
        <v>0</v>
      </c>
      <c r="D38" s="9">
        <v>0</v>
      </c>
      <c r="E38" s="9">
        <v>0</v>
      </c>
      <c r="F38" s="10">
        <f t="shared" si="7"/>
        <v>0</v>
      </c>
    </row>
    <row r="39" spans="1:6" x14ac:dyDescent="0.35">
      <c r="A39" s="7" t="s">
        <v>26</v>
      </c>
      <c r="B39" s="8" t="s">
        <v>85</v>
      </c>
      <c r="C39" s="9">
        <f>C40</f>
        <v>0</v>
      </c>
      <c r="D39" s="9">
        <f>D40</f>
        <v>0</v>
      </c>
      <c r="E39" s="9">
        <f>E40</f>
        <v>0</v>
      </c>
      <c r="F39" s="10">
        <f t="shared" si="7"/>
        <v>0</v>
      </c>
    </row>
    <row r="40" spans="1:6" x14ac:dyDescent="0.35">
      <c r="A40" s="7"/>
      <c r="B40" s="8" t="s">
        <v>118</v>
      </c>
      <c r="C40" s="9">
        <v>0</v>
      </c>
      <c r="D40" s="9">
        <v>0</v>
      </c>
      <c r="E40" s="9">
        <v>0</v>
      </c>
      <c r="F40" s="10">
        <f t="shared" si="7"/>
        <v>0</v>
      </c>
    </row>
    <row r="41" spans="1:6" x14ac:dyDescent="0.35">
      <c r="A41" s="7" t="s">
        <v>28</v>
      </c>
      <c r="B41" s="8" t="s">
        <v>87</v>
      </c>
      <c r="C41" s="9">
        <v>0</v>
      </c>
      <c r="D41" s="9">
        <v>0</v>
      </c>
      <c r="E41" s="9">
        <v>0</v>
      </c>
      <c r="F41" s="10">
        <f t="shared" si="7"/>
        <v>0</v>
      </c>
    </row>
    <row r="42" spans="1:6" s="135" customFormat="1" x14ac:dyDescent="0.35">
      <c r="A42" s="12" t="s">
        <v>30</v>
      </c>
      <c r="B42" s="13" t="s">
        <v>88</v>
      </c>
      <c r="C42" s="10">
        <f>C37+C38+C39+C41</f>
        <v>0</v>
      </c>
      <c r="D42" s="10">
        <f t="shared" ref="D42:F42" si="9">D37+D38+D39+D41</f>
        <v>0</v>
      </c>
      <c r="E42" s="10">
        <f t="shared" si="9"/>
        <v>0</v>
      </c>
      <c r="F42" s="10">
        <f t="shared" si="9"/>
        <v>0</v>
      </c>
    </row>
    <row r="43" spans="1:6" s="135" customFormat="1" x14ac:dyDescent="0.35">
      <c r="A43" s="12" t="s">
        <v>32</v>
      </c>
      <c r="B43" s="13" t="s">
        <v>89</v>
      </c>
      <c r="C43" s="10">
        <f>C36+C42</f>
        <v>263173057.00999999</v>
      </c>
      <c r="D43" s="10">
        <f t="shared" ref="D43:F43" si="10">D36+D42</f>
        <v>29463299.829999998</v>
      </c>
      <c r="E43" s="10">
        <f t="shared" si="10"/>
        <v>0</v>
      </c>
      <c r="F43" s="10">
        <f t="shared" si="10"/>
        <v>292636356.83999997</v>
      </c>
    </row>
    <row r="44" spans="1:6" x14ac:dyDescent="0.35">
      <c r="A44" s="45"/>
      <c r="B44" s="46"/>
      <c r="C44" s="47"/>
      <c r="D44" s="47"/>
      <c r="E44" s="47"/>
      <c r="F44" s="48"/>
    </row>
  </sheetData>
  <mergeCells count="5">
    <mergeCell ref="A1:C1"/>
    <mergeCell ref="D1:F2"/>
    <mergeCell ref="A2:C2"/>
    <mergeCell ref="E3:F3"/>
    <mergeCell ref="E23:F2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Normal="100"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45.1796875" bestFit="1" customWidth="1"/>
    <col min="3" max="3" width="10.81640625" customWidth="1"/>
    <col min="4" max="4" width="12" customWidth="1"/>
    <col min="5" max="5" width="12.26953125" customWidth="1"/>
    <col min="6" max="6" width="12.1796875" style="135" customWidth="1"/>
  </cols>
  <sheetData>
    <row r="1" spans="1:6" x14ac:dyDescent="0.35">
      <c r="A1" s="306" t="s">
        <v>119</v>
      </c>
      <c r="B1" s="307"/>
      <c r="C1" s="307"/>
      <c r="D1" s="308" t="s">
        <v>713</v>
      </c>
      <c r="E1" s="308"/>
      <c r="F1" s="309"/>
    </row>
    <row r="2" spans="1:6" ht="21" customHeight="1" x14ac:dyDescent="0.35">
      <c r="A2" s="293" t="s">
        <v>626</v>
      </c>
      <c r="B2" s="297"/>
      <c r="C2" s="297"/>
      <c r="D2" s="309"/>
      <c r="E2" s="309"/>
      <c r="F2" s="309"/>
    </row>
    <row r="3" spans="1:6" x14ac:dyDescent="0.35">
      <c r="A3" s="161"/>
      <c r="B3" s="160" t="s">
        <v>0</v>
      </c>
      <c r="C3" s="146"/>
      <c r="D3" s="144"/>
      <c r="E3" s="310" t="s">
        <v>93</v>
      </c>
      <c r="F3" s="311"/>
    </row>
    <row r="4" spans="1:6" ht="24" x14ac:dyDescent="0.35">
      <c r="A4" s="148" t="s">
        <v>1</v>
      </c>
      <c r="B4" s="149" t="s">
        <v>2</v>
      </c>
      <c r="C4" s="149" t="s">
        <v>95</v>
      </c>
      <c r="D4" s="149" t="s">
        <v>96</v>
      </c>
      <c r="E4" s="149" t="s">
        <v>97</v>
      </c>
      <c r="F4" s="148" t="s">
        <v>98</v>
      </c>
    </row>
    <row r="5" spans="1:6" x14ac:dyDescent="0.35">
      <c r="A5" s="154" t="s">
        <v>4</v>
      </c>
      <c r="B5" s="162" t="s">
        <v>5</v>
      </c>
      <c r="C5" s="157">
        <v>0</v>
      </c>
      <c r="D5" s="157">
        <v>0</v>
      </c>
      <c r="E5" s="157">
        <v>0</v>
      </c>
      <c r="F5" s="153">
        <f>C5+D5+E5</f>
        <v>0</v>
      </c>
    </row>
    <row r="6" spans="1:6" x14ac:dyDescent="0.35">
      <c r="A6" s="154" t="s">
        <v>6</v>
      </c>
      <c r="B6" s="162" t="s">
        <v>7</v>
      </c>
      <c r="C6" s="157">
        <v>0</v>
      </c>
      <c r="D6" s="157">
        <v>0</v>
      </c>
      <c r="E6" s="157">
        <v>0</v>
      </c>
      <c r="F6" s="153">
        <f t="shared" ref="F6:F20" si="0">C6+D6+E6</f>
        <v>0</v>
      </c>
    </row>
    <row r="7" spans="1:6" x14ac:dyDescent="0.35">
      <c r="A7" s="154" t="s">
        <v>16</v>
      </c>
      <c r="B7" s="162" t="s">
        <v>117</v>
      </c>
      <c r="C7" s="157">
        <v>0</v>
      </c>
      <c r="D7" s="157">
        <v>0</v>
      </c>
      <c r="E7" s="157">
        <v>0</v>
      </c>
      <c r="F7" s="153">
        <f t="shared" si="0"/>
        <v>0</v>
      </c>
    </row>
    <row r="8" spans="1:6" x14ac:dyDescent="0.35">
      <c r="A8" s="154" t="s">
        <v>18</v>
      </c>
      <c r="B8" s="162" t="s">
        <v>19</v>
      </c>
      <c r="C8" s="157">
        <v>0</v>
      </c>
      <c r="D8" s="157">
        <v>0</v>
      </c>
      <c r="E8" s="157">
        <v>0</v>
      </c>
      <c r="F8" s="153">
        <f t="shared" si="0"/>
        <v>0</v>
      </c>
    </row>
    <row r="9" spans="1:6" x14ac:dyDescent="0.35">
      <c r="A9" s="154" t="s">
        <v>24</v>
      </c>
      <c r="B9" s="162" t="s">
        <v>25</v>
      </c>
      <c r="C9" s="157">
        <f>'Költségvetési bevételek'!J53</f>
        <v>150000</v>
      </c>
      <c r="D9" s="157">
        <f>'Költségvetési bevételek'!K53</f>
        <v>0</v>
      </c>
      <c r="E9" s="157">
        <v>0</v>
      </c>
      <c r="F9" s="153">
        <f t="shared" si="0"/>
        <v>150000</v>
      </c>
    </row>
    <row r="10" spans="1:6" x14ac:dyDescent="0.35">
      <c r="A10" s="154" t="s">
        <v>26</v>
      </c>
      <c r="B10" s="162" t="s">
        <v>27</v>
      </c>
      <c r="C10" s="157">
        <v>0</v>
      </c>
      <c r="D10" s="157">
        <v>0</v>
      </c>
      <c r="E10" s="157">
        <v>0</v>
      </c>
      <c r="F10" s="153">
        <f t="shared" si="0"/>
        <v>0</v>
      </c>
    </row>
    <row r="11" spans="1:6" x14ac:dyDescent="0.35">
      <c r="A11" s="154" t="s">
        <v>28</v>
      </c>
      <c r="B11" s="162" t="s">
        <v>29</v>
      </c>
      <c r="C11" s="157">
        <v>0</v>
      </c>
      <c r="D11" s="157">
        <v>0</v>
      </c>
      <c r="E11" s="157">
        <v>0</v>
      </c>
      <c r="F11" s="153">
        <f t="shared" si="0"/>
        <v>0</v>
      </c>
    </row>
    <row r="12" spans="1:6" x14ac:dyDescent="0.35">
      <c r="A12" s="154" t="s">
        <v>30</v>
      </c>
      <c r="B12" s="162" t="s">
        <v>31</v>
      </c>
      <c r="C12" s="157">
        <v>0</v>
      </c>
      <c r="D12" s="157">
        <v>0</v>
      </c>
      <c r="E12" s="157">
        <v>0</v>
      </c>
      <c r="F12" s="153">
        <f t="shared" si="0"/>
        <v>0</v>
      </c>
    </row>
    <row r="13" spans="1:6" s="135" customFormat="1" x14ac:dyDescent="0.35">
      <c r="A13" s="150" t="s">
        <v>32</v>
      </c>
      <c r="B13" s="163" t="s">
        <v>33</v>
      </c>
      <c r="C13" s="153">
        <f>C5+C6+C7+C8+C9+C10+C11+C12</f>
        <v>150000</v>
      </c>
      <c r="D13" s="153">
        <f t="shared" ref="D13:F13" si="1">D5+D6+D7+D8+D9+D10+D11+D12</f>
        <v>0</v>
      </c>
      <c r="E13" s="153">
        <f t="shared" si="1"/>
        <v>0</v>
      </c>
      <c r="F13" s="153">
        <f t="shared" si="1"/>
        <v>150000</v>
      </c>
    </row>
    <row r="14" spans="1:6" x14ac:dyDescent="0.35">
      <c r="A14" s="154" t="s">
        <v>34</v>
      </c>
      <c r="B14" s="162" t="s">
        <v>35</v>
      </c>
      <c r="C14" s="157">
        <v>0</v>
      </c>
      <c r="D14" s="157">
        <v>0</v>
      </c>
      <c r="E14" s="157">
        <v>0</v>
      </c>
      <c r="F14" s="153">
        <f t="shared" si="0"/>
        <v>0</v>
      </c>
    </row>
    <row r="15" spans="1:6" x14ac:dyDescent="0.35">
      <c r="A15" s="154" t="s">
        <v>36</v>
      </c>
      <c r="B15" s="162" t="s">
        <v>37</v>
      </c>
      <c r="C15" s="157">
        <v>0</v>
      </c>
      <c r="D15" s="157">
        <v>0</v>
      </c>
      <c r="E15" s="157">
        <v>0</v>
      </c>
      <c r="F15" s="153">
        <f t="shared" si="0"/>
        <v>0</v>
      </c>
    </row>
    <row r="16" spans="1:6" x14ac:dyDescent="0.35">
      <c r="A16" s="154" t="s">
        <v>38</v>
      </c>
      <c r="B16" s="162" t="s">
        <v>39</v>
      </c>
      <c r="C16" s="157">
        <f>'Finanszírozási bevételek'!J16</f>
        <v>0</v>
      </c>
      <c r="D16" s="157">
        <f>'Finanszírozási bevételek'!K16</f>
        <v>0</v>
      </c>
      <c r="E16" s="157">
        <v>0</v>
      </c>
      <c r="F16" s="153">
        <f t="shared" si="0"/>
        <v>0</v>
      </c>
    </row>
    <row r="17" spans="1:6" x14ac:dyDescent="0.35">
      <c r="A17" s="154" t="s">
        <v>40</v>
      </c>
      <c r="B17" s="162" t="s">
        <v>41</v>
      </c>
      <c r="C17" s="157">
        <f>C18</f>
        <v>34081440</v>
      </c>
      <c r="D17" s="157">
        <f t="shared" ref="D17:E17" si="2">D18</f>
        <v>0</v>
      </c>
      <c r="E17" s="157">
        <f t="shared" si="2"/>
        <v>0</v>
      </c>
      <c r="F17" s="153">
        <f>SUM(F18)</f>
        <v>34081440</v>
      </c>
    </row>
    <row r="18" spans="1:6" x14ac:dyDescent="0.35">
      <c r="A18" s="154"/>
      <c r="B18" s="162" t="s">
        <v>42</v>
      </c>
      <c r="C18" s="157">
        <f>F43-C13</f>
        <v>34081440</v>
      </c>
      <c r="D18" s="157">
        <f t="shared" ref="D18:E18" si="3">G43-D13</f>
        <v>0</v>
      </c>
      <c r="E18" s="157">
        <f t="shared" si="3"/>
        <v>0</v>
      </c>
      <c r="F18" s="153">
        <f t="shared" si="0"/>
        <v>34081440</v>
      </c>
    </row>
    <row r="19" spans="1:6" x14ac:dyDescent="0.35">
      <c r="A19" s="154" t="s">
        <v>44</v>
      </c>
      <c r="B19" s="162" t="s">
        <v>45</v>
      </c>
      <c r="C19" s="157">
        <v>0</v>
      </c>
      <c r="D19" s="157">
        <v>0</v>
      </c>
      <c r="E19" s="157">
        <v>0</v>
      </c>
      <c r="F19" s="153">
        <f t="shared" si="0"/>
        <v>0</v>
      </c>
    </row>
    <row r="20" spans="1:6" x14ac:dyDescent="0.35">
      <c r="A20" s="154" t="s">
        <v>46</v>
      </c>
      <c r="B20" s="162" t="s">
        <v>47</v>
      </c>
      <c r="C20" s="157">
        <v>0</v>
      </c>
      <c r="D20" s="157">
        <v>0</v>
      </c>
      <c r="E20" s="157">
        <v>0</v>
      </c>
      <c r="F20" s="153">
        <f t="shared" si="0"/>
        <v>0</v>
      </c>
    </row>
    <row r="21" spans="1:6" s="135" customFormat="1" x14ac:dyDescent="0.35">
      <c r="A21" s="150" t="s">
        <v>48</v>
      </c>
      <c r="B21" s="163" t="s">
        <v>49</v>
      </c>
      <c r="C21" s="153">
        <f>C14+C15+C16+C17+C19+C20</f>
        <v>34081440</v>
      </c>
      <c r="D21" s="153">
        <f t="shared" ref="D21:F21" si="4">D14+D15+D16+D17+D19+D20</f>
        <v>0</v>
      </c>
      <c r="E21" s="153">
        <f t="shared" si="4"/>
        <v>0</v>
      </c>
      <c r="F21" s="153">
        <f t="shared" si="4"/>
        <v>34081440</v>
      </c>
    </row>
    <row r="22" spans="1:6" s="135" customFormat="1" x14ac:dyDescent="0.35">
      <c r="A22" s="150" t="s">
        <v>50</v>
      </c>
      <c r="B22" s="163" t="s">
        <v>51</v>
      </c>
      <c r="C22" s="153">
        <f>C13+C21</f>
        <v>34231440</v>
      </c>
      <c r="D22" s="153">
        <f t="shared" ref="D22:F22" si="5">D13+D21</f>
        <v>0</v>
      </c>
      <c r="E22" s="153">
        <f t="shared" si="5"/>
        <v>0</v>
      </c>
      <c r="F22" s="153">
        <f t="shared" si="5"/>
        <v>34231440</v>
      </c>
    </row>
    <row r="23" spans="1:6" x14ac:dyDescent="0.35">
      <c r="A23" s="164"/>
      <c r="B23" s="18" t="s">
        <v>58</v>
      </c>
      <c r="C23" s="165"/>
      <c r="D23" s="166"/>
      <c r="E23" s="312" t="s">
        <v>93</v>
      </c>
      <c r="F23" s="313"/>
    </row>
    <row r="24" spans="1:6" ht="24" x14ac:dyDescent="0.35">
      <c r="A24" s="148" t="s">
        <v>1</v>
      </c>
      <c r="B24" s="149" t="s">
        <v>2</v>
      </c>
      <c r="C24" s="149" t="s">
        <v>95</v>
      </c>
      <c r="D24" s="149" t="s">
        <v>96</v>
      </c>
      <c r="E24" s="149" t="s">
        <v>97</v>
      </c>
      <c r="F24" s="148" t="s">
        <v>98</v>
      </c>
    </row>
    <row r="25" spans="1:6" s="135" customFormat="1" x14ac:dyDescent="0.35">
      <c r="A25" s="167" t="s">
        <v>4</v>
      </c>
      <c r="B25" s="168" t="s">
        <v>59</v>
      </c>
      <c r="C25" s="153">
        <f>C26+C27+C28+C29+C30+C31</f>
        <v>30909090</v>
      </c>
      <c r="D25" s="169">
        <f t="shared" ref="D25:E25" si="6">D26+D27+D28+D29+D30+D31</f>
        <v>1030000</v>
      </c>
      <c r="E25" s="169">
        <f t="shared" si="6"/>
        <v>0</v>
      </c>
      <c r="F25" s="153">
        <f>C25+D25+E25</f>
        <v>31939090</v>
      </c>
    </row>
    <row r="26" spans="1:6" x14ac:dyDescent="0.35">
      <c r="A26" s="154" t="s">
        <v>60</v>
      </c>
      <c r="B26" s="162" t="s">
        <v>61</v>
      </c>
      <c r="C26" s="157">
        <f>'Költségvetési kiadások'!J23</f>
        <v>18060780</v>
      </c>
      <c r="D26" s="157">
        <f>'Költségvetési kiadások'!K23</f>
        <v>670542</v>
      </c>
      <c r="E26" s="157">
        <v>0</v>
      </c>
      <c r="F26" s="153">
        <f t="shared" ref="F26:F41" si="7">C26+D26+E26</f>
        <v>18731322</v>
      </c>
    </row>
    <row r="27" spans="1:6" x14ac:dyDescent="0.35">
      <c r="A27" s="154" t="s">
        <v>62</v>
      </c>
      <c r="B27" s="162" t="s">
        <v>63</v>
      </c>
      <c r="C27" s="157">
        <f>'Költségvetési kiadások'!J24</f>
        <v>3548310</v>
      </c>
      <c r="D27" s="157">
        <f>'Költségvetési kiadások'!K24</f>
        <v>229458</v>
      </c>
      <c r="E27" s="157">
        <v>0</v>
      </c>
      <c r="F27" s="153">
        <f t="shared" si="7"/>
        <v>3777768</v>
      </c>
    </row>
    <row r="28" spans="1:6" x14ac:dyDescent="0.35">
      <c r="A28" s="154" t="s">
        <v>64</v>
      </c>
      <c r="B28" s="162" t="s">
        <v>65</v>
      </c>
      <c r="C28" s="157">
        <f>'Költségvetési kiadások'!J49</f>
        <v>9300000</v>
      </c>
      <c r="D28" s="157">
        <f>'Költségvetési kiadások'!K49</f>
        <v>130000</v>
      </c>
      <c r="E28" s="157">
        <v>0</v>
      </c>
      <c r="F28" s="153">
        <f t="shared" si="7"/>
        <v>9430000</v>
      </c>
    </row>
    <row r="29" spans="1:6" x14ac:dyDescent="0.35">
      <c r="A29" s="154" t="s">
        <v>66</v>
      </c>
      <c r="B29" s="162" t="s">
        <v>67</v>
      </c>
      <c r="C29" s="157">
        <v>0</v>
      </c>
      <c r="D29" s="157">
        <v>0</v>
      </c>
      <c r="E29" s="157">
        <v>0</v>
      </c>
      <c r="F29" s="153">
        <f t="shared" si="7"/>
        <v>0</v>
      </c>
    </row>
    <row r="30" spans="1:6" x14ac:dyDescent="0.35">
      <c r="A30" s="154" t="s">
        <v>68</v>
      </c>
      <c r="B30" s="162" t="s">
        <v>69</v>
      </c>
      <c r="C30" s="157">
        <v>0</v>
      </c>
      <c r="D30" s="157">
        <v>0</v>
      </c>
      <c r="E30" s="157">
        <v>0</v>
      </c>
      <c r="F30" s="153">
        <f t="shared" si="7"/>
        <v>0</v>
      </c>
    </row>
    <row r="31" spans="1:6" x14ac:dyDescent="0.35">
      <c r="A31" s="170" t="s">
        <v>74</v>
      </c>
      <c r="B31" s="162" t="s">
        <v>75</v>
      </c>
      <c r="C31" s="157">
        <v>0</v>
      </c>
      <c r="D31" s="157">
        <v>0</v>
      </c>
      <c r="E31" s="157">
        <v>0</v>
      </c>
      <c r="F31" s="153">
        <f t="shared" si="7"/>
        <v>0</v>
      </c>
    </row>
    <row r="32" spans="1:6" s="135" customFormat="1" x14ac:dyDescent="0.35">
      <c r="A32" s="171" t="s">
        <v>6</v>
      </c>
      <c r="B32" s="163" t="s">
        <v>76</v>
      </c>
      <c r="C32" s="153">
        <f>C33+C34</f>
        <v>2292350</v>
      </c>
      <c r="D32" s="153">
        <f t="shared" ref="D32:F32" si="8">D33+D34</f>
        <v>0</v>
      </c>
      <c r="E32" s="153">
        <f t="shared" si="8"/>
        <v>0</v>
      </c>
      <c r="F32" s="153">
        <f t="shared" si="8"/>
        <v>2292350</v>
      </c>
    </row>
    <row r="33" spans="1:6" x14ac:dyDescent="0.35">
      <c r="A33" s="170" t="s">
        <v>8</v>
      </c>
      <c r="B33" s="162" t="s">
        <v>77</v>
      </c>
      <c r="C33" s="157">
        <f>'Költségvetési kiadások'!J83</f>
        <v>908050</v>
      </c>
      <c r="D33" s="157">
        <f>'Költségvetési kiadások'!K83</f>
        <v>0</v>
      </c>
      <c r="E33" s="157">
        <v>0</v>
      </c>
      <c r="F33" s="153">
        <f t="shared" si="7"/>
        <v>908050</v>
      </c>
    </row>
    <row r="34" spans="1:6" s="80" customFormat="1" x14ac:dyDescent="0.35">
      <c r="A34" s="170" t="s">
        <v>78</v>
      </c>
      <c r="B34" s="162" t="s">
        <v>79</v>
      </c>
      <c r="C34" s="157">
        <f>'Költségvetési kiadások'!J88</f>
        <v>1384300</v>
      </c>
      <c r="D34" s="157">
        <f>'Költségvetési kiadások'!K88</f>
        <v>0</v>
      </c>
      <c r="E34" s="157">
        <v>0</v>
      </c>
      <c r="F34" s="153">
        <f t="shared" si="7"/>
        <v>1384300</v>
      </c>
    </row>
    <row r="35" spans="1:6" x14ac:dyDescent="0.35">
      <c r="A35" s="170" t="s">
        <v>80</v>
      </c>
      <c r="B35" s="162" t="s">
        <v>81</v>
      </c>
      <c r="C35" s="157">
        <v>0</v>
      </c>
      <c r="D35" s="157">
        <v>0</v>
      </c>
      <c r="E35" s="157">
        <v>0</v>
      </c>
      <c r="F35" s="153">
        <f t="shared" si="7"/>
        <v>0</v>
      </c>
    </row>
    <row r="36" spans="1:6" s="135" customFormat="1" x14ac:dyDescent="0.35">
      <c r="A36" s="171" t="s">
        <v>16</v>
      </c>
      <c r="B36" s="163" t="s">
        <v>82</v>
      </c>
      <c r="C36" s="153">
        <f>C25+C32</f>
        <v>33201440</v>
      </c>
      <c r="D36" s="153">
        <f t="shared" ref="D36:F36" si="9">D25+D32</f>
        <v>1030000</v>
      </c>
      <c r="E36" s="153">
        <f t="shared" si="9"/>
        <v>0</v>
      </c>
      <c r="F36" s="153">
        <f t="shared" si="9"/>
        <v>34231440</v>
      </c>
    </row>
    <row r="37" spans="1:6" x14ac:dyDescent="0.35">
      <c r="A37" s="154" t="s">
        <v>18</v>
      </c>
      <c r="B37" s="162" t="s">
        <v>83</v>
      </c>
      <c r="C37" s="157">
        <v>0</v>
      </c>
      <c r="D37" s="157">
        <v>0</v>
      </c>
      <c r="E37" s="157">
        <v>0</v>
      </c>
      <c r="F37" s="153">
        <f t="shared" si="7"/>
        <v>0</v>
      </c>
    </row>
    <row r="38" spans="1:6" x14ac:dyDescent="0.35">
      <c r="A38" s="154" t="s">
        <v>24</v>
      </c>
      <c r="B38" s="162" t="s">
        <v>84</v>
      </c>
      <c r="C38" s="157">
        <v>0</v>
      </c>
      <c r="D38" s="157">
        <v>0</v>
      </c>
      <c r="E38" s="157">
        <v>0</v>
      </c>
      <c r="F38" s="153">
        <f t="shared" si="7"/>
        <v>0</v>
      </c>
    </row>
    <row r="39" spans="1:6" x14ac:dyDescent="0.35">
      <c r="A39" s="154" t="s">
        <v>26</v>
      </c>
      <c r="B39" s="162" t="s">
        <v>85</v>
      </c>
      <c r="C39" s="157">
        <v>0</v>
      </c>
      <c r="D39" s="157">
        <v>0</v>
      </c>
      <c r="E39" s="157">
        <v>0</v>
      </c>
      <c r="F39" s="153">
        <f t="shared" si="7"/>
        <v>0</v>
      </c>
    </row>
    <row r="40" spans="1:6" x14ac:dyDescent="0.35">
      <c r="A40" s="154"/>
      <c r="B40" s="162" t="s">
        <v>118</v>
      </c>
      <c r="C40" s="157">
        <v>0</v>
      </c>
      <c r="D40" s="157">
        <v>0</v>
      </c>
      <c r="E40" s="157">
        <v>0</v>
      </c>
      <c r="F40" s="153">
        <f t="shared" si="7"/>
        <v>0</v>
      </c>
    </row>
    <row r="41" spans="1:6" x14ac:dyDescent="0.35">
      <c r="A41" s="154" t="s">
        <v>28</v>
      </c>
      <c r="B41" s="162" t="s">
        <v>87</v>
      </c>
      <c r="C41" s="157">
        <v>0</v>
      </c>
      <c r="D41" s="157">
        <v>0</v>
      </c>
      <c r="E41" s="157">
        <v>0</v>
      </c>
      <c r="F41" s="153">
        <f t="shared" si="7"/>
        <v>0</v>
      </c>
    </row>
    <row r="42" spans="1:6" s="135" customFormat="1" x14ac:dyDescent="0.35">
      <c r="A42" s="150" t="s">
        <v>30</v>
      </c>
      <c r="B42" s="163" t="s">
        <v>88</v>
      </c>
      <c r="C42" s="153">
        <f>C37+C38+C39+C41</f>
        <v>0</v>
      </c>
      <c r="D42" s="153">
        <f t="shared" ref="D42:F42" si="10">D37+D38+D39+D41</f>
        <v>0</v>
      </c>
      <c r="E42" s="153">
        <f t="shared" si="10"/>
        <v>0</v>
      </c>
      <c r="F42" s="153">
        <f t="shared" si="10"/>
        <v>0</v>
      </c>
    </row>
    <row r="43" spans="1:6" s="135" customFormat="1" x14ac:dyDescent="0.35">
      <c r="A43" s="150" t="s">
        <v>32</v>
      </c>
      <c r="B43" s="163" t="s">
        <v>89</v>
      </c>
      <c r="C43" s="153">
        <f>C36+C42</f>
        <v>33201440</v>
      </c>
      <c r="D43" s="153">
        <f t="shared" ref="D43:F43" si="11">D36+D42</f>
        <v>1030000</v>
      </c>
      <c r="E43" s="153">
        <f t="shared" si="11"/>
        <v>0</v>
      </c>
      <c r="F43" s="153">
        <f t="shared" si="11"/>
        <v>34231440</v>
      </c>
    </row>
  </sheetData>
  <mergeCells count="5">
    <mergeCell ref="A1:C1"/>
    <mergeCell ref="D1:F2"/>
    <mergeCell ref="A2:C2"/>
    <mergeCell ref="E3:F3"/>
    <mergeCell ref="E23:F2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22"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42.81640625" bestFit="1" customWidth="1"/>
    <col min="3" max="3" width="11.1796875" customWidth="1"/>
    <col min="4" max="4" width="11.26953125" customWidth="1"/>
    <col min="5" max="5" width="11.1796875" customWidth="1"/>
    <col min="6" max="6" width="11.7265625" customWidth="1"/>
  </cols>
  <sheetData>
    <row r="1" spans="1:6" x14ac:dyDescent="0.35">
      <c r="A1" s="300" t="s">
        <v>120</v>
      </c>
      <c r="B1" s="301"/>
      <c r="C1" s="301"/>
      <c r="D1" s="295" t="s">
        <v>714</v>
      </c>
      <c r="E1" s="295"/>
      <c r="F1" s="296"/>
    </row>
    <row r="2" spans="1:6" ht="15" customHeight="1" x14ac:dyDescent="0.35">
      <c r="A2" s="293" t="s">
        <v>626</v>
      </c>
      <c r="B2" s="297"/>
      <c r="C2" s="297"/>
      <c r="D2" s="296"/>
      <c r="E2" s="296"/>
      <c r="F2" s="296"/>
    </row>
    <row r="3" spans="1:6" x14ac:dyDescent="0.35">
      <c r="A3" s="1"/>
      <c r="B3" s="2" t="s">
        <v>0</v>
      </c>
      <c r="C3" s="3"/>
      <c r="D3" s="4"/>
      <c r="E3" s="302" t="s">
        <v>93</v>
      </c>
      <c r="F3" s="303"/>
    </row>
    <row r="4" spans="1:6" ht="21" x14ac:dyDescent="0.35">
      <c r="A4" s="31" t="s">
        <v>1</v>
      </c>
      <c r="B4" s="32" t="s">
        <v>2</v>
      </c>
      <c r="C4" s="32" t="s">
        <v>95</v>
      </c>
      <c r="D4" s="32" t="s">
        <v>96</v>
      </c>
      <c r="E4" s="32" t="s">
        <v>97</v>
      </c>
      <c r="F4" s="31" t="s">
        <v>98</v>
      </c>
    </row>
    <row r="5" spans="1:6" x14ac:dyDescent="0.35">
      <c r="A5" s="7" t="s">
        <v>4</v>
      </c>
      <c r="B5" s="8" t="s">
        <v>5</v>
      </c>
      <c r="C5" s="9">
        <v>0</v>
      </c>
      <c r="D5" s="9">
        <v>0</v>
      </c>
      <c r="E5" s="9">
        <v>0</v>
      </c>
      <c r="F5" s="10">
        <f>C5+D5+E5</f>
        <v>0</v>
      </c>
    </row>
    <row r="6" spans="1:6" x14ac:dyDescent="0.35">
      <c r="A6" s="7" t="s">
        <v>6</v>
      </c>
      <c r="B6" s="8" t="s">
        <v>7</v>
      </c>
      <c r="C6" s="9">
        <v>0</v>
      </c>
      <c r="D6" s="9">
        <v>0</v>
      </c>
      <c r="E6" s="9">
        <v>0</v>
      </c>
      <c r="F6" s="10">
        <f t="shared" ref="F6:F20" si="0">C6+D6+E6</f>
        <v>0</v>
      </c>
    </row>
    <row r="7" spans="1:6" x14ac:dyDescent="0.35">
      <c r="A7" s="7" t="s">
        <v>16</v>
      </c>
      <c r="B7" s="8" t="s">
        <v>117</v>
      </c>
      <c r="C7" s="9">
        <v>0</v>
      </c>
      <c r="D7" s="9">
        <v>0</v>
      </c>
      <c r="E7" s="9">
        <v>0</v>
      </c>
      <c r="F7" s="10">
        <f t="shared" si="0"/>
        <v>0</v>
      </c>
    </row>
    <row r="8" spans="1:6" x14ac:dyDescent="0.35">
      <c r="A8" s="7" t="s">
        <v>18</v>
      </c>
      <c r="B8" s="8" t="s">
        <v>19</v>
      </c>
      <c r="C8" s="9">
        <v>0</v>
      </c>
      <c r="D8" s="9">
        <v>0</v>
      </c>
      <c r="E8" s="9">
        <v>0</v>
      </c>
      <c r="F8" s="10">
        <f t="shared" si="0"/>
        <v>0</v>
      </c>
    </row>
    <row r="9" spans="1:6" x14ac:dyDescent="0.35">
      <c r="A9" s="7" t="s">
        <v>24</v>
      </c>
      <c r="B9" s="8" t="s">
        <v>25</v>
      </c>
      <c r="C9" s="9">
        <f>'Költségvetési bevételek'!H53</f>
        <v>7800000</v>
      </c>
      <c r="D9" s="9">
        <f>'Költségvetési bevételek'!I53</f>
        <v>0</v>
      </c>
      <c r="E9" s="9">
        <v>0</v>
      </c>
      <c r="F9" s="10">
        <f t="shared" si="0"/>
        <v>7800000</v>
      </c>
    </row>
    <row r="10" spans="1:6" x14ac:dyDescent="0.35">
      <c r="A10" s="7" t="s">
        <v>26</v>
      </c>
      <c r="B10" s="8" t="s">
        <v>27</v>
      </c>
      <c r="C10" s="9">
        <v>0</v>
      </c>
      <c r="D10" s="9">
        <v>0</v>
      </c>
      <c r="E10" s="9">
        <v>0</v>
      </c>
      <c r="F10" s="10">
        <f t="shared" si="0"/>
        <v>0</v>
      </c>
    </row>
    <row r="11" spans="1:6" x14ac:dyDescent="0.35">
      <c r="A11" s="7" t="s">
        <v>28</v>
      </c>
      <c r="B11" s="8" t="s">
        <v>29</v>
      </c>
      <c r="C11" s="9">
        <v>0</v>
      </c>
      <c r="D11" s="9">
        <v>0</v>
      </c>
      <c r="E11" s="9">
        <v>0</v>
      </c>
      <c r="F11" s="10">
        <f t="shared" si="0"/>
        <v>0</v>
      </c>
    </row>
    <row r="12" spans="1:6" x14ac:dyDescent="0.35">
      <c r="A12" s="7" t="s">
        <v>30</v>
      </c>
      <c r="B12" s="8" t="s">
        <v>31</v>
      </c>
      <c r="C12" s="9">
        <v>0</v>
      </c>
      <c r="D12" s="9">
        <v>0</v>
      </c>
      <c r="E12" s="9">
        <v>0</v>
      </c>
      <c r="F12" s="10">
        <f t="shared" si="0"/>
        <v>0</v>
      </c>
    </row>
    <row r="13" spans="1:6" s="135" customFormat="1" x14ac:dyDescent="0.35">
      <c r="A13" s="12" t="s">
        <v>32</v>
      </c>
      <c r="B13" s="13" t="s">
        <v>33</v>
      </c>
      <c r="C13" s="10">
        <f>C5+C6+C7+C8+C9+C10+C11+C12</f>
        <v>7800000</v>
      </c>
      <c r="D13" s="10">
        <f t="shared" ref="D13:F13" si="1">D5+D6+D7+D8+D9+D10+D11+D12</f>
        <v>0</v>
      </c>
      <c r="E13" s="10">
        <f t="shared" si="1"/>
        <v>0</v>
      </c>
      <c r="F13" s="10">
        <f t="shared" si="1"/>
        <v>7800000</v>
      </c>
    </row>
    <row r="14" spans="1:6" x14ac:dyDescent="0.35">
      <c r="A14" s="7" t="s">
        <v>34</v>
      </c>
      <c r="B14" s="8" t="s">
        <v>35</v>
      </c>
      <c r="C14" s="9">
        <v>0</v>
      </c>
      <c r="D14" s="9">
        <v>0</v>
      </c>
      <c r="E14" s="9">
        <v>0</v>
      </c>
      <c r="F14" s="10">
        <f t="shared" si="0"/>
        <v>0</v>
      </c>
    </row>
    <row r="15" spans="1:6" x14ac:dyDescent="0.35">
      <c r="A15" s="7" t="s">
        <v>36</v>
      </c>
      <c r="B15" s="8" t="s">
        <v>37</v>
      </c>
      <c r="C15" s="9">
        <v>0</v>
      </c>
      <c r="D15" s="9">
        <v>0</v>
      </c>
      <c r="E15" s="9">
        <v>0</v>
      </c>
      <c r="F15" s="10">
        <f t="shared" si="0"/>
        <v>0</v>
      </c>
    </row>
    <row r="16" spans="1:6" x14ac:dyDescent="0.35">
      <c r="A16" s="7" t="s">
        <v>38</v>
      </c>
      <c r="B16" s="8" t="s">
        <v>39</v>
      </c>
      <c r="C16" s="9">
        <f>'Finanszírozási bevételek'!H16</f>
        <v>0</v>
      </c>
      <c r="D16" s="9">
        <f>'Finanszírozási bevételek'!I16</f>
        <v>0</v>
      </c>
      <c r="E16" s="9">
        <v>0</v>
      </c>
      <c r="F16" s="10">
        <f t="shared" si="0"/>
        <v>0</v>
      </c>
    </row>
    <row r="17" spans="1:6" x14ac:dyDescent="0.35">
      <c r="A17" s="7" t="s">
        <v>40</v>
      </c>
      <c r="B17" s="8" t="s">
        <v>41</v>
      </c>
      <c r="C17" s="9">
        <f>C18</f>
        <v>335102715.88999999</v>
      </c>
      <c r="D17" s="9">
        <f t="shared" ref="D17:E17" si="2">D18</f>
        <v>0</v>
      </c>
      <c r="E17" s="9">
        <f t="shared" si="2"/>
        <v>0</v>
      </c>
      <c r="F17" s="10">
        <f>SUM(F18)</f>
        <v>335102715.88999999</v>
      </c>
    </row>
    <row r="18" spans="1:6" x14ac:dyDescent="0.35">
      <c r="A18" s="7"/>
      <c r="B18" s="8" t="s">
        <v>42</v>
      </c>
      <c r="C18" s="9">
        <f>F43-C13</f>
        <v>335102715.88999999</v>
      </c>
      <c r="D18" s="9">
        <f t="shared" ref="D18:E18" si="3">G43-D13</f>
        <v>0</v>
      </c>
      <c r="E18" s="9">
        <f t="shared" si="3"/>
        <v>0</v>
      </c>
      <c r="F18" s="10">
        <f t="shared" si="0"/>
        <v>335102715.88999999</v>
      </c>
    </row>
    <row r="19" spans="1:6" x14ac:dyDescent="0.35">
      <c r="A19" s="7" t="s">
        <v>44</v>
      </c>
      <c r="B19" s="8" t="s">
        <v>45</v>
      </c>
      <c r="C19" s="9">
        <v>0</v>
      </c>
      <c r="D19" s="9">
        <v>0</v>
      </c>
      <c r="E19" s="9">
        <v>0</v>
      </c>
      <c r="F19" s="10">
        <f t="shared" si="0"/>
        <v>0</v>
      </c>
    </row>
    <row r="20" spans="1:6" x14ac:dyDescent="0.35">
      <c r="A20" s="7" t="s">
        <v>46</v>
      </c>
      <c r="B20" s="8" t="s">
        <v>47</v>
      </c>
      <c r="C20" s="9">
        <v>0</v>
      </c>
      <c r="D20" s="9">
        <v>0</v>
      </c>
      <c r="E20" s="9">
        <v>0</v>
      </c>
      <c r="F20" s="10">
        <f t="shared" si="0"/>
        <v>0</v>
      </c>
    </row>
    <row r="21" spans="1:6" s="135" customFormat="1" x14ac:dyDescent="0.35">
      <c r="A21" s="12" t="s">
        <v>48</v>
      </c>
      <c r="B21" s="13" t="s">
        <v>49</v>
      </c>
      <c r="C21" s="10">
        <f>C14+C15+C16+C17+C19+C20</f>
        <v>335102715.88999999</v>
      </c>
      <c r="D21" s="10">
        <f t="shared" ref="D21:F21" si="4">D14+D15+D16+D17+D19+D20</f>
        <v>0</v>
      </c>
      <c r="E21" s="10">
        <f t="shared" si="4"/>
        <v>0</v>
      </c>
      <c r="F21" s="10">
        <f t="shared" si="4"/>
        <v>335102715.88999999</v>
      </c>
    </row>
    <row r="22" spans="1:6" s="135" customFormat="1" x14ac:dyDescent="0.35">
      <c r="A22" s="12" t="s">
        <v>50</v>
      </c>
      <c r="B22" s="13" t="s">
        <v>51</v>
      </c>
      <c r="C22" s="10">
        <f>C13+C21</f>
        <v>342902715.88999999</v>
      </c>
      <c r="D22" s="10">
        <f t="shared" ref="D22:F22" si="5">D13+D21</f>
        <v>0</v>
      </c>
      <c r="E22" s="10">
        <f t="shared" si="5"/>
        <v>0</v>
      </c>
      <c r="F22" s="10">
        <f t="shared" si="5"/>
        <v>342902715.88999999</v>
      </c>
    </row>
    <row r="23" spans="1:6" x14ac:dyDescent="0.35">
      <c r="A23" s="17"/>
      <c r="B23" s="18" t="s">
        <v>58</v>
      </c>
      <c r="C23" s="40"/>
      <c r="D23" s="11"/>
      <c r="E23" s="304" t="s">
        <v>93</v>
      </c>
      <c r="F23" s="305"/>
    </row>
    <row r="24" spans="1:6" ht="21" x14ac:dyDescent="0.35">
      <c r="A24" s="31" t="s">
        <v>1</v>
      </c>
      <c r="B24" s="32" t="s">
        <v>2</v>
      </c>
      <c r="C24" s="32" t="s">
        <v>95</v>
      </c>
      <c r="D24" s="32" t="s">
        <v>96</v>
      </c>
      <c r="E24" s="32" t="s">
        <v>97</v>
      </c>
      <c r="F24" s="31" t="s">
        <v>98</v>
      </c>
    </row>
    <row r="25" spans="1:6" s="135" customFormat="1" x14ac:dyDescent="0.35">
      <c r="A25" s="120" t="s">
        <v>4</v>
      </c>
      <c r="B25" s="213" t="s">
        <v>59</v>
      </c>
      <c r="C25" s="10">
        <f>C26+C27+C28+C29+C30+C31</f>
        <v>328076216</v>
      </c>
      <c r="D25" s="43">
        <f t="shared" ref="D25:E25" si="6">D26+D27+D28+D29+D30+D31</f>
        <v>11100000</v>
      </c>
      <c r="E25" s="43">
        <f t="shared" si="6"/>
        <v>0</v>
      </c>
      <c r="F25" s="10">
        <f>SUM(F26:F31)</f>
        <v>339176216</v>
      </c>
    </row>
    <row r="26" spans="1:6" x14ac:dyDescent="0.35">
      <c r="A26" s="7" t="s">
        <v>60</v>
      </c>
      <c r="B26" s="8" t="s">
        <v>61</v>
      </c>
      <c r="C26" s="9">
        <f>'Költségvetési kiadások'!H23</f>
        <v>245981039</v>
      </c>
      <c r="D26" s="9">
        <f>'Költségvetési kiadások'!I23</f>
        <v>8270018</v>
      </c>
      <c r="E26" s="9">
        <v>0</v>
      </c>
      <c r="F26" s="10">
        <f t="shared" ref="F26:F41" si="7">C26+D26+E26</f>
        <v>254251057</v>
      </c>
    </row>
    <row r="27" spans="1:6" x14ac:dyDescent="0.35">
      <c r="A27" s="7" t="s">
        <v>62</v>
      </c>
      <c r="B27" s="8" t="s">
        <v>63</v>
      </c>
      <c r="C27" s="9">
        <f>'Költségvetési kiadások'!H24</f>
        <v>50080658</v>
      </c>
      <c r="D27" s="9">
        <f>'Költségvetési kiadások'!I24</f>
        <v>2829982</v>
      </c>
      <c r="E27" s="9">
        <v>0</v>
      </c>
      <c r="F27" s="10">
        <f t="shared" si="7"/>
        <v>52910640</v>
      </c>
    </row>
    <row r="28" spans="1:6" x14ac:dyDescent="0.35">
      <c r="A28" s="7" t="s">
        <v>64</v>
      </c>
      <c r="B28" s="8" t="s">
        <v>65</v>
      </c>
      <c r="C28" s="9">
        <f>'Költségvetési kiadások'!H49</f>
        <v>32014519</v>
      </c>
      <c r="D28" s="9">
        <f>'Költségvetési kiadások'!I49</f>
        <v>0</v>
      </c>
      <c r="E28" s="9">
        <v>0</v>
      </c>
      <c r="F28" s="10">
        <f t="shared" si="7"/>
        <v>32014519</v>
      </c>
    </row>
    <row r="29" spans="1:6" x14ac:dyDescent="0.35">
      <c r="A29" s="7" t="s">
        <v>66</v>
      </c>
      <c r="B29" s="8" t="s">
        <v>67</v>
      </c>
      <c r="C29" s="9">
        <v>0</v>
      </c>
      <c r="D29" s="9">
        <v>0</v>
      </c>
      <c r="E29" s="9">
        <v>0</v>
      </c>
      <c r="F29" s="10">
        <f t="shared" si="7"/>
        <v>0</v>
      </c>
    </row>
    <row r="30" spans="1:6" x14ac:dyDescent="0.35">
      <c r="A30" s="7" t="s">
        <v>68</v>
      </c>
      <c r="B30" s="8" t="s">
        <v>69</v>
      </c>
      <c r="C30" s="9">
        <v>0</v>
      </c>
      <c r="D30" s="9">
        <v>0</v>
      </c>
      <c r="E30" s="9">
        <v>0</v>
      </c>
      <c r="F30" s="10">
        <f t="shared" si="7"/>
        <v>0</v>
      </c>
    </row>
    <row r="31" spans="1:6" x14ac:dyDescent="0.35">
      <c r="A31" s="23" t="s">
        <v>74</v>
      </c>
      <c r="B31" s="8" t="s">
        <v>75</v>
      </c>
      <c r="C31" s="9">
        <v>0</v>
      </c>
      <c r="D31" s="9">
        <v>0</v>
      </c>
      <c r="E31" s="9">
        <v>0</v>
      </c>
      <c r="F31" s="10">
        <f t="shared" si="7"/>
        <v>0</v>
      </c>
    </row>
    <row r="32" spans="1:6" s="135" customFormat="1" x14ac:dyDescent="0.35">
      <c r="A32" s="207" t="s">
        <v>6</v>
      </c>
      <c r="B32" s="13" t="s">
        <v>76</v>
      </c>
      <c r="C32" s="10">
        <f>C33+C34+C35</f>
        <v>3726499.89</v>
      </c>
      <c r="D32" s="10">
        <f t="shared" ref="D32:F32" si="8">D33+D34+D35</f>
        <v>0</v>
      </c>
      <c r="E32" s="10">
        <f t="shared" si="8"/>
        <v>0</v>
      </c>
      <c r="F32" s="10">
        <f t="shared" si="8"/>
        <v>3726499.89</v>
      </c>
    </row>
    <row r="33" spans="1:6" x14ac:dyDescent="0.35">
      <c r="A33" s="23" t="s">
        <v>8</v>
      </c>
      <c r="B33" s="8" t="s">
        <v>77</v>
      </c>
      <c r="C33" s="9">
        <f>'Költségvetési kiadások'!H83</f>
        <v>1766500</v>
      </c>
      <c r="D33" s="9">
        <f>'Költségvetési kiadások'!I83</f>
        <v>0</v>
      </c>
      <c r="E33" s="9">
        <v>0</v>
      </c>
      <c r="F33" s="10">
        <f t="shared" si="7"/>
        <v>1766500</v>
      </c>
    </row>
    <row r="34" spans="1:6" x14ac:dyDescent="0.35">
      <c r="A34" s="23" t="s">
        <v>78</v>
      </c>
      <c r="B34" s="8" t="s">
        <v>79</v>
      </c>
      <c r="C34" s="10">
        <f>'Költségvetési kiadások'!H88</f>
        <v>1959999.8900000001</v>
      </c>
      <c r="D34" s="9">
        <v>0</v>
      </c>
      <c r="E34" s="9">
        <v>0</v>
      </c>
      <c r="F34" s="10">
        <f t="shared" si="7"/>
        <v>1959999.8900000001</v>
      </c>
    </row>
    <row r="35" spans="1:6" x14ac:dyDescent="0.35">
      <c r="A35" s="23" t="s">
        <v>80</v>
      </c>
      <c r="B35" s="8" t="s">
        <v>81</v>
      </c>
      <c r="C35" s="9">
        <v>0</v>
      </c>
      <c r="D35" s="9">
        <v>0</v>
      </c>
      <c r="E35" s="9">
        <v>0</v>
      </c>
      <c r="F35" s="10">
        <f t="shared" si="7"/>
        <v>0</v>
      </c>
    </row>
    <row r="36" spans="1:6" s="135" customFormat="1" x14ac:dyDescent="0.35">
      <c r="A36" s="207" t="s">
        <v>16</v>
      </c>
      <c r="B36" s="13" t="s">
        <v>82</v>
      </c>
      <c r="C36" s="10">
        <f>C25+C32</f>
        <v>331802715.88999999</v>
      </c>
      <c r="D36" s="10">
        <f t="shared" ref="D36:F36" si="9">D25+D32</f>
        <v>11100000</v>
      </c>
      <c r="E36" s="10">
        <f t="shared" si="9"/>
        <v>0</v>
      </c>
      <c r="F36" s="10">
        <f t="shared" si="9"/>
        <v>342902715.88999999</v>
      </c>
    </row>
    <row r="37" spans="1:6" x14ac:dyDescent="0.35">
      <c r="A37" s="7" t="s">
        <v>18</v>
      </c>
      <c r="B37" s="8" t="s">
        <v>83</v>
      </c>
      <c r="C37" s="9">
        <v>0</v>
      </c>
      <c r="D37" s="9">
        <v>0</v>
      </c>
      <c r="E37" s="9">
        <v>0</v>
      </c>
      <c r="F37" s="10">
        <f t="shared" si="7"/>
        <v>0</v>
      </c>
    </row>
    <row r="38" spans="1:6" x14ac:dyDescent="0.35">
      <c r="A38" s="7" t="s">
        <v>24</v>
      </c>
      <c r="B38" s="8" t="s">
        <v>84</v>
      </c>
      <c r="C38" s="9">
        <v>0</v>
      </c>
      <c r="D38" s="9">
        <v>0</v>
      </c>
      <c r="E38" s="9">
        <v>0</v>
      </c>
      <c r="F38" s="10">
        <f t="shared" si="7"/>
        <v>0</v>
      </c>
    </row>
    <row r="39" spans="1:6" x14ac:dyDescent="0.35">
      <c r="A39" s="7" t="s">
        <v>26</v>
      </c>
      <c r="B39" s="8" t="s">
        <v>85</v>
      </c>
      <c r="C39" s="9">
        <v>0</v>
      </c>
      <c r="D39" s="9">
        <v>0</v>
      </c>
      <c r="E39" s="9">
        <v>0</v>
      </c>
      <c r="F39" s="10">
        <f t="shared" si="7"/>
        <v>0</v>
      </c>
    </row>
    <row r="40" spans="1:6" x14ac:dyDescent="0.35">
      <c r="A40" s="7"/>
      <c r="B40" s="8" t="s">
        <v>118</v>
      </c>
      <c r="C40" s="9">
        <v>0</v>
      </c>
      <c r="D40" s="9">
        <v>0</v>
      </c>
      <c r="E40" s="9">
        <v>0</v>
      </c>
      <c r="F40" s="10">
        <f t="shared" si="7"/>
        <v>0</v>
      </c>
    </row>
    <row r="41" spans="1:6" x14ac:dyDescent="0.35">
      <c r="A41" s="7" t="s">
        <v>28</v>
      </c>
      <c r="B41" s="8" t="s">
        <v>87</v>
      </c>
      <c r="C41" s="9">
        <v>0</v>
      </c>
      <c r="D41" s="9">
        <v>0</v>
      </c>
      <c r="E41" s="9">
        <v>0</v>
      </c>
      <c r="F41" s="10">
        <f t="shared" si="7"/>
        <v>0</v>
      </c>
    </row>
    <row r="42" spans="1:6" s="135" customFormat="1" x14ac:dyDescent="0.35">
      <c r="A42" s="12" t="s">
        <v>30</v>
      </c>
      <c r="B42" s="13" t="s">
        <v>88</v>
      </c>
      <c r="C42" s="10">
        <f>C37+C38+C39+C41</f>
        <v>0</v>
      </c>
      <c r="D42" s="10">
        <f t="shared" ref="D42:E42" si="10">D37+D38+D39+D41</f>
        <v>0</v>
      </c>
      <c r="E42" s="10">
        <f t="shared" si="10"/>
        <v>0</v>
      </c>
      <c r="F42" s="10">
        <f>F37+F38+F39+F41</f>
        <v>0</v>
      </c>
    </row>
    <row r="43" spans="1:6" s="135" customFormat="1" x14ac:dyDescent="0.35">
      <c r="A43" s="12" t="s">
        <v>32</v>
      </c>
      <c r="B43" s="13" t="s">
        <v>89</v>
      </c>
      <c r="C43" s="10">
        <f>C36+C42</f>
        <v>331802715.88999999</v>
      </c>
      <c r="D43" s="10">
        <f t="shared" ref="D43:F43" si="11">D36+D42</f>
        <v>11100000</v>
      </c>
      <c r="E43" s="10">
        <f t="shared" si="11"/>
        <v>0</v>
      </c>
      <c r="F43" s="10">
        <f t="shared" si="11"/>
        <v>342902715.88999999</v>
      </c>
    </row>
    <row r="44" spans="1:6" x14ac:dyDescent="0.35">
      <c r="A44" s="45"/>
      <c r="B44" s="46"/>
      <c r="C44" s="47"/>
      <c r="D44" s="47"/>
      <c r="E44" s="47"/>
      <c r="F44" s="48"/>
    </row>
  </sheetData>
  <mergeCells count="5">
    <mergeCell ref="A1:C1"/>
    <mergeCell ref="D1:F2"/>
    <mergeCell ref="A2:C2"/>
    <mergeCell ref="E3:F3"/>
    <mergeCell ref="E23:F2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23" zoomScaleNormal="100" workbookViewId="0">
      <selection activeCell="D1" sqref="D1:F2"/>
    </sheetView>
  </sheetViews>
  <sheetFormatPr defaultRowHeight="14.5" x14ac:dyDescent="0.35"/>
  <cols>
    <col min="1" max="1" width="6.26953125" bestFit="1" customWidth="1"/>
    <col min="2" max="2" width="50.1796875" bestFit="1" customWidth="1"/>
    <col min="3" max="6" width="11.81640625" customWidth="1"/>
  </cols>
  <sheetData>
    <row r="1" spans="1:6" x14ac:dyDescent="0.35">
      <c r="A1" s="306" t="s">
        <v>246</v>
      </c>
      <c r="B1" s="307"/>
      <c r="C1" s="307"/>
      <c r="D1" s="308" t="s">
        <v>715</v>
      </c>
      <c r="E1" s="308"/>
      <c r="F1" s="309"/>
    </row>
    <row r="2" spans="1:6" x14ac:dyDescent="0.35">
      <c r="A2" s="293" t="s">
        <v>626</v>
      </c>
      <c r="B2" s="297"/>
      <c r="C2" s="297"/>
      <c r="D2" s="309"/>
      <c r="E2" s="309"/>
      <c r="F2" s="309"/>
    </row>
    <row r="3" spans="1:6" x14ac:dyDescent="0.35">
      <c r="A3" s="161"/>
      <c r="B3" s="160" t="s">
        <v>0</v>
      </c>
      <c r="C3" s="146"/>
      <c r="D3" s="144"/>
      <c r="E3" s="310" t="s">
        <v>93</v>
      </c>
      <c r="F3" s="311"/>
    </row>
    <row r="4" spans="1:6" ht="24" x14ac:dyDescent="0.35">
      <c r="A4" s="148" t="s">
        <v>1</v>
      </c>
      <c r="B4" s="149" t="s">
        <v>2</v>
      </c>
      <c r="C4" s="149" t="s">
        <v>95</v>
      </c>
      <c r="D4" s="149" t="s">
        <v>96</v>
      </c>
      <c r="E4" s="149" t="s">
        <v>97</v>
      </c>
      <c r="F4" s="148" t="s">
        <v>98</v>
      </c>
    </row>
    <row r="5" spans="1:6" x14ac:dyDescent="0.35">
      <c r="A5" s="154" t="s">
        <v>4</v>
      </c>
      <c r="B5" s="162" t="s">
        <v>5</v>
      </c>
      <c r="C5" s="157">
        <v>0</v>
      </c>
      <c r="D5" s="157">
        <v>0</v>
      </c>
      <c r="E5" s="157">
        <v>0</v>
      </c>
      <c r="F5" s="153">
        <f>C5+D5+E5</f>
        <v>0</v>
      </c>
    </row>
    <row r="6" spans="1:6" x14ac:dyDescent="0.35">
      <c r="A6" s="154" t="s">
        <v>6</v>
      </c>
      <c r="B6" s="162" t="s">
        <v>7</v>
      </c>
      <c r="C6" s="157">
        <v>0</v>
      </c>
      <c r="D6" s="157">
        <v>0</v>
      </c>
      <c r="E6" s="157">
        <v>0</v>
      </c>
      <c r="F6" s="153">
        <f t="shared" ref="F6:F20" si="0">C6+D6+E6</f>
        <v>0</v>
      </c>
    </row>
    <row r="7" spans="1:6" x14ac:dyDescent="0.35">
      <c r="A7" s="154" t="s">
        <v>16</v>
      </c>
      <c r="B7" s="162" t="s">
        <v>117</v>
      </c>
      <c r="C7" s="157">
        <v>0</v>
      </c>
      <c r="D7" s="157">
        <v>0</v>
      </c>
      <c r="E7" s="157">
        <v>0</v>
      </c>
      <c r="F7" s="153">
        <f t="shared" si="0"/>
        <v>0</v>
      </c>
    </row>
    <row r="8" spans="1:6" x14ac:dyDescent="0.35">
      <c r="A8" s="154" t="s">
        <v>18</v>
      </c>
      <c r="B8" s="162" t="s">
        <v>19</v>
      </c>
      <c r="C8" s="157">
        <v>0</v>
      </c>
      <c r="D8" s="157">
        <v>0</v>
      </c>
      <c r="E8" s="157">
        <v>0</v>
      </c>
      <c r="F8" s="153">
        <f t="shared" si="0"/>
        <v>0</v>
      </c>
    </row>
    <row r="9" spans="1:6" x14ac:dyDescent="0.35">
      <c r="A9" s="154" t="s">
        <v>24</v>
      </c>
      <c r="B9" s="162" t="s">
        <v>25</v>
      </c>
      <c r="C9" s="157">
        <f>'Költségvetési bevételek'!L53</f>
        <v>600000</v>
      </c>
      <c r="D9" s="157">
        <f>'Költségvetési bevételek'!M53</f>
        <v>0</v>
      </c>
      <c r="E9" s="157">
        <v>0</v>
      </c>
      <c r="F9" s="153">
        <f t="shared" si="0"/>
        <v>600000</v>
      </c>
    </row>
    <row r="10" spans="1:6" x14ac:dyDescent="0.35">
      <c r="A10" s="154" t="s">
        <v>26</v>
      </c>
      <c r="B10" s="162" t="s">
        <v>27</v>
      </c>
      <c r="C10" s="157">
        <v>0</v>
      </c>
      <c r="D10" s="157">
        <v>0</v>
      </c>
      <c r="E10" s="157">
        <v>0</v>
      </c>
      <c r="F10" s="153">
        <f t="shared" si="0"/>
        <v>0</v>
      </c>
    </row>
    <row r="11" spans="1:6" x14ac:dyDescent="0.35">
      <c r="A11" s="154" t="s">
        <v>28</v>
      </c>
      <c r="B11" s="162" t="s">
        <v>29</v>
      </c>
      <c r="C11" s="157">
        <v>0</v>
      </c>
      <c r="D11" s="157">
        <v>0</v>
      </c>
      <c r="E11" s="157">
        <v>0</v>
      </c>
      <c r="F11" s="153">
        <f t="shared" si="0"/>
        <v>0</v>
      </c>
    </row>
    <row r="12" spans="1:6" x14ac:dyDescent="0.35">
      <c r="A12" s="154" t="s">
        <v>30</v>
      </c>
      <c r="B12" s="162" t="s">
        <v>31</v>
      </c>
      <c r="C12" s="157">
        <v>0</v>
      </c>
      <c r="D12" s="157">
        <v>0</v>
      </c>
      <c r="E12" s="157">
        <v>0</v>
      </c>
      <c r="F12" s="153">
        <f t="shared" si="0"/>
        <v>0</v>
      </c>
    </row>
    <row r="13" spans="1:6" s="135" customFormat="1" x14ac:dyDescent="0.35">
      <c r="A13" s="150" t="s">
        <v>32</v>
      </c>
      <c r="B13" s="163" t="s">
        <v>33</v>
      </c>
      <c r="C13" s="153">
        <f>C5+C6+C7+C8+C9+C10+C11+C12</f>
        <v>600000</v>
      </c>
      <c r="D13" s="153">
        <f>D5+D6+D7+D8+D9+D10+D11+D12</f>
        <v>0</v>
      </c>
      <c r="E13" s="153">
        <v>0</v>
      </c>
      <c r="F13" s="153">
        <f t="shared" si="0"/>
        <v>600000</v>
      </c>
    </row>
    <row r="14" spans="1:6" x14ac:dyDescent="0.35">
      <c r="A14" s="154" t="s">
        <v>34</v>
      </c>
      <c r="B14" s="162" t="s">
        <v>35</v>
      </c>
      <c r="C14" s="157">
        <v>0</v>
      </c>
      <c r="D14" s="157">
        <v>0</v>
      </c>
      <c r="E14" s="157">
        <v>0</v>
      </c>
      <c r="F14" s="153">
        <f t="shared" si="0"/>
        <v>0</v>
      </c>
    </row>
    <row r="15" spans="1:6" x14ac:dyDescent="0.35">
      <c r="A15" s="154" t="s">
        <v>36</v>
      </c>
      <c r="B15" s="162" t="s">
        <v>37</v>
      </c>
      <c r="C15" s="157">
        <v>0</v>
      </c>
      <c r="D15" s="157">
        <v>0</v>
      </c>
      <c r="E15" s="157">
        <v>0</v>
      </c>
      <c r="F15" s="153">
        <f t="shared" si="0"/>
        <v>0</v>
      </c>
    </row>
    <row r="16" spans="1:6" x14ac:dyDescent="0.35">
      <c r="A16" s="154" t="s">
        <v>38</v>
      </c>
      <c r="B16" s="162" t="s">
        <v>39</v>
      </c>
      <c r="C16" s="157">
        <f>'Finanszírozási bevételek'!L16</f>
        <v>0</v>
      </c>
      <c r="D16" s="157">
        <f>'Finanszírozási bevételek'!M16</f>
        <v>0</v>
      </c>
      <c r="E16" s="157">
        <v>0</v>
      </c>
      <c r="F16" s="153">
        <f t="shared" si="0"/>
        <v>0</v>
      </c>
    </row>
    <row r="17" spans="1:6" x14ac:dyDescent="0.35">
      <c r="A17" s="154" t="s">
        <v>40</v>
      </c>
      <c r="B17" s="162" t="s">
        <v>41</v>
      </c>
      <c r="C17" s="157">
        <f>C18</f>
        <v>43855727</v>
      </c>
      <c r="D17" s="157">
        <f t="shared" ref="D17" si="1">D18</f>
        <v>0</v>
      </c>
      <c r="E17" s="157">
        <v>0</v>
      </c>
      <c r="F17" s="157">
        <f>F18</f>
        <v>43855727</v>
      </c>
    </row>
    <row r="18" spans="1:6" x14ac:dyDescent="0.35">
      <c r="A18" s="154"/>
      <c r="B18" s="162" t="s">
        <v>42</v>
      </c>
      <c r="C18" s="157">
        <f>F43-C13</f>
        <v>43855727</v>
      </c>
      <c r="D18" s="157"/>
      <c r="E18" s="157">
        <v>0</v>
      </c>
      <c r="F18" s="153">
        <f t="shared" si="0"/>
        <v>43855727</v>
      </c>
    </row>
    <row r="19" spans="1:6" x14ac:dyDescent="0.35">
      <c r="A19" s="154" t="s">
        <v>44</v>
      </c>
      <c r="B19" s="162" t="s">
        <v>45</v>
      </c>
      <c r="C19" s="157">
        <v>0</v>
      </c>
      <c r="D19" s="157"/>
      <c r="E19" s="157">
        <v>0</v>
      </c>
      <c r="F19" s="153">
        <f t="shared" si="0"/>
        <v>0</v>
      </c>
    </row>
    <row r="20" spans="1:6" x14ac:dyDescent="0.35">
      <c r="A20" s="154" t="s">
        <v>46</v>
      </c>
      <c r="B20" s="162" t="s">
        <v>47</v>
      </c>
      <c r="C20" s="157">
        <v>0</v>
      </c>
      <c r="D20" s="157"/>
      <c r="E20" s="157">
        <v>0</v>
      </c>
      <c r="F20" s="153">
        <f t="shared" si="0"/>
        <v>0</v>
      </c>
    </row>
    <row r="21" spans="1:6" s="135" customFormat="1" x14ac:dyDescent="0.35">
      <c r="A21" s="150" t="s">
        <v>48</v>
      </c>
      <c r="B21" s="163" t="s">
        <v>49</v>
      </c>
      <c r="C21" s="153">
        <f>C14+C15+C16+C17+C19+C20</f>
        <v>43855727</v>
      </c>
      <c r="D21" s="153">
        <f t="shared" ref="D21:F21" si="2">D14+D15+D16+D17+D19+D20</f>
        <v>0</v>
      </c>
      <c r="E21" s="153">
        <f t="shared" si="2"/>
        <v>0</v>
      </c>
      <c r="F21" s="153">
        <f t="shared" si="2"/>
        <v>43855727</v>
      </c>
    </row>
    <row r="22" spans="1:6" x14ac:dyDescent="0.35">
      <c r="A22" s="154" t="s">
        <v>50</v>
      </c>
      <c r="B22" s="163" t="s">
        <v>51</v>
      </c>
      <c r="C22" s="153">
        <f>C13+C21</f>
        <v>44455727</v>
      </c>
      <c r="D22" s="153">
        <f t="shared" ref="D22:F22" si="3">D13+D21</f>
        <v>0</v>
      </c>
      <c r="E22" s="153">
        <f t="shared" si="3"/>
        <v>0</v>
      </c>
      <c r="F22" s="153">
        <f t="shared" si="3"/>
        <v>44455727</v>
      </c>
    </row>
    <row r="23" spans="1:6" x14ac:dyDescent="0.35">
      <c r="A23" s="164"/>
      <c r="B23" s="18" t="s">
        <v>58</v>
      </c>
      <c r="C23" s="165"/>
      <c r="D23" s="166"/>
      <c r="E23" s="312" t="s">
        <v>93</v>
      </c>
      <c r="F23" s="313"/>
    </row>
    <row r="24" spans="1:6" ht="24" x14ac:dyDescent="0.35">
      <c r="A24" s="148" t="s">
        <v>1</v>
      </c>
      <c r="B24" s="149" t="s">
        <v>2</v>
      </c>
      <c r="C24" s="149" t="s">
        <v>95</v>
      </c>
      <c r="D24" s="149" t="s">
        <v>96</v>
      </c>
      <c r="E24" s="149" t="s">
        <v>97</v>
      </c>
      <c r="F24" s="148" t="s">
        <v>98</v>
      </c>
    </row>
    <row r="25" spans="1:6" s="135" customFormat="1" x14ac:dyDescent="0.35">
      <c r="A25" s="167" t="s">
        <v>4</v>
      </c>
      <c r="B25" s="168" t="s">
        <v>59</v>
      </c>
      <c r="C25" s="169">
        <f>C26+C27+C28+C29+C30+C31</f>
        <v>44039757</v>
      </c>
      <c r="D25" s="169">
        <f t="shared" ref="D25:E25" si="4">D26+D27+D28+D29+D30+D31</f>
        <v>161970</v>
      </c>
      <c r="E25" s="169">
        <f t="shared" si="4"/>
        <v>0</v>
      </c>
      <c r="F25" s="153">
        <f>SUM(F26:F31)</f>
        <v>44201727</v>
      </c>
    </row>
    <row r="26" spans="1:6" x14ac:dyDescent="0.35">
      <c r="A26" s="154" t="s">
        <v>60</v>
      </c>
      <c r="B26" s="162" t="s">
        <v>61</v>
      </c>
      <c r="C26" s="157">
        <f>'Költségvetési kiadások'!L23</f>
        <v>29710901</v>
      </c>
      <c r="D26" s="157">
        <f>'Költségvetési kiadások'!M23</f>
        <v>100000</v>
      </c>
      <c r="E26" s="157">
        <v>0</v>
      </c>
      <c r="F26" s="153">
        <f t="shared" ref="F26:F42" si="5">C26+D26+E26</f>
        <v>29810901</v>
      </c>
    </row>
    <row r="27" spans="1:6" x14ac:dyDescent="0.35">
      <c r="A27" s="154" t="s">
        <v>62</v>
      </c>
      <c r="B27" s="162" t="s">
        <v>63</v>
      </c>
      <c r="C27" s="157">
        <f>'Költségvetési kiadások'!L24</f>
        <v>5883856</v>
      </c>
      <c r="D27" s="157">
        <f>'Költségvetési kiadások'!M24</f>
        <v>40710</v>
      </c>
      <c r="E27" s="157">
        <v>0</v>
      </c>
      <c r="F27" s="153">
        <f t="shared" si="5"/>
        <v>5924566</v>
      </c>
    </row>
    <row r="28" spans="1:6" x14ac:dyDescent="0.35">
      <c r="A28" s="154" t="s">
        <v>64</v>
      </c>
      <c r="B28" s="162" t="s">
        <v>65</v>
      </c>
      <c r="C28" s="157">
        <f>'Költségvetési kiadások'!L49</f>
        <v>8445000</v>
      </c>
      <c r="D28" s="157">
        <f>'Költségvetési kiadások'!M49</f>
        <v>21260</v>
      </c>
      <c r="E28" s="157">
        <v>0</v>
      </c>
      <c r="F28" s="153">
        <f t="shared" si="5"/>
        <v>8466260</v>
      </c>
    </row>
    <row r="29" spans="1:6" x14ac:dyDescent="0.35">
      <c r="A29" s="154" t="s">
        <v>66</v>
      </c>
      <c r="B29" s="162" t="s">
        <v>67</v>
      </c>
      <c r="C29" s="157">
        <v>0</v>
      </c>
      <c r="D29" s="157">
        <v>0</v>
      </c>
      <c r="E29" s="157">
        <v>0</v>
      </c>
      <c r="F29" s="153">
        <f t="shared" si="5"/>
        <v>0</v>
      </c>
    </row>
    <row r="30" spans="1:6" x14ac:dyDescent="0.35">
      <c r="A30" s="154" t="s">
        <v>68</v>
      </c>
      <c r="B30" s="162" t="s">
        <v>69</v>
      </c>
      <c r="C30" s="157">
        <v>0</v>
      </c>
      <c r="D30" s="157">
        <v>0</v>
      </c>
      <c r="E30" s="157">
        <v>0</v>
      </c>
      <c r="F30" s="153">
        <f t="shared" si="5"/>
        <v>0</v>
      </c>
    </row>
    <row r="31" spans="1:6" x14ac:dyDescent="0.35">
      <c r="A31" s="170" t="s">
        <v>74</v>
      </c>
      <c r="B31" s="162" t="s">
        <v>75</v>
      </c>
      <c r="C31" s="157">
        <v>0</v>
      </c>
      <c r="D31" s="157">
        <v>0</v>
      </c>
      <c r="E31" s="157">
        <v>0</v>
      </c>
      <c r="F31" s="153">
        <f t="shared" si="5"/>
        <v>0</v>
      </c>
    </row>
    <row r="32" spans="1:6" x14ac:dyDescent="0.35">
      <c r="A32" s="170" t="s">
        <v>6</v>
      </c>
      <c r="B32" s="162" t="s">
        <v>76</v>
      </c>
      <c r="C32" s="157">
        <f>C33+C34+C35</f>
        <v>254000</v>
      </c>
      <c r="D32" s="157">
        <f t="shared" ref="D32:E32" si="6">D33+D34+D35</f>
        <v>0</v>
      </c>
      <c r="E32" s="157">
        <f t="shared" si="6"/>
        <v>0</v>
      </c>
      <c r="F32" s="153">
        <f>SUM(F33:F35)</f>
        <v>254000</v>
      </c>
    </row>
    <row r="33" spans="1:6" x14ac:dyDescent="0.35">
      <c r="A33" s="170" t="s">
        <v>8</v>
      </c>
      <c r="B33" s="162" t="s">
        <v>77</v>
      </c>
      <c r="C33" s="157">
        <f>'Költségvetési kiadások'!L83</f>
        <v>254000</v>
      </c>
      <c r="D33" s="157">
        <f>'Költségvetési kiadások'!M83</f>
        <v>0</v>
      </c>
      <c r="E33" s="157">
        <v>0</v>
      </c>
      <c r="F33" s="153">
        <f t="shared" si="5"/>
        <v>254000</v>
      </c>
    </row>
    <row r="34" spans="1:6" x14ac:dyDescent="0.35">
      <c r="A34" s="170" t="s">
        <v>78</v>
      </c>
      <c r="B34" s="162" t="s">
        <v>79</v>
      </c>
      <c r="C34" s="157">
        <f>'Költségvetési kiadások'!L88</f>
        <v>0</v>
      </c>
      <c r="D34" s="157">
        <f>'Költségvetési kiadások'!M88</f>
        <v>0</v>
      </c>
      <c r="E34" s="157"/>
      <c r="F34" s="153">
        <f t="shared" si="5"/>
        <v>0</v>
      </c>
    </row>
    <row r="35" spans="1:6" x14ac:dyDescent="0.35">
      <c r="A35" s="170" t="s">
        <v>80</v>
      </c>
      <c r="B35" s="162" t="s">
        <v>81</v>
      </c>
      <c r="C35" s="157">
        <v>0</v>
      </c>
      <c r="D35" s="157">
        <v>0</v>
      </c>
      <c r="E35" s="157">
        <v>0</v>
      </c>
      <c r="F35" s="153">
        <f t="shared" si="5"/>
        <v>0</v>
      </c>
    </row>
    <row r="36" spans="1:6" s="135" customFormat="1" x14ac:dyDescent="0.35">
      <c r="A36" s="171" t="s">
        <v>16</v>
      </c>
      <c r="B36" s="163" t="s">
        <v>82</v>
      </c>
      <c r="C36" s="153">
        <f>C25+C32</f>
        <v>44293757</v>
      </c>
      <c r="D36" s="153">
        <f t="shared" ref="D36:F36" si="7">D25+D32</f>
        <v>161970</v>
      </c>
      <c r="E36" s="153">
        <f t="shared" si="7"/>
        <v>0</v>
      </c>
      <c r="F36" s="153">
        <f t="shared" si="7"/>
        <v>44455727</v>
      </c>
    </row>
    <row r="37" spans="1:6" x14ac:dyDescent="0.35">
      <c r="A37" s="154" t="s">
        <v>18</v>
      </c>
      <c r="B37" s="162" t="s">
        <v>83</v>
      </c>
      <c r="C37" s="157">
        <v>0</v>
      </c>
      <c r="D37" s="157">
        <v>0</v>
      </c>
      <c r="E37" s="157">
        <v>0</v>
      </c>
      <c r="F37" s="153">
        <f t="shared" si="5"/>
        <v>0</v>
      </c>
    </row>
    <row r="38" spans="1:6" x14ac:dyDescent="0.35">
      <c r="A38" s="154" t="s">
        <v>24</v>
      </c>
      <c r="B38" s="162" t="s">
        <v>84</v>
      </c>
      <c r="C38" s="157">
        <v>0</v>
      </c>
      <c r="D38" s="157">
        <v>0</v>
      </c>
      <c r="E38" s="157">
        <v>0</v>
      </c>
      <c r="F38" s="153">
        <f t="shared" si="5"/>
        <v>0</v>
      </c>
    </row>
    <row r="39" spans="1:6" x14ac:dyDescent="0.35">
      <c r="A39" s="154" t="s">
        <v>26</v>
      </c>
      <c r="B39" s="162" t="s">
        <v>85</v>
      </c>
      <c r="C39" s="157">
        <v>0</v>
      </c>
      <c r="D39" s="157">
        <v>0</v>
      </c>
      <c r="E39" s="157">
        <v>0</v>
      </c>
      <c r="F39" s="153">
        <f t="shared" si="5"/>
        <v>0</v>
      </c>
    </row>
    <row r="40" spans="1:6" x14ac:dyDescent="0.35">
      <c r="A40" s="154"/>
      <c r="B40" s="162" t="s">
        <v>118</v>
      </c>
      <c r="C40" s="157">
        <v>0</v>
      </c>
      <c r="D40" s="157">
        <v>0</v>
      </c>
      <c r="E40" s="157">
        <v>0</v>
      </c>
      <c r="F40" s="153">
        <f t="shared" si="5"/>
        <v>0</v>
      </c>
    </row>
    <row r="41" spans="1:6" x14ac:dyDescent="0.35">
      <c r="A41" s="154" t="s">
        <v>28</v>
      </c>
      <c r="B41" s="162" t="s">
        <v>87</v>
      </c>
      <c r="C41" s="157">
        <v>0</v>
      </c>
      <c r="D41" s="157">
        <v>0</v>
      </c>
      <c r="E41" s="157">
        <v>0</v>
      </c>
      <c r="F41" s="153">
        <f t="shared" si="5"/>
        <v>0</v>
      </c>
    </row>
    <row r="42" spans="1:6" s="135" customFormat="1" x14ac:dyDescent="0.35">
      <c r="A42" s="150" t="s">
        <v>30</v>
      </c>
      <c r="B42" s="163" t="s">
        <v>88</v>
      </c>
      <c r="C42" s="153">
        <f>C37+C38+C39+C41</f>
        <v>0</v>
      </c>
      <c r="D42" s="153">
        <f t="shared" ref="D42:E42" si="8">D37+D38+D39+D41</f>
        <v>0</v>
      </c>
      <c r="E42" s="153">
        <f t="shared" si="8"/>
        <v>0</v>
      </c>
      <c r="F42" s="153">
        <f t="shared" si="5"/>
        <v>0</v>
      </c>
    </row>
    <row r="43" spans="1:6" s="135" customFormat="1" x14ac:dyDescent="0.35">
      <c r="A43" s="150" t="s">
        <v>32</v>
      </c>
      <c r="B43" s="163" t="s">
        <v>89</v>
      </c>
      <c r="C43" s="153">
        <f>C36+C42</f>
        <v>44293757</v>
      </c>
      <c r="D43" s="153">
        <f t="shared" ref="D43:F43" si="9">D36+D42</f>
        <v>161970</v>
      </c>
      <c r="E43" s="153">
        <f t="shared" si="9"/>
        <v>0</v>
      </c>
      <c r="F43" s="153">
        <f t="shared" si="9"/>
        <v>44455727</v>
      </c>
    </row>
    <row r="44" spans="1:6" x14ac:dyDescent="0.35">
      <c r="A44" s="45"/>
      <c r="B44" s="46"/>
      <c r="C44" s="47"/>
      <c r="D44" s="47"/>
      <c r="E44" s="47"/>
      <c r="F44" s="48"/>
    </row>
  </sheetData>
  <mergeCells count="5">
    <mergeCell ref="A1:C1"/>
    <mergeCell ref="D1:F2"/>
    <mergeCell ref="A2:C2"/>
    <mergeCell ref="E3:F3"/>
    <mergeCell ref="E23:F2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0"/>
  <sheetViews>
    <sheetView zoomScale="90" zoomScaleNormal="90" workbookViewId="0">
      <pane xSplit="2" ySplit="4" topLeftCell="C71" activePane="bottomRight" state="frozen"/>
      <selection pane="topRight" activeCell="C1" sqref="C1"/>
      <selection pane="bottomLeft" activeCell="A4" sqref="A4"/>
      <selection pane="bottomRight" activeCell="D82" sqref="D82"/>
    </sheetView>
  </sheetViews>
  <sheetFormatPr defaultRowHeight="13" x14ac:dyDescent="0.3"/>
  <cols>
    <col min="1" max="1" width="3" style="172" bestFit="1" customWidth="1"/>
    <col min="2" max="2" width="93.1796875" style="172" bestFit="1" customWidth="1"/>
    <col min="3" max="3" width="20" style="172" bestFit="1" customWidth="1"/>
    <col min="4" max="5" width="20" style="172" customWidth="1"/>
    <col min="6" max="6" width="20" style="172" bestFit="1" customWidth="1"/>
    <col min="7" max="7" width="20" style="172" customWidth="1"/>
    <col min="8" max="8" width="20" style="172" bestFit="1" customWidth="1"/>
    <col min="9" max="9" width="20" style="172" customWidth="1"/>
    <col min="10" max="10" width="20" style="172" bestFit="1" customWidth="1"/>
    <col min="11" max="11" width="20" style="172" customWidth="1"/>
    <col min="12" max="12" width="20" style="172" bestFit="1" customWidth="1"/>
    <col min="13" max="13" width="20" style="172" customWidth="1"/>
    <col min="14" max="14" width="21.26953125" style="176" bestFit="1" customWidth="1"/>
    <col min="15" max="15" width="14.81640625" style="172" customWidth="1"/>
    <col min="16" max="16" width="10.81640625" style="172" bestFit="1" customWidth="1"/>
    <col min="17" max="262" width="9.1796875" style="172"/>
    <col min="263" max="263" width="3" style="172" bestFit="1" customWidth="1"/>
    <col min="264" max="264" width="88.26953125" style="172" bestFit="1" customWidth="1"/>
    <col min="265" max="269" width="20" style="172" bestFit="1" customWidth="1"/>
    <col min="270" max="270" width="21.26953125" style="172" bestFit="1" customWidth="1"/>
    <col min="271" max="518" width="9.1796875" style="172"/>
    <col min="519" max="519" width="3" style="172" bestFit="1" customWidth="1"/>
    <col min="520" max="520" width="88.26953125" style="172" bestFit="1" customWidth="1"/>
    <col min="521" max="525" width="20" style="172" bestFit="1" customWidth="1"/>
    <col min="526" max="526" width="21.26953125" style="172" bestFit="1" customWidth="1"/>
    <col min="527" max="774" width="9.1796875" style="172"/>
    <col min="775" max="775" width="3" style="172" bestFit="1" customWidth="1"/>
    <col min="776" max="776" width="88.26953125" style="172" bestFit="1" customWidth="1"/>
    <col min="777" max="781" width="20" style="172" bestFit="1" customWidth="1"/>
    <col min="782" max="782" width="21.26953125" style="172" bestFit="1" customWidth="1"/>
    <col min="783" max="1030" width="9.1796875" style="172"/>
    <col min="1031" max="1031" width="3" style="172" bestFit="1" customWidth="1"/>
    <col min="1032" max="1032" width="88.26953125" style="172" bestFit="1" customWidth="1"/>
    <col min="1033" max="1037" width="20" style="172" bestFit="1" customWidth="1"/>
    <col min="1038" max="1038" width="21.26953125" style="172" bestFit="1" customWidth="1"/>
    <col min="1039" max="1286" width="9.1796875" style="172"/>
    <col min="1287" max="1287" width="3" style="172" bestFit="1" customWidth="1"/>
    <col min="1288" max="1288" width="88.26953125" style="172" bestFit="1" customWidth="1"/>
    <col min="1289" max="1293" width="20" style="172" bestFit="1" customWidth="1"/>
    <col min="1294" max="1294" width="21.26953125" style="172" bestFit="1" customWidth="1"/>
    <col min="1295" max="1542" width="9.1796875" style="172"/>
    <col min="1543" max="1543" width="3" style="172" bestFit="1" customWidth="1"/>
    <col min="1544" max="1544" width="88.26953125" style="172" bestFit="1" customWidth="1"/>
    <col min="1545" max="1549" width="20" style="172" bestFit="1" customWidth="1"/>
    <col min="1550" max="1550" width="21.26953125" style="172" bestFit="1" customWidth="1"/>
    <col min="1551" max="1798" width="9.1796875" style="172"/>
    <col min="1799" max="1799" width="3" style="172" bestFit="1" customWidth="1"/>
    <col min="1800" max="1800" width="88.26953125" style="172" bestFit="1" customWidth="1"/>
    <col min="1801" max="1805" width="20" style="172" bestFit="1" customWidth="1"/>
    <col min="1806" max="1806" width="21.26953125" style="172" bestFit="1" customWidth="1"/>
    <col min="1807" max="2054" width="9.1796875" style="172"/>
    <col min="2055" max="2055" width="3" style="172" bestFit="1" customWidth="1"/>
    <col min="2056" max="2056" width="88.26953125" style="172" bestFit="1" customWidth="1"/>
    <col min="2057" max="2061" width="20" style="172" bestFit="1" customWidth="1"/>
    <col min="2062" max="2062" width="21.26953125" style="172" bestFit="1" customWidth="1"/>
    <col min="2063" max="2310" width="9.1796875" style="172"/>
    <col min="2311" max="2311" width="3" style="172" bestFit="1" customWidth="1"/>
    <col min="2312" max="2312" width="88.26953125" style="172" bestFit="1" customWidth="1"/>
    <col min="2313" max="2317" width="20" style="172" bestFit="1" customWidth="1"/>
    <col min="2318" max="2318" width="21.26953125" style="172" bestFit="1" customWidth="1"/>
    <col min="2319" max="2566" width="9.1796875" style="172"/>
    <col min="2567" max="2567" width="3" style="172" bestFit="1" customWidth="1"/>
    <col min="2568" max="2568" width="88.26953125" style="172" bestFit="1" customWidth="1"/>
    <col min="2569" max="2573" width="20" style="172" bestFit="1" customWidth="1"/>
    <col min="2574" max="2574" width="21.26953125" style="172" bestFit="1" customWidth="1"/>
    <col min="2575" max="2822" width="9.1796875" style="172"/>
    <col min="2823" max="2823" width="3" style="172" bestFit="1" customWidth="1"/>
    <col min="2824" max="2824" width="88.26953125" style="172" bestFit="1" customWidth="1"/>
    <col min="2825" max="2829" width="20" style="172" bestFit="1" customWidth="1"/>
    <col min="2830" max="2830" width="21.26953125" style="172" bestFit="1" customWidth="1"/>
    <col min="2831" max="3078" width="9.1796875" style="172"/>
    <col min="3079" max="3079" width="3" style="172" bestFit="1" customWidth="1"/>
    <col min="3080" max="3080" width="88.26953125" style="172" bestFit="1" customWidth="1"/>
    <col min="3081" max="3085" width="20" style="172" bestFit="1" customWidth="1"/>
    <col min="3086" max="3086" width="21.26953125" style="172" bestFit="1" customWidth="1"/>
    <col min="3087" max="3334" width="9.1796875" style="172"/>
    <col min="3335" max="3335" width="3" style="172" bestFit="1" customWidth="1"/>
    <col min="3336" max="3336" width="88.26953125" style="172" bestFit="1" customWidth="1"/>
    <col min="3337" max="3341" width="20" style="172" bestFit="1" customWidth="1"/>
    <col min="3342" max="3342" width="21.26953125" style="172" bestFit="1" customWidth="1"/>
    <col min="3343" max="3590" width="9.1796875" style="172"/>
    <col min="3591" max="3591" width="3" style="172" bestFit="1" customWidth="1"/>
    <col min="3592" max="3592" width="88.26953125" style="172" bestFit="1" customWidth="1"/>
    <col min="3593" max="3597" width="20" style="172" bestFit="1" customWidth="1"/>
    <col min="3598" max="3598" width="21.26953125" style="172" bestFit="1" customWidth="1"/>
    <col min="3599" max="3846" width="9.1796875" style="172"/>
    <col min="3847" max="3847" width="3" style="172" bestFit="1" customWidth="1"/>
    <col min="3848" max="3848" width="88.26953125" style="172" bestFit="1" customWidth="1"/>
    <col min="3849" max="3853" width="20" style="172" bestFit="1" customWidth="1"/>
    <col min="3854" max="3854" width="21.26953125" style="172" bestFit="1" customWidth="1"/>
    <col min="3855" max="4102" width="9.1796875" style="172"/>
    <col min="4103" max="4103" width="3" style="172" bestFit="1" customWidth="1"/>
    <col min="4104" max="4104" width="88.26953125" style="172" bestFit="1" customWidth="1"/>
    <col min="4105" max="4109" width="20" style="172" bestFit="1" customWidth="1"/>
    <col min="4110" max="4110" width="21.26953125" style="172" bestFit="1" customWidth="1"/>
    <col min="4111" max="4358" width="9.1796875" style="172"/>
    <col min="4359" max="4359" width="3" style="172" bestFit="1" customWidth="1"/>
    <col min="4360" max="4360" width="88.26953125" style="172" bestFit="1" customWidth="1"/>
    <col min="4361" max="4365" width="20" style="172" bestFit="1" customWidth="1"/>
    <col min="4366" max="4366" width="21.26953125" style="172" bestFit="1" customWidth="1"/>
    <col min="4367" max="4614" width="9.1796875" style="172"/>
    <col min="4615" max="4615" width="3" style="172" bestFit="1" customWidth="1"/>
    <col min="4616" max="4616" width="88.26953125" style="172" bestFit="1" customWidth="1"/>
    <col min="4617" max="4621" width="20" style="172" bestFit="1" customWidth="1"/>
    <col min="4622" max="4622" width="21.26953125" style="172" bestFit="1" customWidth="1"/>
    <col min="4623" max="4870" width="9.1796875" style="172"/>
    <col min="4871" max="4871" width="3" style="172" bestFit="1" customWidth="1"/>
    <col min="4872" max="4872" width="88.26953125" style="172" bestFit="1" customWidth="1"/>
    <col min="4873" max="4877" width="20" style="172" bestFit="1" customWidth="1"/>
    <col min="4878" max="4878" width="21.26953125" style="172" bestFit="1" customWidth="1"/>
    <col min="4879" max="5126" width="9.1796875" style="172"/>
    <col min="5127" max="5127" width="3" style="172" bestFit="1" customWidth="1"/>
    <col min="5128" max="5128" width="88.26953125" style="172" bestFit="1" customWidth="1"/>
    <col min="5129" max="5133" width="20" style="172" bestFit="1" customWidth="1"/>
    <col min="5134" max="5134" width="21.26953125" style="172" bestFit="1" customWidth="1"/>
    <col min="5135" max="5382" width="9.1796875" style="172"/>
    <col min="5383" max="5383" width="3" style="172" bestFit="1" customWidth="1"/>
    <col min="5384" max="5384" width="88.26953125" style="172" bestFit="1" customWidth="1"/>
    <col min="5385" max="5389" width="20" style="172" bestFit="1" customWidth="1"/>
    <col min="5390" max="5390" width="21.26953125" style="172" bestFit="1" customWidth="1"/>
    <col min="5391" max="5638" width="9.1796875" style="172"/>
    <col min="5639" max="5639" width="3" style="172" bestFit="1" customWidth="1"/>
    <col min="5640" max="5640" width="88.26953125" style="172" bestFit="1" customWidth="1"/>
    <col min="5641" max="5645" width="20" style="172" bestFit="1" customWidth="1"/>
    <col min="5646" max="5646" width="21.26953125" style="172" bestFit="1" customWidth="1"/>
    <col min="5647" max="5894" width="9.1796875" style="172"/>
    <col min="5895" max="5895" width="3" style="172" bestFit="1" customWidth="1"/>
    <col min="5896" max="5896" width="88.26953125" style="172" bestFit="1" customWidth="1"/>
    <col min="5897" max="5901" width="20" style="172" bestFit="1" customWidth="1"/>
    <col min="5902" max="5902" width="21.26953125" style="172" bestFit="1" customWidth="1"/>
    <col min="5903" max="6150" width="9.1796875" style="172"/>
    <col min="6151" max="6151" width="3" style="172" bestFit="1" customWidth="1"/>
    <col min="6152" max="6152" width="88.26953125" style="172" bestFit="1" customWidth="1"/>
    <col min="6153" max="6157" width="20" style="172" bestFit="1" customWidth="1"/>
    <col min="6158" max="6158" width="21.26953125" style="172" bestFit="1" customWidth="1"/>
    <col min="6159" max="6406" width="9.1796875" style="172"/>
    <col min="6407" max="6407" width="3" style="172" bestFit="1" customWidth="1"/>
    <col min="6408" max="6408" width="88.26953125" style="172" bestFit="1" customWidth="1"/>
    <col min="6409" max="6413" width="20" style="172" bestFit="1" customWidth="1"/>
    <col min="6414" max="6414" width="21.26953125" style="172" bestFit="1" customWidth="1"/>
    <col min="6415" max="6662" width="9.1796875" style="172"/>
    <col min="6663" max="6663" width="3" style="172" bestFit="1" customWidth="1"/>
    <col min="6664" max="6664" width="88.26953125" style="172" bestFit="1" customWidth="1"/>
    <col min="6665" max="6669" width="20" style="172" bestFit="1" customWidth="1"/>
    <col min="6670" max="6670" width="21.26953125" style="172" bestFit="1" customWidth="1"/>
    <col min="6671" max="6918" width="9.1796875" style="172"/>
    <col min="6919" max="6919" width="3" style="172" bestFit="1" customWidth="1"/>
    <col min="6920" max="6920" width="88.26953125" style="172" bestFit="1" customWidth="1"/>
    <col min="6921" max="6925" width="20" style="172" bestFit="1" customWidth="1"/>
    <col min="6926" max="6926" width="21.26953125" style="172" bestFit="1" customWidth="1"/>
    <col min="6927" max="7174" width="9.1796875" style="172"/>
    <col min="7175" max="7175" width="3" style="172" bestFit="1" customWidth="1"/>
    <col min="7176" max="7176" width="88.26953125" style="172" bestFit="1" customWidth="1"/>
    <col min="7177" max="7181" width="20" style="172" bestFit="1" customWidth="1"/>
    <col min="7182" max="7182" width="21.26953125" style="172" bestFit="1" customWidth="1"/>
    <col min="7183" max="7430" width="9.1796875" style="172"/>
    <col min="7431" max="7431" width="3" style="172" bestFit="1" customWidth="1"/>
    <col min="7432" max="7432" width="88.26953125" style="172" bestFit="1" customWidth="1"/>
    <col min="7433" max="7437" width="20" style="172" bestFit="1" customWidth="1"/>
    <col min="7438" max="7438" width="21.26953125" style="172" bestFit="1" customWidth="1"/>
    <col min="7439" max="7686" width="9.1796875" style="172"/>
    <col min="7687" max="7687" width="3" style="172" bestFit="1" customWidth="1"/>
    <col min="7688" max="7688" width="88.26953125" style="172" bestFit="1" customWidth="1"/>
    <col min="7689" max="7693" width="20" style="172" bestFit="1" customWidth="1"/>
    <col min="7694" max="7694" width="21.26953125" style="172" bestFit="1" customWidth="1"/>
    <col min="7695" max="7942" width="9.1796875" style="172"/>
    <col min="7943" max="7943" width="3" style="172" bestFit="1" customWidth="1"/>
    <col min="7944" max="7944" width="88.26953125" style="172" bestFit="1" customWidth="1"/>
    <col min="7945" max="7949" width="20" style="172" bestFit="1" customWidth="1"/>
    <col min="7950" max="7950" width="21.26953125" style="172" bestFit="1" customWidth="1"/>
    <col min="7951" max="8198" width="9.1796875" style="172"/>
    <col min="8199" max="8199" width="3" style="172" bestFit="1" customWidth="1"/>
    <col min="8200" max="8200" width="88.26953125" style="172" bestFit="1" customWidth="1"/>
    <col min="8201" max="8205" width="20" style="172" bestFit="1" customWidth="1"/>
    <col min="8206" max="8206" width="21.26953125" style="172" bestFit="1" customWidth="1"/>
    <col min="8207" max="8454" width="9.1796875" style="172"/>
    <col min="8455" max="8455" width="3" style="172" bestFit="1" customWidth="1"/>
    <col min="8456" max="8456" width="88.26953125" style="172" bestFit="1" customWidth="1"/>
    <col min="8457" max="8461" width="20" style="172" bestFit="1" customWidth="1"/>
    <col min="8462" max="8462" width="21.26953125" style="172" bestFit="1" customWidth="1"/>
    <col min="8463" max="8710" width="9.1796875" style="172"/>
    <col min="8711" max="8711" width="3" style="172" bestFit="1" customWidth="1"/>
    <col min="8712" max="8712" width="88.26953125" style="172" bestFit="1" customWidth="1"/>
    <col min="8713" max="8717" width="20" style="172" bestFit="1" customWidth="1"/>
    <col min="8718" max="8718" width="21.26953125" style="172" bestFit="1" customWidth="1"/>
    <col min="8719" max="8966" width="9.1796875" style="172"/>
    <col min="8967" max="8967" width="3" style="172" bestFit="1" customWidth="1"/>
    <col min="8968" max="8968" width="88.26953125" style="172" bestFit="1" customWidth="1"/>
    <col min="8969" max="8973" width="20" style="172" bestFit="1" customWidth="1"/>
    <col min="8974" max="8974" width="21.26953125" style="172" bestFit="1" customWidth="1"/>
    <col min="8975" max="9222" width="9.1796875" style="172"/>
    <col min="9223" max="9223" width="3" style="172" bestFit="1" customWidth="1"/>
    <col min="9224" max="9224" width="88.26953125" style="172" bestFit="1" customWidth="1"/>
    <col min="9225" max="9229" width="20" style="172" bestFit="1" customWidth="1"/>
    <col min="9230" max="9230" width="21.26953125" style="172" bestFit="1" customWidth="1"/>
    <col min="9231" max="9478" width="9.1796875" style="172"/>
    <col min="9479" max="9479" width="3" style="172" bestFit="1" customWidth="1"/>
    <col min="9480" max="9480" width="88.26953125" style="172" bestFit="1" customWidth="1"/>
    <col min="9481" max="9485" width="20" style="172" bestFit="1" customWidth="1"/>
    <col min="9486" max="9486" width="21.26953125" style="172" bestFit="1" customWidth="1"/>
    <col min="9487" max="9734" width="9.1796875" style="172"/>
    <col min="9735" max="9735" width="3" style="172" bestFit="1" customWidth="1"/>
    <col min="9736" max="9736" width="88.26953125" style="172" bestFit="1" customWidth="1"/>
    <col min="9737" max="9741" width="20" style="172" bestFit="1" customWidth="1"/>
    <col min="9742" max="9742" width="21.26953125" style="172" bestFit="1" customWidth="1"/>
    <col min="9743" max="9990" width="9.1796875" style="172"/>
    <col min="9991" max="9991" width="3" style="172" bestFit="1" customWidth="1"/>
    <col min="9992" max="9992" width="88.26953125" style="172" bestFit="1" customWidth="1"/>
    <col min="9993" max="9997" width="20" style="172" bestFit="1" customWidth="1"/>
    <col min="9998" max="9998" width="21.26953125" style="172" bestFit="1" customWidth="1"/>
    <col min="9999" max="10246" width="9.1796875" style="172"/>
    <col min="10247" max="10247" width="3" style="172" bestFit="1" customWidth="1"/>
    <col min="10248" max="10248" width="88.26953125" style="172" bestFit="1" customWidth="1"/>
    <col min="10249" max="10253" width="20" style="172" bestFit="1" customWidth="1"/>
    <col min="10254" max="10254" width="21.26953125" style="172" bestFit="1" customWidth="1"/>
    <col min="10255" max="10502" width="9.1796875" style="172"/>
    <col min="10503" max="10503" width="3" style="172" bestFit="1" customWidth="1"/>
    <col min="10504" max="10504" width="88.26953125" style="172" bestFit="1" customWidth="1"/>
    <col min="10505" max="10509" width="20" style="172" bestFit="1" customWidth="1"/>
    <col min="10510" max="10510" width="21.26953125" style="172" bestFit="1" customWidth="1"/>
    <col min="10511" max="10758" width="9.1796875" style="172"/>
    <col min="10759" max="10759" width="3" style="172" bestFit="1" customWidth="1"/>
    <col min="10760" max="10760" width="88.26953125" style="172" bestFit="1" customWidth="1"/>
    <col min="10761" max="10765" width="20" style="172" bestFit="1" customWidth="1"/>
    <col min="10766" max="10766" width="21.26953125" style="172" bestFit="1" customWidth="1"/>
    <col min="10767" max="11014" width="9.1796875" style="172"/>
    <col min="11015" max="11015" width="3" style="172" bestFit="1" customWidth="1"/>
    <col min="11016" max="11016" width="88.26953125" style="172" bestFit="1" customWidth="1"/>
    <col min="11017" max="11021" width="20" style="172" bestFit="1" customWidth="1"/>
    <col min="11022" max="11022" width="21.26953125" style="172" bestFit="1" customWidth="1"/>
    <col min="11023" max="11270" width="9.1796875" style="172"/>
    <col min="11271" max="11271" width="3" style="172" bestFit="1" customWidth="1"/>
    <col min="11272" max="11272" width="88.26953125" style="172" bestFit="1" customWidth="1"/>
    <col min="11273" max="11277" width="20" style="172" bestFit="1" customWidth="1"/>
    <col min="11278" max="11278" width="21.26953125" style="172" bestFit="1" customWidth="1"/>
    <col min="11279" max="11526" width="9.1796875" style="172"/>
    <col min="11527" max="11527" width="3" style="172" bestFit="1" customWidth="1"/>
    <col min="11528" max="11528" width="88.26953125" style="172" bestFit="1" customWidth="1"/>
    <col min="11529" max="11533" width="20" style="172" bestFit="1" customWidth="1"/>
    <col min="11534" max="11534" width="21.26953125" style="172" bestFit="1" customWidth="1"/>
    <col min="11535" max="11782" width="9.1796875" style="172"/>
    <col min="11783" max="11783" width="3" style="172" bestFit="1" customWidth="1"/>
    <col min="11784" max="11784" width="88.26953125" style="172" bestFit="1" customWidth="1"/>
    <col min="11785" max="11789" width="20" style="172" bestFit="1" customWidth="1"/>
    <col min="11790" max="11790" width="21.26953125" style="172" bestFit="1" customWidth="1"/>
    <col min="11791" max="12038" width="9.1796875" style="172"/>
    <col min="12039" max="12039" width="3" style="172" bestFit="1" customWidth="1"/>
    <col min="12040" max="12040" width="88.26953125" style="172" bestFit="1" customWidth="1"/>
    <col min="12041" max="12045" width="20" style="172" bestFit="1" customWidth="1"/>
    <col min="12046" max="12046" width="21.26953125" style="172" bestFit="1" customWidth="1"/>
    <col min="12047" max="12294" width="9.1796875" style="172"/>
    <col min="12295" max="12295" width="3" style="172" bestFit="1" customWidth="1"/>
    <col min="12296" max="12296" width="88.26953125" style="172" bestFit="1" customWidth="1"/>
    <col min="12297" max="12301" width="20" style="172" bestFit="1" customWidth="1"/>
    <col min="12302" max="12302" width="21.26953125" style="172" bestFit="1" customWidth="1"/>
    <col min="12303" max="12550" width="9.1796875" style="172"/>
    <col min="12551" max="12551" width="3" style="172" bestFit="1" customWidth="1"/>
    <col min="12552" max="12552" width="88.26953125" style="172" bestFit="1" customWidth="1"/>
    <col min="12553" max="12557" width="20" style="172" bestFit="1" customWidth="1"/>
    <col min="12558" max="12558" width="21.26953125" style="172" bestFit="1" customWidth="1"/>
    <col min="12559" max="12806" width="9.1796875" style="172"/>
    <col min="12807" max="12807" width="3" style="172" bestFit="1" customWidth="1"/>
    <col min="12808" max="12808" width="88.26953125" style="172" bestFit="1" customWidth="1"/>
    <col min="12809" max="12813" width="20" style="172" bestFit="1" customWidth="1"/>
    <col min="12814" max="12814" width="21.26953125" style="172" bestFit="1" customWidth="1"/>
    <col min="12815" max="13062" width="9.1796875" style="172"/>
    <col min="13063" max="13063" width="3" style="172" bestFit="1" customWidth="1"/>
    <col min="13064" max="13064" width="88.26953125" style="172" bestFit="1" customWidth="1"/>
    <col min="13065" max="13069" width="20" style="172" bestFit="1" customWidth="1"/>
    <col min="13070" max="13070" width="21.26953125" style="172" bestFit="1" customWidth="1"/>
    <col min="13071" max="13318" width="9.1796875" style="172"/>
    <col min="13319" max="13319" width="3" style="172" bestFit="1" customWidth="1"/>
    <col min="13320" max="13320" width="88.26953125" style="172" bestFit="1" customWidth="1"/>
    <col min="13321" max="13325" width="20" style="172" bestFit="1" customWidth="1"/>
    <col min="13326" max="13326" width="21.26953125" style="172" bestFit="1" customWidth="1"/>
    <col min="13327" max="13574" width="9.1796875" style="172"/>
    <col min="13575" max="13575" width="3" style="172" bestFit="1" customWidth="1"/>
    <col min="13576" max="13576" width="88.26953125" style="172" bestFit="1" customWidth="1"/>
    <col min="13577" max="13581" width="20" style="172" bestFit="1" customWidth="1"/>
    <col min="13582" max="13582" width="21.26953125" style="172" bestFit="1" customWidth="1"/>
    <col min="13583" max="13830" width="9.1796875" style="172"/>
    <col min="13831" max="13831" width="3" style="172" bestFit="1" customWidth="1"/>
    <col min="13832" max="13832" width="88.26953125" style="172" bestFit="1" customWidth="1"/>
    <col min="13833" max="13837" width="20" style="172" bestFit="1" customWidth="1"/>
    <col min="13838" max="13838" width="21.26953125" style="172" bestFit="1" customWidth="1"/>
    <col min="13839" max="14086" width="9.1796875" style="172"/>
    <col min="14087" max="14087" width="3" style="172" bestFit="1" customWidth="1"/>
    <col min="14088" max="14088" width="88.26953125" style="172" bestFit="1" customWidth="1"/>
    <col min="14089" max="14093" width="20" style="172" bestFit="1" customWidth="1"/>
    <col min="14094" max="14094" width="21.26953125" style="172" bestFit="1" customWidth="1"/>
    <col min="14095" max="14342" width="9.1796875" style="172"/>
    <col min="14343" max="14343" width="3" style="172" bestFit="1" customWidth="1"/>
    <col min="14344" max="14344" width="88.26953125" style="172" bestFit="1" customWidth="1"/>
    <col min="14345" max="14349" width="20" style="172" bestFit="1" customWidth="1"/>
    <col min="14350" max="14350" width="21.26953125" style="172" bestFit="1" customWidth="1"/>
    <col min="14351" max="14598" width="9.1796875" style="172"/>
    <col min="14599" max="14599" width="3" style="172" bestFit="1" customWidth="1"/>
    <col min="14600" max="14600" width="88.26953125" style="172" bestFit="1" customWidth="1"/>
    <col min="14601" max="14605" width="20" style="172" bestFit="1" customWidth="1"/>
    <col min="14606" max="14606" width="21.26953125" style="172" bestFit="1" customWidth="1"/>
    <col min="14607" max="14854" width="9.1796875" style="172"/>
    <col min="14855" max="14855" width="3" style="172" bestFit="1" customWidth="1"/>
    <col min="14856" max="14856" width="88.26953125" style="172" bestFit="1" customWidth="1"/>
    <col min="14857" max="14861" width="20" style="172" bestFit="1" customWidth="1"/>
    <col min="14862" max="14862" width="21.26953125" style="172" bestFit="1" customWidth="1"/>
    <col min="14863" max="15110" width="9.1796875" style="172"/>
    <col min="15111" max="15111" width="3" style="172" bestFit="1" customWidth="1"/>
    <col min="15112" max="15112" width="88.26953125" style="172" bestFit="1" customWidth="1"/>
    <col min="15113" max="15117" width="20" style="172" bestFit="1" customWidth="1"/>
    <col min="15118" max="15118" width="21.26953125" style="172" bestFit="1" customWidth="1"/>
    <col min="15119" max="15366" width="9.1796875" style="172"/>
    <col min="15367" max="15367" width="3" style="172" bestFit="1" customWidth="1"/>
    <col min="15368" max="15368" width="88.26953125" style="172" bestFit="1" customWidth="1"/>
    <col min="15369" max="15373" width="20" style="172" bestFit="1" customWidth="1"/>
    <col min="15374" max="15374" width="21.26953125" style="172" bestFit="1" customWidth="1"/>
    <col min="15375" max="15622" width="9.1796875" style="172"/>
    <col min="15623" max="15623" width="3" style="172" bestFit="1" customWidth="1"/>
    <col min="15624" max="15624" width="88.26953125" style="172" bestFit="1" customWidth="1"/>
    <col min="15625" max="15629" width="20" style="172" bestFit="1" customWidth="1"/>
    <col min="15630" max="15630" width="21.26953125" style="172" bestFit="1" customWidth="1"/>
    <col min="15631" max="15878" width="9.1796875" style="172"/>
    <col min="15879" max="15879" width="3" style="172" bestFit="1" customWidth="1"/>
    <col min="15880" max="15880" width="88.26953125" style="172" bestFit="1" customWidth="1"/>
    <col min="15881" max="15885" width="20" style="172" bestFit="1" customWidth="1"/>
    <col min="15886" max="15886" width="21.26953125" style="172" bestFit="1" customWidth="1"/>
    <col min="15887" max="16134" width="9.1796875" style="172"/>
    <col min="16135" max="16135" width="3" style="172" bestFit="1" customWidth="1"/>
    <col min="16136" max="16136" width="88.26953125" style="172" bestFit="1" customWidth="1"/>
    <col min="16137" max="16141" width="20" style="172" bestFit="1" customWidth="1"/>
    <col min="16142" max="16142" width="21.26953125" style="172" bestFit="1" customWidth="1"/>
    <col min="16143" max="16384" width="9.1796875" style="172"/>
  </cols>
  <sheetData>
    <row r="1" spans="1:16" ht="12.5" x14ac:dyDescent="0.25">
      <c r="A1" s="314" t="s">
        <v>628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6" ht="16" thickBot="1" x14ac:dyDescent="0.3">
      <c r="A2" s="315" t="s">
        <v>263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6" ht="15.5" x14ac:dyDescent="0.25">
      <c r="A3" s="274"/>
      <c r="B3" s="317" t="s">
        <v>2</v>
      </c>
      <c r="C3" s="319" t="s">
        <v>101</v>
      </c>
      <c r="D3" s="321"/>
      <c r="E3" s="320"/>
      <c r="F3" s="319" t="s">
        <v>264</v>
      </c>
      <c r="G3" s="320"/>
      <c r="H3" s="319" t="s">
        <v>265</v>
      </c>
      <c r="I3" s="321"/>
      <c r="J3" s="319" t="s">
        <v>266</v>
      </c>
      <c r="K3" s="320"/>
      <c r="L3" s="319" t="s">
        <v>267</v>
      </c>
      <c r="M3" s="320"/>
      <c r="N3" s="269" t="s">
        <v>98</v>
      </c>
    </row>
    <row r="4" spans="1:16" ht="31" x14ac:dyDescent="0.25">
      <c r="A4" s="260" t="s">
        <v>268</v>
      </c>
      <c r="B4" s="318"/>
      <c r="C4" s="260" t="s">
        <v>95</v>
      </c>
      <c r="D4" s="173" t="s">
        <v>96</v>
      </c>
      <c r="E4" s="261" t="s">
        <v>677</v>
      </c>
      <c r="F4" s="260" t="s">
        <v>95</v>
      </c>
      <c r="G4" s="261" t="s">
        <v>96</v>
      </c>
      <c r="H4" s="260" t="s">
        <v>95</v>
      </c>
      <c r="I4" s="255" t="s">
        <v>96</v>
      </c>
      <c r="J4" s="260" t="s">
        <v>95</v>
      </c>
      <c r="K4" s="261" t="s">
        <v>96</v>
      </c>
      <c r="L4" s="260" t="s">
        <v>95</v>
      </c>
      <c r="M4" s="261" t="s">
        <v>96</v>
      </c>
      <c r="N4" s="270" t="s">
        <v>269</v>
      </c>
    </row>
    <row r="5" spans="1:16" x14ac:dyDescent="0.25">
      <c r="A5" s="275" t="s">
        <v>270</v>
      </c>
      <c r="B5" s="281" t="s">
        <v>271</v>
      </c>
      <c r="C5" s="262">
        <v>4680000</v>
      </c>
      <c r="D5" s="174">
        <v>8805240</v>
      </c>
      <c r="E5" s="263">
        <v>17127468</v>
      </c>
      <c r="F5" s="262">
        <v>154068100</v>
      </c>
      <c r="G5" s="263">
        <v>14414600</v>
      </c>
      <c r="H5" s="262">
        <v>223510181</v>
      </c>
      <c r="I5" s="282"/>
      <c r="J5" s="262">
        <v>16318780</v>
      </c>
      <c r="K5" s="263"/>
      <c r="L5" s="262">
        <v>28909101</v>
      </c>
      <c r="M5" s="263"/>
      <c r="N5" s="271">
        <f>SUM(C5:M5)</f>
        <v>467833470</v>
      </c>
    </row>
    <row r="6" spans="1:16" x14ac:dyDescent="0.25">
      <c r="A6" s="275" t="s">
        <v>272</v>
      </c>
      <c r="B6" s="276" t="s">
        <v>273</v>
      </c>
      <c r="C6" s="262">
        <v>200000</v>
      </c>
      <c r="D6" s="174">
        <v>0</v>
      </c>
      <c r="E6" s="263">
        <v>0</v>
      </c>
      <c r="F6" s="262">
        <v>0</v>
      </c>
      <c r="G6" s="263">
        <v>0</v>
      </c>
      <c r="H6" s="262">
        <v>3896415</v>
      </c>
      <c r="I6" s="282"/>
      <c r="J6" s="262">
        <v>300000</v>
      </c>
      <c r="K6" s="263"/>
      <c r="L6" s="262">
        <v>0</v>
      </c>
      <c r="M6" s="263"/>
      <c r="N6" s="271">
        <f t="shared" ref="N6:N69" si="0">SUM(C6:M6)</f>
        <v>4396415</v>
      </c>
    </row>
    <row r="7" spans="1:16" x14ac:dyDescent="0.25">
      <c r="A7" s="275" t="s">
        <v>274</v>
      </c>
      <c r="B7" s="276" t="s">
        <v>275</v>
      </c>
      <c r="C7" s="262">
        <v>0</v>
      </c>
      <c r="D7" s="174">
        <v>0</v>
      </c>
      <c r="E7" s="263">
        <v>0</v>
      </c>
      <c r="F7" s="262">
        <v>0</v>
      </c>
      <c r="G7" s="263">
        <v>0</v>
      </c>
      <c r="H7" s="262">
        <v>0</v>
      </c>
      <c r="I7" s="282"/>
      <c r="J7" s="262">
        <v>0</v>
      </c>
      <c r="K7" s="263"/>
      <c r="L7" s="262">
        <v>0</v>
      </c>
      <c r="M7" s="263"/>
      <c r="N7" s="271">
        <f t="shared" si="0"/>
        <v>0</v>
      </c>
    </row>
    <row r="8" spans="1:16" x14ac:dyDescent="0.25">
      <c r="A8" s="275" t="s">
        <v>276</v>
      </c>
      <c r="B8" s="276" t="s">
        <v>277</v>
      </c>
      <c r="C8" s="262">
        <v>0</v>
      </c>
      <c r="D8" s="174">
        <v>0</v>
      </c>
      <c r="E8" s="263">
        <v>2500000</v>
      </c>
      <c r="F8" s="262">
        <v>5000000</v>
      </c>
      <c r="G8" s="263">
        <v>500000</v>
      </c>
      <c r="H8" s="262">
        <v>6106532</v>
      </c>
      <c r="I8" s="282"/>
      <c r="J8" s="262">
        <v>450000</v>
      </c>
      <c r="K8" s="263"/>
      <c r="L8" s="262">
        <v>0</v>
      </c>
      <c r="M8" s="263"/>
      <c r="N8" s="271">
        <f t="shared" si="0"/>
        <v>14556532</v>
      </c>
    </row>
    <row r="9" spans="1:16" x14ac:dyDescent="0.25">
      <c r="A9" s="275" t="s">
        <v>278</v>
      </c>
      <c r="B9" s="276" t="s">
        <v>279</v>
      </c>
      <c r="C9" s="262">
        <v>0</v>
      </c>
      <c r="D9" s="174">
        <v>0</v>
      </c>
      <c r="E9" s="263">
        <v>0</v>
      </c>
      <c r="F9" s="262">
        <v>0</v>
      </c>
      <c r="G9" s="263">
        <v>0</v>
      </c>
      <c r="H9" s="262">
        <v>0</v>
      </c>
      <c r="I9" s="282"/>
      <c r="J9" s="262">
        <v>0</v>
      </c>
      <c r="K9" s="263"/>
      <c r="L9" s="262">
        <v>0</v>
      </c>
      <c r="M9" s="263"/>
      <c r="N9" s="271">
        <f t="shared" si="0"/>
        <v>0</v>
      </c>
    </row>
    <row r="10" spans="1:16" x14ac:dyDescent="0.25">
      <c r="A10" s="275" t="s">
        <v>280</v>
      </c>
      <c r="B10" s="276" t="s">
        <v>281</v>
      </c>
      <c r="C10" s="262">
        <v>0</v>
      </c>
      <c r="D10" s="174">
        <v>0</v>
      </c>
      <c r="E10" s="263">
        <v>1839789</v>
      </c>
      <c r="F10" s="262">
        <v>1808000</v>
      </c>
      <c r="G10" s="263">
        <v>0</v>
      </c>
      <c r="H10" s="262">
        <v>5130390</v>
      </c>
      <c r="I10" s="282"/>
      <c r="J10" s="262">
        <v>444000</v>
      </c>
      <c r="K10" s="263"/>
      <c r="L10" s="262">
        <v>0</v>
      </c>
      <c r="M10" s="263"/>
      <c r="N10" s="271">
        <f t="shared" si="0"/>
        <v>9222179</v>
      </c>
    </row>
    <row r="11" spans="1:16" x14ac:dyDescent="0.25">
      <c r="A11" s="275" t="s">
        <v>282</v>
      </c>
      <c r="B11" s="276" t="s">
        <v>283</v>
      </c>
      <c r="C11" s="262">
        <v>0</v>
      </c>
      <c r="D11" s="174">
        <v>1496036</v>
      </c>
      <c r="E11" s="263">
        <v>0</v>
      </c>
      <c r="F11" s="262">
        <v>6458382</v>
      </c>
      <c r="G11" s="263">
        <v>894055</v>
      </c>
      <c r="H11" s="262">
        <v>0</v>
      </c>
      <c r="I11" s="282">
        <v>8270018</v>
      </c>
      <c r="J11" s="262">
        <v>0</v>
      </c>
      <c r="K11" s="263">
        <v>670542</v>
      </c>
      <c r="L11" s="262">
        <v>0</v>
      </c>
      <c r="M11" s="263"/>
      <c r="N11" s="271">
        <f t="shared" si="0"/>
        <v>17789033</v>
      </c>
    </row>
    <row r="12" spans="1:16" x14ac:dyDescent="0.25">
      <c r="A12" s="275" t="s">
        <v>284</v>
      </c>
      <c r="B12" s="276" t="s">
        <v>285</v>
      </c>
      <c r="C12" s="262">
        <v>0</v>
      </c>
      <c r="D12" s="174">
        <v>0</v>
      </c>
      <c r="E12" s="263">
        <v>0</v>
      </c>
      <c r="F12" s="262">
        <v>1889725</v>
      </c>
      <c r="G12" s="263">
        <v>0</v>
      </c>
      <c r="H12" s="262">
        <v>0</v>
      </c>
      <c r="I12" s="282"/>
      <c r="J12" s="262">
        <v>0</v>
      </c>
      <c r="K12" s="263"/>
      <c r="L12" s="262">
        <v>440000</v>
      </c>
      <c r="M12" s="263"/>
      <c r="N12" s="271">
        <f t="shared" si="0"/>
        <v>2329725</v>
      </c>
    </row>
    <row r="13" spans="1:16" x14ac:dyDescent="0.25">
      <c r="A13" s="275" t="s">
        <v>286</v>
      </c>
      <c r="B13" s="276" t="s">
        <v>287</v>
      </c>
      <c r="C13" s="262">
        <v>341664</v>
      </c>
      <c r="D13" s="174">
        <v>0</v>
      </c>
      <c r="E13" s="263">
        <v>341664</v>
      </c>
      <c r="F13" s="262">
        <v>4200000</v>
      </c>
      <c r="G13" s="263">
        <v>1700000</v>
      </c>
      <c r="H13" s="262">
        <v>822044</v>
      </c>
      <c r="I13" s="282"/>
      <c r="J13" s="262">
        <v>65000</v>
      </c>
      <c r="K13" s="263"/>
      <c r="L13" s="262">
        <v>361800</v>
      </c>
      <c r="M13" s="263"/>
      <c r="N13" s="271">
        <f t="shared" si="0"/>
        <v>7832172</v>
      </c>
      <c r="P13" s="177"/>
    </row>
    <row r="14" spans="1:16" x14ac:dyDescent="0.25">
      <c r="A14" s="275" t="s">
        <v>244</v>
      </c>
      <c r="B14" s="276" t="s">
        <v>288</v>
      </c>
      <c r="C14" s="262">
        <v>0</v>
      </c>
      <c r="D14" s="174">
        <v>0</v>
      </c>
      <c r="E14" s="263">
        <v>0</v>
      </c>
      <c r="F14" s="262">
        <v>0</v>
      </c>
      <c r="G14" s="263">
        <v>0</v>
      </c>
      <c r="H14" s="262">
        <v>4032500</v>
      </c>
      <c r="I14" s="282"/>
      <c r="J14" s="262">
        <v>0</v>
      </c>
      <c r="K14" s="263"/>
      <c r="L14" s="262">
        <v>0</v>
      </c>
      <c r="M14" s="263"/>
      <c r="N14" s="271">
        <f t="shared" si="0"/>
        <v>4032500</v>
      </c>
    </row>
    <row r="15" spans="1:16" x14ac:dyDescent="0.25">
      <c r="A15" s="275" t="s">
        <v>289</v>
      </c>
      <c r="B15" s="276" t="s">
        <v>290</v>
      </c>
      <c r="C15" s="262">
        <v>0</v>
      </c>
      <c r="D15" s="174">
        <v>0</v>
      </c>
      <c r="E15" s="263">
        <v>0</v>
      </c>
      <c r="F15" s="262">
        <v>0</v>
      </c>
      <c r="G15" s="263">
        <v>1100000</v>
      </c>
      <c r="H15" s="262">
        <v>0</v>
      </c>
      <c r="I15" s="282"/>
      <c r="J15" s="262">
        <v>0</v>
      </c>
      <c r="K15" s="263"/>
      <c r="L15" s="262">
        <v>0</v>
      </c>
      <c r="M15" s="263"/>
      <c r="N15" s="271">
        <f t="shared" si="0"/>
        <v>1100000</v>
      </c>
    </row>
    <row r="16" spans="1:16" x14ac:dyDescent="0.25">
      <c r="A16" s="275" t="s">
        <v>291</v>
      </c>
      <c r="B16" s="276" t="s">
        <v>292</v>
      </c>
      <c r="C16" s="262">
        <v>0</v>
      </c>
      <c r="D16" s="174">
        <v>0</v>
      </c>
      <c r="E16" s="263">
        <v>0</v>
      </c>
      <c r="F16" s="262">
        <v>0</v>
      </c>
      <c r="G16" s="263">
        <v>480000</v>
      </c>
      <c r="H16" s="262">
        <v>0</v>
      </c>
      <c r="I16" s="282"/>
      <c r="J16" s="262">
        <v>0</v>
      </c>
      <c r="K16" s="263"/>
      <c r="L16" s="262">
        <v>0</v>
      </c>
      <c r="M16" s="263"/>
      <c r="N16" s="271">
        <f t="shared" si="0"/>
        <v>480000</v>
      </c>
    </row>
    <row r="17" spans="1:16" x14ac:dyDescent="0.25">
      <c r="A17" s="275" t="s">
        <v>293</v>
      </c>
      <c r="B17" s="276" t="s">
        <v>294</v>
      </c>
      <c r="C17" s="262">
        <v>0</v>
      </c>
      <c r="D17" s="174">
        <v>0</v>
      </c>
      <c r="E17" s="263">
        <v>0</v>
      </c>
      <c r="F17" s="262">
        <v>0</v>
      </c>
      <c r="G17" s="263">
        <v>0</v>
      </c>
      <c r="H17" s="262">
        <v>0</v>
      </c>
      <c r="I17" s="282"/>
      <c r="J17" s="262">
        <v>0</v>
      </c>
      <c r="K17" s="263"/>
      <c r="L17" s="262">
        <v>0</v>
      </c>
      <c r="M17" s="263"/>
      <c r="N17" s="271">
        <f t="shared" si="0"/>
        <v>0</v>
      </c>
    </row>
    <row r="18" spans="1:16" x14ac:dyDescent="0.25">
      <c r="A18" s="277" t="s">
        <v>295</v>
      </c>
      <c r="B18" s="278" t="s">
        <v>296</v>
      </c>
      <c r="C18" s="264">
        <f>SUM(C5:C17)</f>
        <v>5221664</v>
      </c>
      <c r="D18" s="175">
        <f t="shared" ref="D18:E18" si="1">SUM(D5:D17)</f>
        <v>10301276</v>
      </c>
      <c r="E18" s="265">
        <f t="shared" si="1"/>
        <v>21808921</v>
      </c>
      <c r="F18" s="264">
        <f>SUM(F5:F17)</f>
        <v>173424207</v>
      </c>
      <c r="G18" s="265">
        <f t="shared" ref="G18:M18" si="2">SUM(G5:G17)</f>
        <v>19088655</v>
      </c>
      <c r="H18" s="264">
        <f t="shared" si="2"/>
        <v>243498062</v>
      </c>
      <c r="I18" s="283">
        <f t="shared" si="2"/>
        <v>8270018</v>
      </c>
      <c r="J18" s="264">
        <f t="shared" si="2"/>
        <v>17577780</v>
      </c>
      <c r="K18" s="265">
        <f t="shared" si="2"/>
        <v>670542</v>
      </c>
      <c r="L18" s="264">
        <f t="shared" si="2"/>
        <v>29710901</v>
      </c>
      <c r="M18" s="265">
        <f t="shared" si="2"/>
        <v>0</v>
      </c>
      <c r="N18" s="271">
        <f t="shared" si="0"/>
        <v>529572026</v>
      </c>
    </row>
    <row r="19" spans="1:16" x14ac:dyDescent="0.25">
      <c r="A19" s="275" t="s">
        <v>297</v>
      </c>
      <c r="B19" s="276" t="s">
        <v>298</v>
      </c>
      <c r="C19" s="262">
        <f>14544000+23731200+4203914</f>
        <v>42479114</v>
      </c>
      <c r="D19" s="174">
        <v>0</v>
      </c>
      <c r="E19" s="263"/>
      <c r="F19" s="262">
        <v>0</v>
      </c>
      <c r="G19" s="263">
        <v>0</v>
      </c>
      <c r="H19" s="262">
        <v>0</v>
      </c>
      <c r="I19" s="282"/>
      <c r="J19" s="262">
        <v>0</v>
      </c>
      <c r="K19" s="263"/>
      <c r="L19" s="262">
        <v>0</v>
      </c>
      <c r="M19" s="263"/>
      <c r="N19" s="271">
        <f t="shared" si="0"/>
        <v>42479114</v>
      </c>
    </row>
    <row r="20" spans="1:16" x14ac:dyDescent="0.25">
      <c r="A20" s="275" t="s">
        <v>299</v>
      </c>
      <c r="B20" s="276" t="s">
        <v>300</v>
      </c>
      <c r="C20" s="262">
        <v>4038496</v>
      </c>
      <c r="D20" s="174">
        <f>1500000+950782+737704+661977+4393305</f>
        <v>8243768</v>
      </c>
      <c r="E20" s="263"/>
      <c r="F20" s="262">
        <v>0</v>
      </c>
      <c r="G20" s="263">
        <v>50000</v>
      </c>
      <c r="H20" s="262">
        <v>2482977</v>
      </c>
      <c r="I20" s="282"/>
      <c r="J20" s="262">
        <v>483000</v>
      </c>
      <c r="K20" s="263"/>
      <c r="L20" s="262">
        <v>0</v>
      </c>
      <c r="M20" s="263"/>
      <c r="N20" s="271">
        <f t="shared" si="0"/>
        <v>15298241</v>
      </c>
    </row>
    <row r="21" spans="1:16" x14ac:dyDescent="0.25">
      <c r="A21" s="275" t="s">
        <v>301</v>
      </c>
      <c r="B21" s="276" t="s">
        <v>302</v>
      </c>
      <c r="C21" s="262">
        <v>0</v>
      </c>
      <c r="D21" s="174">
        <v>271528</v>
      </c>
      <c r="E21" s="263"/>
      <c r="F21" s="262">
        <v>0</v>
      </c>
      <c r="G21" s="263">
        <f>800000+250000</f>
        <v>1050000</v>
      </c>
      <c r="H21" s="262">
        <v>0</v>
      </c>
      <c r="I21" s="282"/>
      <c r="J21" s="262"/>
      <c r="K21" s="263"/>
      <c r="L21" s="262">
        <v>0</v>
      </c>
      <c r="M21" s="263">
        <v>100000</v>
      </c>
      <c r="N21" s="271">
        <f t="shared" si="0"/>
        <v>1421528</v>
      </c>
    </row>
    <row r="22" spans="1:16" x14ac:dyDescent="0.25">
      <c r="A22" s="277" t="s">
        <v>303</v>
      </c>
      <c r="B22" s="278" t="s">
        <v>304</v>
      </c>
      <c r="C22" s="264">
        <f>SUM(C19:C21)</f>
        <v>46517610</v>
      </c>
      <c r="D22" s="175">
        <f t="shared" ref="D22:M22" si="3">SUM(D19:D21)</f>
        <v>8515296</v>
      </c>
      <c r="E22" s="265">
        <f t="shared" si="3"/>
        <v>0</v>
      </c>
      <c r="F22" s="264">
        <f t="shared" si="3"/>
        <v>0</v>
      </c>
      <c r="G22" s="265">
        <f t="shared" si="3"/>
        <v>1100000</v>
      </c>
      <c r="H22" s="264">
        <f t="shared" si="3"/>
        <v>2482977</v>
      </c>
      <c r="I22" s="283">
        <f t="shared" si="3"/>
        <v>0</v>
      </c>
      <c r="J22" s="264">
        <f t="shared" si="3"/>
        <v>483000</v>
      </c>
      <c r="K22" s="265">
        <f t="shared" si="3"/>
        <v>0</v>
      </c>
      <c r="L22" s="264">
        <f t="shared" si="3"/>
        <v>0</v>
      </c>
      <c r="M22" s="265">
        <f t="shared" si="3"/>
        <v>100000</v>
      </c>
      <c r="N22" s="271">
        <f t="shared" si="0"/>
        <v>59198883</v>
      </c>
    </row>
    <row r="23" spans="1:16" x14ac:dyDescent="0.25">
      <c r="A23" s="277" t="s">
        <v>305</v>
      </c>
      <c r="B23" s="278" t="s">
        <v>306</v>
      </c>
      <c r="C23" s="264">
        <f>C18+C22</f>
        <v>51739274</v>
      </c>
      <c r="D23" s="175">
        <f t="shared" ref="D23:M23" si="4">D18+D22</f>
        <v>18816572</v>
      </c>
      <c r="E23" s="265">
        <f t="shared" si="4"/>
        <v>21808921</v>
      </c>
      <c r="F23" s="264">
        <f t="shared" si="4"/>
        <v>173424207</v>
      </c>
      <c r="G23" s="265">
        <f t="shared" si="4"/>
        <v>20188655</v>
      </c>
      <c r="H23" s="264">
        <f t="shared" si="4"/>
        <v>245981039</v>
      </c>
      <c r="I23" s="283">
        <f t="shared" si="4"/>
        <v>8270018</v>
      </c>
      <c r="J23" s="264">
        <f t="shared" si="4"/>
        <v>18060780</v>
      </c>
      <c r="K23" s="265">
        <f t="shared" si="4"/>
        <v>670542</v>
      </c>
      <c r="L23" s="264">
        <f t="shared" si="4"/>
        <v>29710901</v>
      </c>
      <c r="M23" s="265">
        <f t="shared" si="4"/>
        <v>100000</v>
      </c>
      <c r="N23" s="271">
        <f t="shared" si="0"/>
        <v>588770909</v>
      </c>
    </row>
    <row r="24" spans="1:16" x14ac:dyDescent="0.25">
      <c r="A24" s="277" t="s">
        <v>307</v>
      </c>
      <c r="B24" s="278" t="s">
        <v>308</v>
      </c>
      <c r="C24" s="264">
        <f>10116183</f>
        <v>10116183</v>
      </c>
      <c r="D24" s="175">
        <f>D23*0.195</f>
        <v>3669231.54</v>
      </c>
      <c r="E24" s="265">
        <f>E23*0.195</f>
        <v>4252739.5949999997</v>
      </c>
      <c r="F24" s="264">
        <v>35571793</v>
      </c>
      <c r="G24" s="265">
        <f>3331922+305945+297600+9750+48750</f>
        <v>3993967</v>
      </c>
      <c r="H24" s="264">
        <v>50080658</v>
      </c>
      <c r="I24" s="283">
        <f>11100000-I23</f>
        <v>2829982</v>
      </c>
      <c r="J24" s="264">
        <v>3548310</v>
      </c>
      <c r="K24" s="265">
        <f>900000-K23</f>
        <v>229458</v>
      </c>
      <c r="L24" s="264">
        <v>5883856</v>
      </c>
      <c r="M24" s="265">
        <v>40710</v>
      </c>
      <c r="N24" s="271">
        <f t="shared" si="0"/>
        <v>120216888.13499999</v>
      </c>
      <c r="P24" s="177"/>
    </row>
    <row r="25" spans="1:16" x14ac:dyDescent="0.25">
      <c r="A25" s="275" t="s">
        <v>309</v>
      </c>
      <c r="B25" s="276" t="s">
        <v>310</v>
      </c>
      <c r="C25" s="262">
        <v>200000</v>
      </c>
      <c r="D25" s="174">
        <v>0</v>
      </c>
      <c r="E25" s="263">
        <v>300000</v>
      </c>
      <c r="F25" s="262">
        <v>500000</v>
      </c>
      <c r="G25" s="263"/>
      <c r="H25" s="262">
        <v>2867717</v>
      </c>
      <c r="I25" s="282"/>
      <c r="J25" s="262">
        <v>2830000</v>
      </c>
      <c r="K25" s="263"/>
      <c r="L25" s="262">
        <v>750000</v>
      </c>
      <c r="M25" s="263"/>
      <c r="N25" s="271">
        <f t="shared" si="0"/>
        <v>7447717</v>
      </c>
    </row>
    <row r="26" spans="1:16" x14ac:dyDescent="0.25">
      <c r="A26" s="275" t="s">
        <v>311</v>
      </c>
      <c r="B26" s="276" t="s">
        <v>312</v>
      </c>
      <c r="C26" s="262">
        <v>10000000</v>
      </c>
      <c r="D26" s="174">
        <v>2000000</v>
      </c>
      <c r="E26" s="263">
        <v>200000</v>
      </c>
      <c r="F26" s="262">
        <v>3800000</v>
      </c>
      <c r="G26" s="263">
        <v>1502362</v>
      </c>
      <c r="H26" s="262">
        <v>1968504</v>
      </c>
      <c r="I26" s="282"/>
      <c r="J26" s="262">
        <v>890000</v>
      </c>
      <c r="K26" s="263"/>
      <c r="L26" s="262">
        <v>260000</v>
      </c>
      <c r="M26" s="263"/>
      <c r="N26" s="271">
        <f t="shared" si="0"/>
        <v>20620866</v>
      </c>
    </row>
    <row r="27" spans="1:16" x14ac:dyDescent="0.25">
      <c r="A27" s="275" t="s">
        <v>313</v>
      </c>
      <c r="B27" s="276" t="s">
        <v>314</v>
      </c>
      <c r="C27" s="262">
        <v>0</v>
      </c>
      <c r="D27" s="174">
        <v>0</v>
      </c>
      <c r="E27" s="263">
        <v>0</v>
      </c>
      <c r="F27" s="262">
        <v>0</v>
      </c>
      <c r="G27" s="263"/>
      <c r="H27" s="262">
        <v>0</v>
      </c>
      <c r="I27" s="282"/>
      <c r="J27" s="262">
        <v>0</v>
      </c>
      <c r="K27" s="263"/>
      <c r="L27" s="262">
        <v>0</v>
      </c>
      <c r="M27" s="263"/>
      <c r="N27" s="271">
        <f t="shared" si="0"/>
        <v>0</v>
      </c>
    </row>
    <row r="28" spans="1:16" x14ac:dyDescent="0.25">
      <c r="A28" s="277" t="s">
        <v>315</v>
      </c>
      <c r="B28" s="278" t="s">
        <v>316</v>
      </c>
      <c r="C28" s="264">
        <f>SUM(C25:C27)</f>
        <v>10200000</v>
      </c>
      <c r="D28" s="175">
        <f t="shared" ref="D28:M28" si="5">SUM(D25:D27)</f>
        <v>2000000</v>
      </c>
      <c r="E28" s="265">
        <f t="shared" si="5"/>
        <v>500000</v>
      </c>
      <c r="F28" s="264">
        <f t="shared" si="5"/>
        <v>4300000</v>
      </c>
      <c r="G28" s="265">
        <f t="shared" si="5"/>
        <v>1502362</v>
      </c>
      <c r="H28" s="264">
        <f t="shared" si="5"/>
        <v>4836221</v>
      </c>
      <c r="I28" s="283">
        <f t="shared" si="5"/>
        <v>0</v>
      </c>
      <c r="J28" s="264">
        <f t="shared" si="5"/>
        <v>3720000</v>
      </c>
      <c r="K28" s="265">
        <f t="shared" si="5"/>
        <v>0</v>
      </c>
      <c r="L28" s="264">
        <f t="shared" si="5"/>
        <v>1010000</v>
      </c>
      <c r="M28" s="265">
        <f t="shared" si="5"/>
        <v>0</v>
      </c>
      <c r="N28" s="271">
        <f t="shared" si="0"/>
        <v>28068583</v>
      </c>
    </row>
    <row r="29" spans="1:16" x14ac:dyDescent="0.25">
      <c r="A29" s="275" t="s">
        <v>317</v>
      </c>
      <c r="B29" s="276" t="s">
        <v>318</v>
      </c>
      <c r="C29" s="262">
        <v>21000000</v>
      </c>
      <c r="D29" s="174">
        <v>2000000</v>
      </c>
      <c r="E29" s="263">
        <v>800000</v>
      </c>
      <c r="F29" s="262">
        <v>4000000</v>
      </c>
      <c r="G29" s="263">
        <v>0</v>
      </c>
      <c r="H29" s="262">
        <v>236220</v>
      </c>
      <c r="I29" s="282"/>
      <c r="J29" s="262">
        <v>200000</v>
      </c>
      <c r="K29" s="263"/>
      <c r="L29" s="262">
        <v>460000</v>
      </c>
      <c r="M29" s="263"/>
      <c r="N29" s="271">
        <f t="shared" si="0"/>
        <v>28696220</v>
      </c>
    </row>
    <row r="30" spans="1:16" x14ac:dyDescent="0.25">
      <c r="A30" s="275" t="s">
        <v>319</v>
      </c>
      <c r="B30" s="276" t="s">
        <v>320</v>
      </c>
      <c r="C30" s="262">
        <v>10000000</v>
      </c>
      <c r="D30" s="174">
        <v>2200000</v>
      </c>
      <c r="E30" s="263">
        <v>0</v>
      </c>
      <c r="F30" s="262">
        <v>2800000</v>
      </c>
      <c r="G30" s="263">
        <v>0</v>
      </c>
      <c r="H30" s="262">
        <v>144094</v>
      </c>
      <c r="I30" s="282"/>
      <c r="J30" s="262">
        <v>300000</v>
      </c>
      <c r="K30" s="263"/>
      <c r="L30" s="262">
        <v>120000</v>
      </c>
      <c r="M30" s="263"/>
      <c r="N30" s="271">
        <f t="shared" si="0"/>
        <v>15564094</v>
      </c>
    </row>
    <row r="31" spans="1:16" x14ac:dyDescent="0.25">
      <c r="A31" s="277" t="s">
        <v>321</v>
      </c>
      <c r="B31" s="278" t="s">
        <v>322</v>
      </c>
      <c r="C31" s="264">
        <f>SUM(C29:C30)</f>
        <v>31000000</v>
      </c>
      <c r="D31" s="175">
        <f t="shared" ref="D31:M31" si="6">SUM(D29:D30)</f>
        <v>4200000</v>
      </c>
      <c r="E31" s="265">
        <f t="shared" si="6"/>
        <v>800000</v>
      </c>
      <c r="F31" s="264">
        <f t="shared" si="6"/>
        <v>6800000</v>
      </c>
      <c r="G31" s="265">
        <f t="shared" si="6"/>
        <v>0</v>
      </c>
      <c r="H31" s="264">
        <f t="shared" si="6"/>
        <v>380314</v>
      </c>
      <c r="I31" s="283">
        <f t="shared" si="6"/>
        <v>0</v>
      </c>
      <c r="J31" s="264">
        <f t="shared" si="6"/>
        <v>500000</v>
      </c>
      <c r="K31" s="265">
        <f t="shared" si="6"/>
        <v>0</v>
      </c>
      <c r="L31" s="264">
        <f t="shared" si="6"/>
        <v>580000</v>
      </c>
      <c r="M31" s="265">
        <f t="shared" si="6"/>
        <v>0</v>
      </c>
      <c r="N31" s="271">
        <f t="shared" si="0"/>
        <v>44260314</v>
      </c>
    </row>
    <row r="32" spans="1:16" x14ac:dyDescent="0.25">
      <c r="A32" s="275" t="s">
        <v>323</v>
      </c>
      <c r="B32" s="276" t="s">
        <v>324</v>
      </c>
      <c r="C32" s="262">
        <v>70000000</v>
      </c>
      <c r="D32" s="174">
        <v>0</v>
      </c>
      <c r="E32" s="263"/>
      <c r="F32" s="262">
        <v>4000000</v>
      </c>
      <c r="G32" s="263">
        <v>0</v>
      </c>
      <c r="H32" s="262">
        <v>8661427</v>
      </c>
      <c r="I32" s="282"/>
      <c r="J32" s="262">
        <v>2000000</v>
      </c>
      <c r="K32" s="263"/>
      <c r="L32" s="262">
        <v>950000</v>
      </c>
      <c r="M32" s="263"/>
      <c r="N32" s="271">
        <f t="shared" si="0"/>
        <v>85611427</v>
      </c>
    </row>
    <row r="33" spans="1:16" x14ac:dyDescent="0.25">
      <c r="A33" s="275" t="s">
        <v>325</v>
      </c>
      <c r="B33" s="276" t="s">
        <v>326</v>
      </c>
      <c r="C33" s="262">
        <v>126000000</v>
      </c>
      <c r="D33" s="174">
        <v>1000000</v>
      </c>
      <c r="E33" s="263"/>
      <c r="F33" s="262">
        <v>0</v>
      </c>
      <c r="G33" s="263">
        <v>0</v>
      </c>
      <c r="H33" s="262">
        <v>0</v>
      </c>
      <c r="I33" s="282"/>
      <c r="J33" s="262">
        <v>0</v>
      </c>
      <c r="K33" s="263"/>
      <c r="L33" s="262">
        <v>0</v>
      </c>
      <c r="M33" s="263"/>
      <c r="N33" s="271">
        <f t="shared" si="0"/>
        <v>127000000</v>
      </c>
    </row>
    <row r="34" spans="1:16" x14ac:dyDescent="0.25">
      <c r="A34" s="275" t="s">
        <v>327</v>
      </c>
      <c r="B34" s="276" t="s">
        <v>328</v>
      </c>
      <c r="C34" s="262">
        <v>26400000</v>
      </c>
      <c r="D34" s="174">
        <v>300000</v>
      </c>
      <c r="E34" s="263"/>
      <c r="F34" s="262">
        <v>4000000</v>
      </c>
      <c r="G34" s="263">
        <v>30000</v>
      </c>
      <c r="H34" s="262">
        <v>0</v>
      </c>
      <c r="I34" s="282"/>
      <c r="J34" s="262">
        <v>400000</v>
      </c>
      <c r="K34" s="263"/>
      <c r="L34" s="262">
        <v>0</v>
      </c>
      <c r="M34" s="263"/>
      <c r="N34" s="271">
        <f t="shared" si="0"/>
        <v>31130000</v>
      </c>
    </row>
    <row r="35" spans="1:16" x14ac:dyDescent="0.25">
      <c r="A35" s="275" t="s">
        <v>329</v>
      </c>
      <c r="B35" s="276" t="s">
        <v>330</v>
      </c>
      <c r="C35" s="262">
        <v>11500000</v>
      </c>
      <c r="D35" s="174">
        <v>5000000</v>
      </c>
      <c r="E35" s="263"/>
      <c r="F35" s="262">
        <v>500000</v>
      </c>
      <c r="G35" s="263">
        <v>1661417</v>
      </c>
      <c r="H35" s="262">
        <v>1574803</v>
      </c>
      <c r="I35" s="282"/>
      <c r="J35" s="262">
        <v>200000</v>
      </c>
      <c r="K35" s="263"/>
      <c r="L35" s="262">
        <v>300000</v>
      </c>
      <c r="M35" s="263"/>
      <c r="N35" s="271">
        <f t="shared" si="0"/>
        <v>20736220</v>
      </c>
    </row>
    <row r="36" spans="1:16" x14ac:dyDescent="0.25">
      <c r="A36" s="275" t="s">
        <v>331</v>
      </c>
      <c r="B36" s="276" t="s">
        <v>332</v>
      </c>
      <c r="C36" s="262">
        <v>1500000</v>
      </c>
      <c r="D36" s="174">
        <v>0</v>
      </c>
      <c r="E36" s="263"/>
      <c r="F36" s="262">
        <v>0</v>
      </c>
      <c r="G36" s="263"/>
      <c r="H36" s="262">
        <v>0</v>
      </c>
      <c r="I36" s="282"/>
      <c r="J36" s="262">
        <v>0</v>
      </c>
      <c r="K36" s="263"/>
      <c r="L36" s="262">
        <v>0</v>
      </c>
      <c r="M36" s="263"/>
      <c r="N36" s="271">
        <f t="shared" si="0"/>
        <v>1500000</v>
      </c>
    </row>
    <row r="37" spans="1:16" x14ac:dyDescent="0.25">
      <c r="A37" s="275" t="s">
        <v>333</v>
      </c>
      <c r="B37" s="276" t="s">
        <v>334</v>
      </c>
      <c r="C37" s="262">
        <v>35000000</v>
      </c>
      <c r="D37" s="174">
        <f>25000000+39576874+200000+21690551+1181102+6517323+6402559-1351114</f>
        <v>99217295</v>
      </c>
      <c r="E37" s="263"/>
      <c r="F37" s="262">
        <v>4000000</v>
      </c>
      <c r="G37" s="263">
        <v>50000</v>
      </c>
      <c r="H37" s="262">
        <v>7000000</v>
      </c>
      <c r="I37" s="282"/>
      <c r="J37" s="262">
        <v>0</v>
      </c>
      <c r="K37" s="263"/>
      <c r="L37" s="262">
        <v>1460000</v>
      </c>
      <c r="M37" s="263"/>
      <c r="N37" s="271">
        <f t="shared" si="0"/>
        <v>146727295</v>
      </c>
    </row>
    <row r="38" spans="1:16" x14ac:dyDescent="0.25">
      <c r="A38" s="275" t="s">
        <v>335</v>
      </c>
      <c r="B38" s="276" t="s">
        <v>336</v>
      </c>
      <c r="C38" s="262">
        <v>32000000</v>
      </c>
      <c r="D38" s="174">
        <f>28000000+23447069</f>
        <v>51447069</v>
      </c>
      <c r="E38" s="263"/>
      <c r="F38" s="262">
        <v>9000000</v>
      </c>
      <c r="G38" s="263">
        <v>300000</v>
      </c>
      <c r="H38" s="262">
        <v>173228</v>
      </c>
      <c r="I38" s="282"/>
      <c r="J38" s="262">
        <v>130000</v>
      </c>
      <c r="K38" s="263"/>
      <c r="L38" s="262">
        <v>2460000</v>
      </c>
      <c r="M38" s="263"/>
      <c r="N38" s="271">
        <f t="shared" si="0"/>
        <v>95510297</v>
      </c>
    </row>
    <row r="39" spans="1:16" x14ac:dyDescent="0.25">
      <c r="A39" s="277" t="s">
        <v>337</v>
      </c>
      <c r="B39" s="278" t="s">
        <v>338</v>
      </c>
      <c r="C39" s="264">
        <f>SUM(C32:C38)</f>
        <v>302400000</v>
      </c>
      <c r="D39" s="175">
        <f t="shared" ref="D39:I39" si="7">SUM(D32:D38)</f>
        <v>156964364</v>
      </c>
      <c r="E39" s="265">
        <f t="shared" si="7"/>
        <v>0</v>
      </c>
      <c r="F39" s="264">
        <f t="shared" si="7"/>
        <v>21500000</v>
      </c>
      <c r="G39" s="265">
        <f t="shared" si="7"/>
        <v>2041417</v>
      </c>
      <c r="H39" s="264">
        <f t="shared" si="7"/>
        <v>17409458</v>
      </c>
      <c r="I39" s="283">
        <f t="shared" si="7"/>
        <v>0</v>
      </c>
      <c r="J39" s="264">
        <f>SUM(J32:J38)</f>
        <v>2730000</v>
      </c>
      <c r="K39" s="265"/>
      <c r="L39" s="264">
        <f>SUM(L32:L38)</f>
        <v>5170000</v>
      </c>
      <c r="M39" s="265"/>
      <c r="N39" s="271">
        <f t="shared" si="0"/>
        <v>508215239</v>
      </c>
    </row>
    <row r="40" spans="1:16" x14ac:dyDescent="0.25">
      <c r="A40" s="275" t="s">
        <v>339</v>
      </c>
      <c r="B40" s="276" t="s">
        <v>340</v>
      </c>
      <c r="C40" s="262">
        <v>300000</v>
      </c>
      <c r="D40" s="174">
        <v>0</v>
      </c>
      <c r="E40" s="263"/>
      <c r="F40" s="262">
        <v>215056</v>
      </c>
      <c r="G40" s="263">
        <v>0</v>
      </c>
      <c r="H40" s="262">
        <v>200000</v>
      </c>
      <c r="I40" s="282"/>
      <c r="J40" s="262">
        <v>0</v>
      </c>
      <c r="K40" s="263">
        <v>130000</v>
      </c>
      <c r="L40" s="262">
        <v>0</v>
      </c>
      <c r="M40" s="263"/>
      <c r="N40" s="271">
        <f t="shared" si="0"/>
        <v>845056</v>
      </c>
    </row>
    <row r="41" spans="1:16" x14ac:dyDescent="0.25">
      <c r="A41" s="275" t="s">
        <v>341</v>
      </c>
      <c r="B41" s="276" t="s">
        <v>342</v>
      </c>
      <c r="C41" s="262">
        <v>0</v>
      </c>
      <c r="D41" s="174">
        <v>3000000</v>
      </c>
      <c r="E41" s="263"/>
      <c r="F41" s="262">
        <v>0</v>
      </c>
      <c r="G41" s="263"/>
      <c r="H41" s="262"/>
      <c r="I41" s="282"/>
      <c r="J41" s="262">
        <v>0</v>
      </c>
      <c r="K41" s="263"/>
      <c r="L41" s="262">
        <v>0</v>
      </c>
      <c r="M41" s="263"/>
      <c r="N41" s="271">
        <f t="shared" si="0"/>
        <v>3000000</v>
      </c>
      <c r="O41" s="177"/>
    </row>
    <row r="42" spans="1:16" x14ac:dyDescent="0.25">
      <c r="A42" s="277" t="s">
        <v>343</v>
      </c>
      <c r="B42" s="278" t="s">
        <v>344</v>
      </c>
      <c r="C42" s="264">
        <f>SUM(C40:C41)</f>
        <v>300000</v>
      </c>
      <c r="D42" s="175">
        <f t="shared" ref="D42:M42" si="8">SUM(D40:D41)</f>
        <v>3000000</v>
      </c>
      <c r="E42" s="265">
        <f t="shared" si="8"/>
        <v>0</v>
      </c>
      <c r="F42" s="264">
        <f t="shared" si="8"/>
        <v>215056</v>
      </c>
      <c r="G42" s="265">
        <f t="shared" si="8"/>
        <v>0</v>
      </c>
      <c r="H42" s="264">
        <f t="shared" si="8"/>
        <v>200000</v>
      </c>
      <c r="I42" s="283">
        <f t="shared" si="8"/>
        <v>0</v>
      </c>
      <c r="J42" s="264">
        <f t="shared" si="8"/>
        <v>0</v>
      </c>
      <c r="K42" s="265">
        <f t="shared" si="8"/>
        <v>130000</v>
      </c>
      <c r="L42" s="264">
        <f t="shared" si="8"/>
        <v>0</v>
      </c>
      <c r="M42" s="265">
        <f t="shared" si="8"/>
        <v>0</v>
      </c>
      <c r="N42" s="271">
        <f t="shared" si="0"/>
        <v>3845056</v>
      </c>
    </row>
    <row r="43" spans="1:16" x14ac:dyDescent="0.25">
      <c r="A43" s="275" t="s">
        <v>345</v>
      </c>
      <c r="B43" s="276" t="s">
        <v>346</v>
      </c>
      <c r="C43" s="262">
        <f>(C42+C39+C31+C28)*0.27+88529</f>
        <v>92941529</v>
      </c>
      <c r="D43" s="174">
        <f>(D42+D39+D31+D28)*0.27</f>
        <v>44864378.280000001</v>
      </c>
      <c r="E43" s="263"/>
      <c r="F43" s="262">
        <f>SUM(F28,F31,F39)*0.27</f>
        <v>8802000</v>
      </c>
      <c r="G43" s="263">
        <f>(G28+G31+G39)*0.27+170079</f>
        <v>1126899.33</v>
      </c>
      <c r="H43" s="262">
        <v>4219018</v>
      </c>
      <c r="I43" s="282"/>
      <c r="J43" s="262">
        <v>2300000</v>
      </c>
      <c r="K43" s="263"/>
      <c r="L43" s="262">
        <v>1485000</v>
      </c>
      <c r="M43" s="263">
        <v>21260</v>
      </c>
      <c r="N43" s="271">
        <f t="shared" si="0"/>
        <v>155760084.61000001</v>
      </c>
      <c r="P43" s="183"/>
    </row>
    <row r="44" spans="1:16" x14ac:dyDescent="0.25">
      <c r="A44" s="275" t="s">
        <v>347</v>
      </c>
      <c r="B44" s="276" t="s">
        <v>348</v>
      </c>
      <c r="C44" s="262">
        <v>110000000</v>
      </c>
      <c r="D44" s="174">
        <v>0</v>
      </c>
      <c r="E44" s="263"/>
      <c r="F44" s="262">
        <v>0</v>
      </c>
      <c r="G44" s="263"/>
      <c r="H44" s="262">
        <v>0</v>
      </c>
      <c r="I44" s="282"/>
      <c r="J44" s="262">
        <v>0</v>
      </c>
      <c r="K44" s="263"/>
      <c r="L44" s="262">
        <v>0</v>
      </c>
      <c r="M44" s="263"/>
      <c r="N44" s="271">
        <f t="shared" si="0"/>
        <v>110000000</v>
      </c>
    </row>
    <row r="45" spans="1:16" x14ac:dyDescent="0.25">
      <c r="A45" s="275" t="s">
        <v>349</v>
      </c>
      <c r="B45" s="276" t="s">
        <v>350</v>
      </c>
      <c r="C45" s="262">
        <v>0</v>
      </c>
      <c r="D45" s="174">
        <v>0</v>
      </c>
      <c r="E45" s="263"/>
      <c r="F45" s="262">
        <v>0</v>
      </c>
      <c r="G45" s="263"/>
      <c r="H45" s="262">
        <v>0</v>
      </c>
      <c r="I45" s="282"/>
      <c r="J45" s="262">
        <v>0</v>
      </c>
      <c r="K45" s="263"/>
      <c r="L45" s="262">
        <v>0</v>
      </c>
      <c r="M45" s="263"/>
      <c r="N45" s="271">
        <f t="shared" si="0"/>
        <v>0</v>
      </c>
    </row>
    <row r="46" spans="1:16" x14ac:dyDescent="0.25">
      <c r="A46" s="275" t="s">
        <v>351</v>
      </c>
      <c r="B46" s="276" t="s">
        <v>352</v>
      </c>
      <c r="C46" s="262">
        <v>800000</v>
      </c>
      <c r="D46" s="174">
        <v>0</v>
      </c>
      <c r="E46" s="263"/>
      <c r="F46" s="262">
        <v>0</v>
      </c>
      <c r="G46" s="263"/>
      <c r="H46" s="262">
        <v>0</v>
      </c>
      <c r="I46" s="282"/>
      <c r="J46" s="262">
        <v>0</v>
      </c>
      <c r="K46" s="263"/>
      <c r="L46" s="262">
        <v>0</v>
      </c>
      <c r="M46" s="263"/>
      <c r="N46" s="271">
        <f t="shared" si="0"/>
        <v>800000</v>
      </c>
      <c r="P46" s="177"/>
    </row>
    <row r="47" spans="1:16" x14ac:dyDescent="0.25">
      <c r="A47" s="275" t="s">
        <v>353</v>
      </c>
      <c r="B47" s="276" t="s">
        <v>354</v>
      </c>
      <c r="C47" s="262">
        <f>28000000+327886+350388</f>
        <v>28678274</v>
      </c>
      <c r="D47" s="174">
        <v>2000000</v>
      </c>
      <c r="E47" s="263"/>
      <c r="F47" s="262">
        <v>1000000</v>
      </c>
      <c r="G47" s="263">
        <v>360000</v>
      </c>
      <c r="H47" s="262">
        <v>4969508</v>
      </c>
      <c r="I47" s="282"/>
      <c r="J47" s="262">
        <v>50000</v>
      </c>
      <c r="K47" s="263"/>
      <c r="L47" s="262">
        <v>200000</v>
      </c>
      <c r="M47" s="263"/>
      <c r="N47" s="271">
        <f t="shared" si="0"/>
        <v>37257782</v>
      </c>
    </row>
    <row r="48" spans="1:16" x14ac:dyDescent="0.25">
      <c r="A48" s="277" t="s">
        <v>355</v>
      </c>
      <c r="B48" s="278" t="s">
        <v>356</v>
      </c>
      <c r="C48" s="264">
        <f>SUM(C43:C47)</f>
        <v>232419803</v>
      </c>
      <c r="D48" s="175">
        <f t="shared" ref="D48:M48" si="9">SUM(D43:D47)</f>
        <v>46864378.280000001</v>
      </c>
      <c r="E48" s="265">
        <f t="shared" si="9"/>
        <v>0</v>
      </c>
      <c r="F48" s="264">
        <f t="shared" si="9"/>
        <v>9802000</v>
      </c>
      <c r="G48" s="265">
        <f t="shared" si="9"/>
        <v>1486899.33</v>
      </c>
      <c r="H48" s="264">
        <f t="shared" si="9"/>
        <v>9188526</v>
      </c>
      <c r="I48" s="283">
        <f t="shared" si="9"/>
        <v>0</v>
      </c>
      <c r="J48" s="264">
        <f t="shared" si="9"/>
        <v>2350000</v>
      </c>
      <c r="K48" s="265">
        <f t="shared" si="9"/>
        <v>0</v>
      </c>
      <c r="L48" s="264">
        <f t="shared" si="9"/>
        <v>1685000</v>
      </c>
      <c r="M48" s="265">
        <f t="shared" si="9"/>
        <v>21260</v>
      </c>
      <c r="N48" s="271">
        <f t="shared" si="0"/>
        <v>303817866.60999995</v>
      </c>
    </row>
    <row r="49" spans="1:14" x14ac:dyDescent="0.25">
      <c r="A49" s="277" t="s">
        <v>357</v>
      </c>
      <c r="B49" s="278" t="s">
        <v>358</v>
      </c>
      <c r="C49" s="264">
        <f>C28+C31+C39+C42+C48</f>
        <v>576319803</v>
      </c>
      <c r="D49" s="175">
        <f t="shared" ref="D49:M49" si="10">D28+D31+D39+D42+D48</f>
        <v>213028742.28</v>
      </c>
      <c r="E49" s="265">
        <f t="shared" si="10"/>
        <v>1300000</v>
      </c>
      <c r="F49" s="264">
        <f t="shared" si="10"/>
        <v>42617056</v>
      </c>
      <c r="G49" s="265">
        <f t="shared" si="10"/>
        <v>5030678.33</v>
      </c>
      <c r="H49" s="264">
        <f t="shared" si="10"/>
        <v>32014519</v>
      </c>
      <c r="I49" s="283">
        <f t="shared" si="10"/>
        <v>0</v>
      </c>
      <c r="J49" s="264">
        <f t="shared" si="10"/>
        <v>9300000</v>
      </c>
      <c r="K49" s="265">
        <f t="shared" si="10"/>
        <v>130000</v>
      </c>
      <c r="L49" s="264">
        <f t="shared" si="10"/>
        <v>8445000</v>
      </c>
      <c r="M49" s="265">
        <f t="shared" si="10"/>
        <v>21260</v>
      </c>
      <c r="N49" s="271">
        <f t="shared" si="0"/>
        <v>888207058.61000001</v>
      </c>
    </row>
    <row r="50" spans="1:14" x14ac:dyDescent="0.25">
      <c r="A50" s="275" t="s">
        <v>359</v>
      </c>
      <c r="B50" s="276" t="s">
        <v>360</v>
      </c>
      <c r="C50" s="262">
        <v>0</v>
      </c>
      <c r="D50" s="174">
        <v>0</v>
      </c>
      <c r="E50" s="263"/>
      <c r="F50" s="262">
        <v>0</v>
      </c>
      <c r="G50" s="263"/>
      <c r="H50" s="262">
        <v>0</v>
      </c>
      <c r="I50" s="282"/>
      <c r="J50" s="262">
        <v>0</v>
      </c>
      <c r="K50" s="263"/>
      <c r="L50" s="262">
        <v>0</v>
      </c>
      <c r="M50" s="263"/>
      <c r="N50" s="271">
        <f t="shared" si="0"/>
        <v>0</v>
      </c>
    </row>
    <row r="51" spans="1:14" x14ac:dyDescent="0.25">
      <c r="A51" s="275" t="s">
        <v>361</v>
      </c>
      <c r="B51" s="276" t="s">
        <v>362</v>
      </c>
      <c r="C51" s="262">
        <v>0</v>
      </c>
      <c r="D51" s="174">
        <v>0</v>
      </c>
      <c r="E51" s="263"/>
      <c r="F51" s="262">
        <v>0</v>
      </c>
      <c r="G51" s="263"/>
      <c r="H51" s="262">
        <v>0</v>
      </c>
      <c r="I51" s="282"/>
      <c r="J51" s="262">
        <v>0</v>
      </c>
      <c r="K51" s="263"/>
      <c r="L51" s="262">
        <v>0</v>
      </c>
      <c r="M51" s="263"/>
      <c r="N51" s="271">
        <f t="shared" si="0"/>
        <v>0</v>
      </c>
    </row>
    <row r="52" spans="1:14" x14ac:dyDescent="0.25">
      <c r="A52" s="275" t="s">
        <v>363</v>
      </c>
      <c r="B52" s="276" t="s">
        <v>364</v>
      </c>
      <c r="C52" s="262">
        <v>0</v>
      </c>
      <c r="D52" s="174">
        <v>0</v>
      </c>
      <c r="E52" s="263"/>
      <c r="F52" s="262">
        <v>0</v>
      </c>
      <c r="G52" s="263"/>
      <c r="H52" s="262">
        <v>0</v>
      </c>
      <c r="I52" s="282"/>
      <c r="J52" s="262">
        <v>0</v>
      </c>
      <c r="K52" s="263"/>
      <c r="L52" s="262">
        <v>0</v>
      </c>
      <c r="M52" s="263"/>
      <c r="N52" s="271">
        <f t="shared" si="0"/>
        <v>0</v>
      </c>
    </row>
    <row r="53" spans="1:14" x14ac:dyDescent="0.25">
      <c r="A53" s="275" t="s">
        <v>365</v>
      </c>
      <c r="B53" s="276" t="s">
        <v>366</v>
      </c>
      <c r="C53" s="262">
        <v>0</v>
      </c>
      <c r="D53" s="174">
        <v>0</v>
      </c>
      <c r="E53" s="263"/>
      <c r="F53" s="262">
        <v>0</v>
      </c>
      <c r="G53" s="263"/>
      <c r="H53" s="262">
        <v>0</v>
      </c>
      <c r="I53" s="282"/>
      <c r="J53" s="262">
        <v>0</v>
      </c>
      <c r="K53" s="263"/>
      <c r="L53" s="262">
        <v>0</v>
      </c>
      <c r="M53" s="263"/>
      <c r="N53" s="271">
        <f t="shared" si="0"/>
        <v>0</v>
      </c>
    </row>
    <row r="54" spans="1:14" x14ac:dyDescent="0.25">
      <c r="A54" s="275" t="s">
        <v>367</v>
      </c>
      <c r="B54" s="276" t="s">
        <v>368</v>
      </c>
      <c r="C54" s="262">
        <v>0</v>
      </c>
      <c r="D54" s="174">
        <v>0</v>
      </c>
      <c r="E54" s="263"/>
      <c r="F54" s="262">
        <v>0</v>
      </c>
      <c r="G54" s="263"/>
      <c r="H54" s="262">
        <v>0</v>
      </c>
      <c r="I54" s="282"/>
      <c r="J54" s="262">
        <v>0</v>
      </c>
      <c r="K54" s="263"/>
      <c r="L54" s="262">
        <v>0</v>
      </c>
      <c r="M54" s="263"/>
      <c r="N54" s="271">
        <f t="shared" si="0"/>
        <v>0</v>
      </c>
    </row>
    <row r="55" spans="1:14" x14ac:dyDescent="0.25">
      <c r="A55" s="275" t="s">
        <v>369</v>
      </c>
      <c r="B55" s="276" t="s">
        <v>370</v>
      </c>
      <c r="C55" s="262">
        <v>0</v>
      </c>
      <c r="D55" s="174">
        <v>0</v>
      </c>
      <c r="E55" s="263"/>
      <c r="F55" s="262">
        <v>0</v>
      </c>
      <c r="G55" s="263"/>
      <c r="H55" s="262">
        <v>0</v>
      </c>
      <c r="I55" s="282"/>
      <c r="J55" s="262">
        <v>0</v>
      </c>
      <c r="K55" s="263"/>
      <c r="L55" s="262">
        <v>0</v>
      </c>
      <c r="M55" s="263"/>
      <c r="N55" s="271">
        <f t="shared" si="0"/>
        <v>0</v>
      </c>
    </row>
    <row r="56" spans="1:14" x14ac:dyDescent="0.25">
      <c r="A56" s="275" t="s">
        <v>371</v>
      </c>
      <c r="B56" s="276" t="s">
        <v>372</v>
      </c>
      <c r="C56" s="262">
        <v>0</v>
      </c>
      <c r="D56" s="174">
        <v>0</v>
      </c>
      <c r="E56" s="263"/>
      <c r="F56" s="262">
        <v>0</v>
      </c>
      <c r="G56" s="263"/>
      <c r="H56" s="262">
        <v>0</v>
      </c>
      <c r="I56" s="282"/>
      <c r="J56" s="262">
        <v>0</v>
      </c>
      <c r="K56" s="263"/>
      <c r="L56" s="262">
        <v>0</v>
      </c>
      <c r="M56" s="263"/>
      <c r="N56" s="271">
        <f t="shared" si="0"/>
        <v>0</v>
      </c>
    </row>
    <row r="57" spans="1:14" x14ac:dyDescent="0.25">
      <c r="A57" s="275" t="s">
        <v>373</v>
      </c>
      <c r="B57" s="276" t="s">
        <v>374</v>
      </c>
      <c r="C57" s="262">
        <f>'13. melléklet'!C20</f>
        <v>4800000</v>
      </c>
      <c r="D57" s="174">
        <f>'13. melléklet'!D20</f>
        <v>3750000</v>
      </c>
      <c r="E57" s="263"/>
      <c r="F57" s="262">
        <v>0</v>
      </c>
      <c r="G57" s="263"/>
      <c r="H57" s="262">
        <v>0</v>
      </c>
      <c r="I57" s="282"/>
      <c r="J57" s="262">
        <v>0</v>
      </c>
      <c r="K57" s="263"/>
      <c r="L57" s="262">
        <v>0</v>
      </c>
      <c r="M57" s="263"/>
      <c r="N57" s="271">
        <f t="shared" si="0"/>
        <v>8550000</v>
      </c>
    </row>
    <row r="58" spans="1:14" x14ac:dyDescent="0.25">
      <c r="A58" s="277" t="s">
        <v>375</v>
      </c>
      <c r="B58" s="278" t="s">
        <v>376</v>
      </c>
      <c r="C58" s="264">
        <f>SUM(C50:C57)</f>
        <v>4800000</v>
      </c>
      <c r="D58" s="175">
        <f t="shared" ref="D58:M58" si="11">SUM(D50:D57)</f>
        <v>3750000</v>
      </c>
      <c r="E58" s="265">
        <f t="shared" si="11"/>
        <v>0</v>
      </c>
      <c r="F58" s="264">
        <f t="shared" si="11"/>
        <v>0</v>
      </c>
      <c r="G58" s="265">
        <f t="shared" si="11"/>
        <v>0</v>
      </c>
      <c r="H58" s="264">
        <f t="shared" si="11"/>
        <v>0</v>
      </c>
      <c r="I58" s="283">
        <f t="shared" si="11"/>
        <v>0</v>
      </c>
      <c r="J58" s="264">
        <f t="shared" si="11"/>
        <v>0</v>
      </c>
      <c r="K58" s="265">
        <f t="shared" si="11"/>
        <v>0</v>
      </c>
      <c r="L58" s="264">
        <f t="shared" si="11"/>
        <v>0</v>
      </c>
      <c r="M58" s="265">
        <f t="shared" si="11"/>
        <v>0</v>
      </c>
      <c r="N58" s="271">
        <f t="shared" si="0"/>
        <v>8550000</v>
      </c>
    </row>
    <row r="59" spans="1:14" x14ac:dyDescent="0.25">
      <c r="A59" s="275" t="s">
        <v>377</v>
      </c>
      <c r="B59" s="276" t="s">
        <v>378</v>
      </c>
      <c r="C59" s="262">
        <v>0</v>
      </c>
      <c r="D59" s="174">
        <v>0</v>
      </c>
      <c r="E59" s="263"/>
      <c r="F59" s="262">
        <v>0</v>
      </c>
      <c r="G59" s="263"/>
      <c r="H59" s="262">
        <v>0</v>
      </c>
      <c r="I59" s="282"/>
      <c r="J59" s="262">
        <v>0</v>
      </c>
      <c r="K59" s="263"/>
      <c r="L59" s="262">
        <v>0</v>
      </c>
      <c r="M59" s="263"/>
      <c r="N59" s="271">
        <f t="shared" si="0"/>
        <v>0</v>
      </c>
    </row>
    <row r="60" spans="1:14" x14ac:dyDescent="0.25">
      <c r="A60" s="275" t="s">
        <v>379</v>
      </c>
      <c r="B60" s="276" t="s">
        <v>380</v>
      </c>
      <c r="C60" s="262">
        <v>0</v>
      </c>
      <c r="D60" s="174">
        <v>0</v>
      </c>
      <c r="E60" s="263"/>
      <c r="F60" s="262">
        <v>0</v>
      </c>
      <c r="G60" s="263"/>
      <c r="H60" s="262">
        <v>0</v>
      </c>
      <c r="I60" s="282"/>
      <c r="J60" s="262">
        <v>0</v>
      </c>
      <c r="K60" s="263"/>
      <c r="L60" s="262">
        <v>0</v>
      </c>
      <c r="M60" s="263"/>
      <c r="N60" s="271">
        <f t="shared" si="0"/>
        <v>0</v>
      </c>
    </row>
    <row r="61" spans="1:14" x14ac:dyDescent="0.25">
      <c r="A61" s="275" t="s">
        <v>381</v>
      </c>
      <c r="B61" s="276" t="s">
        <v>382</v>
      </c>
      <c r="C61" s="262">
        <v>0</v>
      </c>
      <c r="D61" s="174">
        <v>0</v>
      </c>
      <c r="E61" s="263"/>
      <c r="F61" s="262">
        <v>0</v>
      </c>
      <c r="G61" s="263"/>
      <c r="H61" s="262">
        <v>0</v>
      </c>
      <c r="I61" s="282"/>
      <c r="J61" s="262">
        <v>0</v>
      </c>
      <c r="K61" s="263"/>
      <c r="L61" s="262">
        <v>0</v>
      </c>
      <c r="M61" s="263"/>
      <c r="N61" s="271">
        <f t="shared" si="0"/>
        <v>0</v>
      </c>
    </row>
    <row r="62" spans="1:14" x14ac:dyDescent="0.25">
      <c r="A62" s="275" t="s">
        <v>383</v>
      </c>
      <c r="B62" s="276" t="s">
        <v>384</v>
      </c>
      <c r="C62" s="262">
        <v>0</v>
      </c>
      <c r="D62" s="174">
        <v>0</v>
      </c>
      <c r="E62" s="263"/>
      <c r="F62" s="262">
        <v>0</v>
      </c>
      <c r="G62" s="263"/>
      <c r="H62" s="262">
        <v>0</v>
      </c>
      <c r="I62" s="282"/>
      <c r="J62" s="262">
        <v>0</v>
      </c>
      <c r="K62" s="263"/>
      <c r="L62" s="262">
        <v>0</v>
      </c>
      <c r="M62" s="263"/>
      <c r="N62" s="271">
        <f t="shared" si="0"/>
        <v>0</v>
      </c>
    </row>
    <row r="63" spans="1:14" x14ac:dyDescent="0.25">
      <c r="A63" s="277" t="s">
        <v>385</v>
      </c>
      <c r="B63" s="278" t="s">
        <v>386</v>
      </c>
      <c r="C63" s="264">
        <f>SUM(C60:C62)</f>
        <v>0</v>
      </c>
      <c r="D63" s="175">
        <f t="shared" ref="D63:M63" si="12">SUM(D60:D62)</f>
        <v>0</v>
      </c>
      <c r="E63" s="265">
        <f t="shared" si="12"/>
        <v>0</v>
      </c>
      <c r="F63" s="264">
        <f t="shared" si="12"/>
        <v>0</v>
      </c>
      <c r="G63" s="265">
        <f t="shared" si="12"/>
        <v>0</v>
      </c>
      <c r="H63" s="264">
        <f t="shared" si="12"/>
        <v>0</v>
      </c>
      <c r="I63" s="283">
        <f t="shared" si="12"/>
        <v>0</v>
      </c>
      <c r="J63" s="264">
        <f t="shared" si="12"/>
        <v>0</v>
      </c>
      <c r="K63" s="265">
        <f t="shared" si="12"/>
        <v>0</v>
      </c>
      <c r="L63" s="264">
        <f t="shared" si="12"/>
        <v>0</v>
      </c>
      <c r="M63" s="265">
        <f t="shared" si="12"/>
        <v>0</v>
      </c>
      <c r="N63" s="271">
        <f t="shared" si="0"/>
        <v>0</v>
      </c>
    </row>
    <row r="64" spans="1:14" x14ac:dyDescent="0.25">
      <c r="A64" s="275" t="s">
        <v>387</v>
      </c>
      <c r="B64" s="276" t="s">
        <v>388</v>
      </c>
      <c r="C64" s="262">
        <v>0</v>
      </c>
      <c r="D64" s="174">
        <v>0</v>
      </c>
      <c r="E64" s="263"/>
      <c r="F64" s="262">
        <v>0</v>
      </c>
      <c r="G64" s="263"/>
      <c r="H64" s="262">
        <v>0</v>
      </c>
      <c r="I64" s="282"/>
      <c r="J64" s="262">
        <v>0</v>
      </c>
      <c r="K64" s="263"/>
      <c r="L64" s="262">
        <v>0</v>
      </c>
      <c r="M64" s="263"/>
      <c r="N64" s="271">
        <f t="shared" si="0"/>
        <v>0</v>
      </c>
    </row>
    <row r="65" spans="1:14" x14ac:dyDescent="0.25">
      <c r="A65" s="275" t="s">
        <v>389</v>
      </c>
      <c r="B65" s="276" t="s">
        <v>390</v>
      </c>
      <c r="C65" s="262">
        <v>0</v>
      </c>
      <c r="D65" s="174">
        <v>0</v>
      </c>
      <c r="E65" s="263"/>
      <c r="F65" s="262">
        <v>0</v>
      </c>
      <c r="G65" s="263"/>
      <c r="H65" s="262">
        <v>0</v>
      </c>
      <c r="I65" s="282"/>
      <c r="J65" s="262">
        <v>0</v>
      </c>
      <c r="K65" s="263"/>
      <c r="L65" s="262">
        <v>0</v>
      </c>
      <c r="M65" s="263"/>
      <c r="N65" s="271">
        <f t="shared" si="0"/>
        <v>0</v>
      </c>
    </row>
    <row r="66" spans="1:14" x14ac:dyDescent="0.25">
      <c r="A66" s="275" t="s">
        <v>391</v>
      </c>
      <c r="B66" s="276" t="s">
        <v>392</v>
      </c>
      <c r="C66" s="262">
        <v>0</v>
      </c>
      <c r="D66" s="174">
        <v>0</v>
      </c>
      <c r="E66" s="263"/>
      <c r="F66" s="262">
        <v>0</v>
      </c>
      <c r="G66" s="263"/>
      <c r="H66" s="262">
        <v>0</v>
      </c>
      <c r="I66" s="282"/>
      <c r="J66" s="262">
        <v>0</v>
      </c>
      <c r="K66" s="263"/>
      <c r="L66" s="262">
        <v>0</v>
      </c>
      <c r="M66" s="263"/>
      <c r="N66" s="271">
        <f t="shared" si="0"/>
        <v>0</v>
      </c>
    </row>
    <row r="67" spans="1:14" x14ac:dyDescent="0.25">
      <c r="A67" s="275" t="s">
        <v>393</v>
      </c>
      <c r="B67" s="276" t="s">
        <v>394</v>
      </c>
      <c r="C67" s="262">
        <v>0</v>
      </c>
      <c r="D67" s="174">
        <v>0</v>
      </c>
      <c r="E67" s="263"/>
      <c r="F67" s="262">
        <v>0</v>
      </c>
      <c r="G67" s="263"/>
      <c r="H67" s="262">
        <v>0</v>
      </c>
      <c r="I67" s="282"/>
      <c r="J67" s="262">
        <v>0</v>
      </c>
      <c r="K67" s="263"/>
      <c r="L67" s="262">
        <v>0</v>
      </c>
      <c r="M67" s="263"/>
      <c r="N67" s="271">
        <f t="shared" si="0"/>
        <v>0</v>
      </c>
    </row>
    <row r="68" spans="1:14" x14ac:dyDescent="0.25">
      <c r="A68" s="275" t="s">
        <v>395</v>
      </c>
      <c r="B68" s="276" t="s">
        <v>396</v>
      </c>
      <c r="C68" s="262">
        <v>0</v>
      </c>
      <c r="D68" s="174">
        <v>0</v>
      </c>
      <c r="E68" s="263"/>
      <c r="F68" s="262">
        <v>0</v>
      </c>
      <c r="G68" s="263"/>
      <c r="H68" s="262">
        <v>0</v>
      </c>
      <c r="I68" s="282"/>
      <c r="J68" s="262">
        <v>0</v>
      </c>
      <c r="K68" s="263"/>
      <c r="L68" s="262">
        <v>0</v>
      </c>
      <c r="M68" s="263"/>
      <c r="N68" s="271">
        <f t="shared" si="0"/>
        <v>0</v>
      </c>
    </row>
    <row r="69" spans="1:14" x14ac:dyDescent="0.25">
      <c r="A69" s="275" t="s">
        <v>397</v>
      </c>
      <c r="B69" s="276" t="s">
        <v>398</v>
      </c>
      <c r="C69" s="262">
        <v>0</v>
      </c>
      <c r="D69" s="174">
        <v>0</v>
      </c>
      <c r="E69" s="263"/>
      <c r="F69" s="262">
        <v>0</v>
      </c>
      <c r="G69" s="263"/>
      <c r="H69" s="262">
        <v>0</v>
      </c>
      <c r="I69" s="282"/>
      <c r="J69" s="262">
        <v>0</v>
      </c>
      <c r="K69" s="263"/>
      <c r="L69" s="262">
        <v>0</v>
      </c>
      <c r="M69" s="263"/>
      <c r="N69" s="271">
        <f t="shared" si="0"/>
        <v>0</v>
      </c>
    </row>
    <row r="70" spans="1:14" x14ac:dyDescent="0.25">
      <c r="A70" s="275" t="s">
        <v>399</v>
      </c>
      <c r="B70" s="276" t="s">
        <v>400</v>
      </c>
      <c r="C70" s="262">
        <v>0</v>
      </c>
      <c r="D70" s="174">
        <v>0</v>
      </c>
      <c r="E70" s="263"/>
      <c r="F70" s="262">
        <v>0</v>
      </c>
      <c r="G70" s="263"/>
      <c r="H70" s="262">
        <v>0</v>
      </c>
      <c r="I70" s="282"/>
      <c r="J70" s="262">
        <v>0</v>
      </c>
      <c r="K70" s="263"/>
      <c r="L70" s="262">
        <v>0</v>
      </c>
      <c r="M70" s="263"/>
      <c r="N70" s="271">
        <f t="shared" ref="N70:N99" si="13">SUM(C70:M70)</f>
        <v>0</v>
      </c>
    </row>
    <row r="71" spans="1:14" x14ac:dyDescent="0.25">
      <c r="A71" s="275" t="s">
        <v>401</v>
      </c>
      <c r="B71" s="276" t="s">
        <v>402</v>
      </c>
      <c r="C71" s="262">
        <v>0</v>
      </c>
      <c r="D71" s="174">
        <v>0</v>
      </c>
      <c r="E71" s="263"/>
      <c r="F71" s="262">
        <v>0</v>
      </c>
      <c r="G71" s="263"/>
      <c r="H71" s="262">
        <v>0</v>
      </c>
      <c r="I71" s="282"/>
      <c r="J71" s="262">
        <v>0</v>
      </c>
      <c r="K71" s="263"/>
      <c r="L71" s="262">
        <v>0</v>
      </c>
      <c r="M71" s="263"/>
      <c r="N71" s="271">
        <f t="shared" si="13"/>
        <v>0</v>
      </c>
    </row>
    <row r="72" spans="1:14" x14ac:dyDescent="0.25">
      <c r="A72" s="275" t="s">
        <v>403</v>
      </c>
      <c r="B72" s="276" t="s">
        <v>404</v>
      </c>
      <c r="C72" s="262">
        <v>0</v>
      </c>
      <c r="D72" s="174">
        <v>0</v>
      </c>
      <c r="E72" s="263"/>
      <c r="F72" s="262">
        <v>0</v>
      </c>
      <c r="G72" s="263"/>
      <c r="H72" s="262">
        <v>0</v>
      </c>
      <c r="I72" s="282"/>
      <c r="J72" s="262">
        <v>0</v>
      </c>
      <c r="K72" s="263"/>
      <c r="L72" s="262">
        <v>0</v>
      </c>
      <c r="M72" s="263"/>
      <c r="N72" s="271">
        <f t="shared" si="13"/>
        <v>0</v>
      </c>
    </row>
    <row r="73" spans="1:14" x14ac:dyDescent="0.25">
      <c r="A73" s="275" t="s">
        <v>405</v>
      </c>
      <c r="B73" s="276" t="s">
        <v>406</v>
      </c>
      <c r="C73" s="262">
        <f>'11. melléklet'!C17</f>
        <v>151264111</v>
      </c>
      <c r="D73" s="174">
        <f>'11. melléklet'!D17</f>
        <v>28563110</v>
      </c>
      <c r="E73" s="263"/>
      <c r="F73" s="262">
        <v>0</v>
      </c>
      <c r="G73" s="263"/>
      <c r="H73" s="262">
        <v>0</v>
      </c>
      <c r="I73" s="282"/>
      <c r="J73" s="262">
        <v>0</v>
      </c>
      <c r="K73" s="263"/>
      <c r="L73" s="262">
        <v>0</v>
      </c>
      <c r="M73" s="263"/>
      <c r="N73" s="271">
        <f t="shared" si="13"/>
        <v>179827221</v>
      </c>
    </row>
    <row r="74" spans="1:14" x14ac:dyDescent="0.25">
      <c r="A74" s="275" t="s">
        <v>407</v>
      </c>
      <c r="B74" s="276" t="s">
        <v>408</v>
      </c>
      <c r="C74" s="262">
        <f>'8. melléklet'!G17</f>
        <v>45683260</v>
      </c>
      <c r="D74" s="174">
        <v>0</v>
      </c>
      <c r="E74" s="263"/>
      <c r="F74" s="262">
        <v>0</v>
      </c>
      <c r="G74" s="263"/>
      <c r="H74" s="262">
        <v>0</v>
      </c>
      <c r="I74" s="282"/>
      <c r="J74" s="262">
        <v>0</v>
      </c>
      <c r="K74" s="263"/>
      <c r="L74" s="262">
        <v>0</v>
      </c>
      <c r="M74" s="263"/>
      <c r="N74" s="271">
        <f t="shared" si="13"/>
        <v>45683260</v>
      </c>
    </row>
    <row r="75" spans="1:14" x14ac:dyDescent="0.25">
      <c r="A75" s="277" t="s">
        <v>409</v>
      </c>
      <c r="B75" s="278" t="s">
        <v>410</v>
      </c>
      <c r="C75" s="264">
        <f>C59+C63+C64+C65+C66+C67+C68+C69+C70+C71+C72+C73+C74</f>
        <v>196947371</v>
      </c>
      <c r="D75" s="175">
        <f t="shared" ref="D75:M75" si="14">D59+D63+D64+D65+D66+D67+D68+D69+D70+D71+D72+D73+D74</f>
        <v>28563110</v>
      </c>
      <c r="E75" s="265">
        <f t="shared" si="14"/>
        <v>0</v>
      </c>
      <c r="F75" s="264">
        <f t="shared" si="14"/>
        <v>0</v>
      </c>
      <c r="G75" s="265">
        <f t="shared" si="14"/>
        <v>0</v>
      </c>
      <c r="H75" s="264">
        <f t="shared" si="14"/>
        <v>0</v>
      </c>
      <c r="I75" s="283">
        <f t="shared" si="14"/>
        <v>0</v>
      </c>
      <c r="J75" s="264">
        <f t="shared" si="14"/>
        <v>0</v>
      </c>
      <c r="K75" s="265">
        <f t="shared" si="14"/>
        <v>0</v>
      </c>
      <c r="L75" s="264">
        <f t="shared" si="14"/>
        <v>0</v>
      </c>
      <c r="M75" s="265">
        <f t="shared" si="14"/>
        <v>0</v>
      </c>
      <c r="N75" s="271">
        <f t="shared" si="13"/>
        <v>225510481</v>
      </c>
    </row>
    <row r="76" spans="1:14" x14ac:dyDescent="0.25">
      <c r="A76" s="275" t="s">
        <v>411</v>
      </c>
      <c r="B76" s="276" t="s">
        <v>412</v>
      </c>
      <c r="C76" s="262">
        <v>0</v>
      </c>
      <c r="D76" s="174">
        <v>0</v>
      </c>
      <c r="E76" s="263"/>
      <c r="F76" s="262">
        <v>0</v>
      </c>
      <c r="G76" s="263"/>
      <c r="H76" s="262">
        <v>0</v>
      </c>
      <c r="I76" s="282"/>
      <c r="J76" s="262">
        <v>0</v>
      </c>
      <c r="K76" s="263"/>
      <c r="L76" s="262">
        <v>0</v>
      </c>
      <c r="M76" s="263"/>
      <c r="N76" s="271">
        <f t="shared" si="13"/>
        <v>0</v>
      </c>
    </row>
    <row r="77" spans="1:14" x14ac:dyDescent="0.25">
      <c r="A77" s="275" t="s">
        <v>413</v>
      </c>
      <c r="B77" s="276" t="s">
        <v>414</v>
      </c>
      <c r="C77" s="262">
        <v>0</v>
      </c>
      <c r="D77" s="174">
        <f>97732666+16400000+22022461</f>
        <v>136155127</v>
      </c>
      <c r="E77" s="263"/>
      <c r="F77" s="262">
        <v>0</v>
      </c>
      <c r="G77" s="263"/>
      <c r="H77" s="262">
        <v>0</v>
      </c>
      <c r="I77" s="282"/>
      <c r="J77" s="262">
        <v>0</v>
      </c>
      <c r="K77" s="263"/>
      <c r="L77" s="262">
        <v>0</v>
      </c>
      <c r="M77" s="263"/>
      <c r="N77" s="271">
        <f t="shared" si="13"/>
        <v>136155127</v>
      </c>
    </row>
    <row r="78" spans="1:14" x14ac:dyDescent="0.25">
      <c r="A78" s="275" t="s">
        <v>415</v>
      </c>
      <c r="B78" s="276" t="s">
        <v>416</v>
      </c>
      <c r="C78" s="262">
        <v>0</v>
      </c>
      <c r="D78" s="174">
        <v>2000000</v>
      </c>
      <c r="E78" s="263"/>
      <c r="F78" s="262">
        <v>8102363</v>
      </c>
      <c r="G78" s="263">
        <v>0</v>
      </c>
      <c r="H78" s="262">
        <v>0</v>
      </c>
      <c r="I78" s="282"/>
      <c r="J78" s="262">
        <v>0</v>
      </c>
      <c r="K78" s="263"/>
      <c r="L78" s="262">
        <v>150000</v>
      </c>
      <c r="M78" s="263"/>
      <c r="N78" s="271">
        <f t="shared" si="13"/>
        <v>10252363</v>
      </c>
    </row>
    <row r="79" spans="1:14" x14ac:dyDescent="0.25">
      <c r="A79" s="275" t="s">
        <v>417</v>
      </c>
      <c r="B79" s="276" t="s">
        <v>418</v>
      </c>
      <c r="C79" s="262">
        <v>0</v>
      </c>
      <c r="D79" s="174">
        <v>1574803</v>
      </c>
      <c r="E79" s="263"/>
      <c r="F79" s="262">
        <v>1000000</v>
      </c>
      <c r="G79" s="263">
        <v>196850</v>
      </c>
      <c r="H79" s="262">
        <v>1390945</v>
      </c>
      <c r="I79" s="282"/>
      <c r="J79" s="262">
        <v>715000</v>
      </c>
      <c r="K79" s="263"/>
      <c r="L79" s="262">
        <v>50000</v>
      </c>
      <c r="M79" s="263"/>
      <c r="N79" s="271">
        <f t="shared" si="13"/>
        <v>4927598</v>
      </c>
    </row>
    <row r="80" spans="1:14" x14ac:dyDescent="0.25">
      <c r="A80" s="275" t="s">
        <v>419</v>
      </c>
      <c r="B80" s="276" t="s">
        <v>420</v>
      </c>
      <c r="C80" s="262">
        <v>0</v>
      </c>
      <c r="D80" s="174">
        <v>0</v>
      </c>
      <c r="E80" s="263"/>
      <c r="F80" s="262">
        <v>0</v>
      </c>
      <c r="G80" s="263">
        <v>0</v>
      </c>
      <c r="H80" s="262"/>
      <c r="I80" s="282"/>
      <c r="J80" s="262">
        <v>0</v>
      </c>
      <c r="K80" s="263"/>
      <c r="L80" s="262">
        <v>0</v>
      </c>
      <c r="M80" s="263"/>
      <c r="N80" s="271">
        <f t="shared" si="13"/>
        <v>0</v>
      </c>
    </row>
    <row r="81" spans="1:14" x14ac:dyDescent="0.25">
      <c r="A81" s="275" t="s">
        <v>421</v>
      </c>
      <c r="B81" s="276" t="s">
        <v>422</v>
      </c>
      <c r="C81" s="262">
        <v>0</v>
      </c>
      <c r="D81" s="174">
        <v>0</v>
      </c>
      <c r="E81" s="263"/>
      <c r="F81" s="262">
        <v>0</v>
      </c>
      <c r="G81" s="263">
        <v>0</v>
      </c>
      <c r="H81" s="262"/>
      <c r="I81" s="282"/>
      <c r="J81" s="262">
        <v>0</v>
      </c>
      <c r="K81" s="263"/>
      <c r="L81" s="262">
        <v>0</v>
      </c>
      <c r="M81" s="263"/>
      <c r="N81" s="271">
        <f t="shared" si="13"/>
        <v>0</v>
      </c>
    </row>
    <row r="82" spans="1:14" x14ac:dyDescent="0.25">
      <c r="A82" s="275" t="s">
        <v>423</v>
      </c>
      <c r="B82" s="276" t="s">
        <v>424</v>
      </c>
      <c r="C82" s="262">
        <v>0</v>
      </c>
      <c r="D82" s="174">
        <f>ROUND(SUM(D76:D81)*0.27-4428000,0)</f>
        <v>33299081</v>
      </c>
      <c r="E82" s="263"/>
      <c r="F82" s="262">
        <f>SUM(F78:F79)*0.27</f>
        <v>2457638.0100000002</v>
      </c>
      <c r="G82" s="263">
        <f>SUM(G78:G79)*0.27</f>
        <v>53149.5</v>
      </c>
      <c r="H82" s="262">
        <v>375555</v>
      </c>
      <c r="I82" s="282"/>
      <c r="J82" s="262">
        <v>193050</v>
      </c>
      <c r="K82" s="263"/>
      <c r="L82" s="262">
        <v>54000</v>
      </c>
      <c r="M82" s="263"/>
      <c r="N82" s="271">
        <f t="shared" si="13"/>
        <v>36432473.509999998</v>
      </c>
    </row>
    <row r="83" spans="1:14" x14ac:dyDescent="0.25">
      <c r="A83" s="277" t="s">
        <v>425</v>
      </c>
      <c r="B83" s="278" t="s">
        <v>426</v>
      </c>
      <c r="C83" s="264">
        <f>SUM(C76:C82)</f>
        <v>0</v>
      </c>
      <c r="D83" s="175">
        <f>SUM(D76:D82)</f>
        <v>173029011</v>
      </c>
      <c r="E83" s="265">
        <f t="shared" ref="E83:M83" si="15">SUM(E76:E82)</f>
        <v>0</v>
      </c>
      <c r="F83" s="264">
        <f t="shared" si="15"/>
        <v>11560001.01</v>
      </c>
      <c r="G83" s="265">
        <f t="shared" si="15"/>
        <v>249999.5</v>
      </c>
      <c r="H83" s="264">
        <f t="shared" si="15"/>
        <v>1766500</v>
      </c>
      <c r="I83" s="283">
        <f t="shared" si="15"/>
        <v>0</v>
      </c>
      <c r="J83" s="264">
        <f t="shared" si="15"/>
        <v>908050</v>
      </c>
      <c r="K83" s="265">
        <f t="shared" si="15"/>
        <v>0</v>
      </c>
      <c r="L83" s="264">
        <f t="shared" si="15"/>
        <v>254000</v>
      </c>
      <c r="M83" s="265">
        <f t="shared" si="15"/>
        <v>0</v>
      </c>
      <c r="N83" s="271">
        <f t="shared" si="13"/>
        <v>187767561.50999999</v>
      </c>
    </row>
    <row r="84" spans="1:14" x14ac:dyDescent="0.25">
      <c r="A84" s="275" t="s">
        <v>427</v>
      </c>
      <c r="B84" s="276" t="s">
        <v>428</v>
      </c>
      <c r="C84" s="262">
        <v>0</v>
      </c>
      <c r="D84" s="174">
        <f>25352524+47247910+19797697+156131780</f>
        <v>248529911</v>
      </c>
      <c r="E84" s="263"/>
      <c r="F84" s="262">
        <v>0</v>
      </c>
      <c r="G84" s="263"/>
      <c r="H84" s="262">
        <v>1385827</v>
      </c>
      <c r="I84" s="282"/>
      <c r="J84" s="262">
        <v>1090000</v>
      </c>
      <c r="K84" s="263"/>
      <c r="L84" s="262">
        <v>0</v>
      </c>
      <c r="M84" s="263"/>
      <c r="N84" s="271">
        <f t="shared" si="13"/>
        <v>251005738</v>
      </c>
    </row>
    <row r="85" spans="1:14" x14ac:dyDescent="0.25">
      <c r="A85" s="275" t="s">
        <v>429</v>
      </c>
      <c r="B85" s="276" t="s">
        <v>430</v>
      </c>
      <c r="C85" s="262">
        <v>0</v>
      </c>
      <c r="D85" s="174">
        <v>0</v>
      </c>
      <c r="E85" s="263"/>
      <c r="F85" s="262">
        <v>0</v>
      </c>
      <c r="G85" s="263"/>
      <c r="H85" s="262">
        <v>157480</v>
      </c>
      <c r="I85" s="282"/>
      <c r="J85" s="262">
        <v>0</v>
      </c>
      <c r="K85" s="263"/>
      <c r="L85" s="262">
        <v>0</v>
      </c>
      <c r="M85" s="263"/>
      <c r="N85" s="271">
        <f t="shared" si="13"/>
        <v>157480</v>
      </c>
    </row>
    <row r="86" spans="1:14" x14ac:dyDescent="0.25">
      <c r="A86" s="275" t="s">
        <v>431</v>
      </c>
      <c r="B86" s="276" t="s">
        <v>432</v>
      </c>
      <c r="C86" s="262">
        <v>0</v>
      </c>
      <c r="D86" s="174">
        <v>275591</v>
      </c>
      <c r="E86" s="263"/>
      <c r="F86" s="262">
        <v>0</v>
      </c>
      <c r="G86" s="263"/>
      <c r="H86" s="262"/>
      <c r="I86" s="282"/>
      <c r="J86" s="262">
        <v>0</v>
      </c>
      <c r="K86" s="263"/>
      <c r="L86" s="262">
        <v>0</v>
      </c>
      <c r="M86" s="263"/>
      <c r="N86" s="271">
        <f t="shared" si="13"/>
        <v>275591</v>
      </c>
    </row>
    <row r="87" spans="1:14" x14ac:dyDescent="0.25">
      <c r="A87" s="275" t="s">
        <v>433</v>
      </c>
      <c r="B87" s="276" t="s">
        <v>434</v>
      </c>
      <c r="C87" s="262">
        <f>SUM(C84:C86)*0.27</f>
        <v>0</v>
      </c>
      <c r="D87" s="174">
        <f>ROUND(SUM(D84:D86)*0.27,0)</f>
        <v>67177486</v>
      </c>
      <c r="E87" s="263"/>
      <c r="F87" s="262">
        <v>0</v>
      </c>
      <c r="G87" s="263"/>
      <c r="H87" s="262">
        <f>(H84+H85)*0.27</f>
        <v>416692.89</v>
      </c>
      <c r="I87" s="282"/>
      <c r="J87" s="262">
        <v>294300</v>
      </c>
      <c r="K87" s="263"/>
      <c r="L87" s="262">
        <v>0</v>
      </c>
      <c r="M87" s="263"/>
      <c r="N87" s="271">
        <f t="shared" si="13"/>
        <v>67888478.890000001</v>
      </c>
    </row>
    <row r="88" spans="1:14" x14ac:dyDescent="0.25">
      <c r="A88" s="277" t="s">
        <v>435</v>
      </c>
      <c r="B88" s="278" t="s">
        <v>436</v>
      </c>
      <c r="C88" s="264">
        <f>SUM(C84:C87)</f>
        <v>0</v>
      </c>
      <c r="D88" s="175">
        <f t="shared" ref="D88:M88" si="16">SUM(D84:D87)</f>
        <v>315982988</v>
      </c>
      <c r="E88" s="265">
        <f t="shared" si="16"/>
        <v>0</v>
      </c>
      <c r="F88" s="264">
        <f t="shared" si="16"/>
        <v>0</v>
      </c>
      <c r="G88" s="265">
        <f t="shared" si="16"/>
        <v>0</v>
      </c>
      <c r="H88" s="264">
        <f t="shared" si="16"/>
        <v>1959999.8900000001</v>
      </c>
      <c r="I88" s="283">
        <f t="shared" si="16"/>
        <v>0</v>
      </c>
      <c r="J88" s="264">
        <f t="shared" si="16"/>
        <v>1384300</v>
      </c>
      <c r="K88" s="265">
        <f t="shared" si="16"/>
        <v>0</v>
      </c>
      <c r="L88" s="264">
        <f t="shared" si="16"/>
        <v>0</v>
      </c>
      <c r="M88" s="265">
        <f t="shared" si="16"/>
        <v>0</v>
      </c>
      <c r="N88" s="271">
        <f t="shared" si="13"/>
        <v>319327287.88999999</v>
      </c>
    </row>
    <row r="89" spans="1:14" x14ac:dyDescent="0.25">
      <c r="A89" s="275" t="s">
        <v>437</v>
      </c>
      <c r="B89" s="276" t="s">
        <v>438</v>
      </c>
      <c r="C89" s="262">
        <v>0</v>
      </c>
      <c r="D89" s="174">
        <v>0</v>
      </c>
      <c r="E89" s="263"/>
      <c r="F89" s="262">
        <v>0</v>
      </c>
      <c r="G89" s="263"/>
      <c r="H89" s="262">
        <v>0</v>
      </c>
      <c r="I89" s="282"/>
      <c r="J89" s="262">
        <v>0</v>
      </c>
      <c r="K89" s="263"/>
      <c r="L89" s="262">
        <v>0</v>
      </c>
      <c r="M89" s="263"/>
      <c r="N89" s="271">
        <f t="shared" si="13"/>
        <v>0</v>
      </c>
    </row>
    <row r="90" spans="1:14" x14ac:dyDescent="0.25">
      <c r="A90" s="275" t="s">
        <v>439</v>
      </c>
      <c r="B90" s="276" t="s">
        <v>440</v>
      </c>
      <c r="C90" s="262">
        <v>0</v>
      </c>
      <c r="D90" s="174">
        <v>0</v>
      </c>
      <c r="E90" s="263"/>
      <c r="F90" s="262">
        <v>0</v>
      </c>
      <c r="G90" s="263"/>
      <c r="H90" s="262">
        <v>0</v>
      </c>
      <c r="I90" s="282"/>
      <c r="J90" s="262">
        <v>0</v>
      </c>
      <c r="K90" s="263"/>
      <c r="L90" s="262">
        <v>0</v>
      </c>
      <c r="M90" s="263"/>
      <c r="N90" s="271">
        <f t="shared" si="13"/>
        <v>0</v>
      </c>
    </row>
    <row r="91" spans="1:14" x14ac:dyDescent="0.25">
      <c r="A91" s="275" t="s">
        <v>441</v>
      </c>
      <c r="B91" s="276" t="s">
        <v>442</v>
      </c>
      <c r="C91" s="262">
        <v>0</v>
      </c>
      <c r="D91" s="174">
        <v>0</v>
      </c>
      <c r="E91" s="263"/>
      <c r="F91" s="262">
        <v>0</v>
      </c>
      <c r="G91" s="263"/>
      <c r="H91" s="262">
        <v>0</v>
      </c>
      <c r="I91" s="282"/>
      <c r="J91" s="262">
        <v>0</v>
      </c>
      <c r="K91" s="263"/>
      <c r="L91" s="262">
        <v>0</v>
      </c>
      <c r="M91" s="263"/>
      <c r="N91" s="271">
        <f t="shared" si="13"/>
        <v>0</v>
      </c>
    </row>
    <row r="92" spans="1:14" x14ac:dyDescent="0.25">
      <c r="A92" s="275" t="s">
        <v>443</v>
      </c>
      <c r="B92" s="276" t="s">
        <v>444</v>
      </c>
      <c r="C92" s="262">
        <v>0</v>
      </c>
      <c r="D92" s="174">
        <v>0</v>
      </c>
      <c r="E92" s="263"/>
      <c r="F92" s="262">
        <v>0</v>
      </c>
      <c r="G92" s="263"/>
      <c r="H92" s="262">
        <v>0</v>
      </c>
      <c r="I92" s="282"/>
      <c r="J92" s="262">
        <v>0</v>
      </c>
      <c r="K92" s="263"/>
      <c r="L92" s="262">
        <v>0</v>
      </c>
      <c r="M92" s="263"/>
      <c r="N92" s="271">
        <f t="shared" si="13"/>
        <v>0</v>
      </c>
    </row>
    <row r="93" spans="1:14" x14ac:dyDescent="0.25">
      <c r="A93" s="275" t="s">
        <v>445</v>
      </c>
      <c r="B93" s="276" t="s">
        <v>446</v>
      </c>
      <c r="C93" s="262">
        <v>0</v>
      </c>
      <c r="D93" s="174">
        <v>0</v>
      </c>
      <c r="E93" s="263"/>
      <c r="F93" s="262">
        <v>0</v>
      </c>
      <c r="G93" s="263"/>
      <c r="H93" s="262">
        <v>0</v>
      </c>
      <c r="I93" s="282"/>
      <c r="J93" s="262">
        <v>0</v>
      </c>
      <c r="K93" s="263"/>
      <c r="L93" s="262">
        <v>0</v>
      </c>
      <c r="M93" s="263"/>
      <c r="N93" s="271">
        <f t="shared" si="13"/>
        <v>0</v>
      </c>
    </row>
    <row r="94" spans="1:14" x14ac:dyDescent="0.25">
      <c r="A94" s="275" t="s">
        <v>447</v>
      </c>
      <c r="B94" s="276" t="s">
        <v>448</v>
      </c>
      <c r="C94" s="262">
        <v>0</v>
      </c>
      <c r="D94" s="174">
        <v>0</v>
      </c>
      <c r="E94" s="263"/>
      <c r="F94" s="262">
        <v>0</v>
      </c>
      <c r="G94" s="263"/>
      <c r="H94" s="262">
        <v>0</v>
      </c>
      <c r="I94" s="282"/>
      <c r="J94" s="262">
        <v>0</v>
      </c>
      <c r="K94" s="263"/>
      <c r="L94" s="262">
        <v>0</v>
      </c>
      <c r="M94" s="263"/>
      <c r="N94" s="271">
        <f t="shared" si="13"/>
        <v>0</v>
      </c>
    </row>
    <row r="95" spans="1:14" x14ac:dyDescent="0.25">
      <c r="A95" s="275" t="s">
        <v>449</v>
      </c>
      <c r="B95" s="276" t="s">
        <v>450</v>
      </c>
      <c r="C95" s="262">
        <v>0</v>
      </c>
      <c r="D95" s="174">
        <v>0</v>
      </c>
      <c r="E95" s="263"/>
      <c r="F95" s="262">
        <v>0</v>
      </c>
      <c r="G95" s="263"/>
      <c r="H95" s="262">
        <v>0</v>
      </c>
      <c r="I95" s="282"/>
      <c r="J95" s="262">
        <v>0</v>
      </c>
      <c r="K95" s="263"/>
      <c r="L95" s="262">
        <v>0</v>
      </c>
      <c r="M95" s="263"/>
      <c r="N95" s="271">
        <f t="shared" si="13"/>
        <v>0</v>
      </c>
    </row>
    <row r="96" spans="1:14" x14ac:dyDescent="0.25">
      <c r="A96" s="275" t="s">
        <v>451</v>
      </c>
      <c r="B96" s="276" t="s">
        <v>452</v>
      </c>
      <c r="C96" s="262">
        <v>0</v>
      </c>
      <c r="D96" s="174">
        <v>0</v>
      </c>
      <c r="E96" s="263"/>
      <c r="F96" s="262">
        <v>0</v>
      </c>
      <c r="G96" s="263"/>
      <c r="H96" s="262">
        <v>0</v>
      </c>
      <c r="I96" s="282"/>
      <c r="J96" s="262">
        <v>0</v>
      </c>
      <c r="K96" s="263"/>
      <c r="L96" s="262">
        <v>0</v>
      </c>
      <c r="M96" s="263"/>
      <c r="N96" s="271">
        <f t="shared" si="13"/>
        <v>0</v>
      </c>
    </row>
    <row r="97" spans="1:14" x14ac:dyDescent="0.25">
      <c r="A97" s="275" t="s">
        <v>453</v>
      </c>
      <c r="B97" s="276" t="s">
        <v>454</v>
      </c>
      <c r="C97" s="262">
        <v>0</v>
      </c>
      <c r="D97" s="174">
        <v>0</v>
      </c>
      <c r="E97" s="263"/>
      <c r="F97" s="262">
        <v>0</v>
      </c>
      <c r="G97" s="263"/>
      <c r="H97" s="262">
        <v>0</v>
      </c>
      <c r="I97" s="282"/>
      <c r="J97" s="262">
        <v>0</v>
      </c>
      <c r="K97" s="263"/>
      <c r="L97" s="262">
        <v>0</v>
      </c>
      <c r="M97" s="263"/>
      <c r="N97" s="271">
        <f t="shared" si="13"/>
        <v>0</v>
      </c>
    </row>
    <row r="98" spans="1:14" x14ac:dyDescent="0.25">
      <c r="A98" s="277" t="s">
        <v>455</v>
      </c>
      <c r="B98" s="278" t="s">
        <v>456</v>
      </c>
      <c r="C98" s="264">
        <f>SUM(C89:C97)</f>
        <v>0</v>
      </c>
      <c r="D98" s="175">
        <f t="shared" ref="D98:M98" si="17">SUM(D89:D97)</f>
        <v>0</v>
      </c>
      <c r="E98" s="265">
        <f t="shared" si="17"/>
        <v>0</v>
      </c>
      <c r="F98" s="264">
        <f t="shared" si="17"/>
        <v>0</v>
      </c>
      <c r="G98" s="265">
        <f t="shared" si="17"/>
        <v>0</v>
      </c>
      <c r="H98" s="264">
        <f t="shared" si="17"/>
        <v>0</v>
      </c>
      <c r="I98" s="283">
        <f t="shared" si="17"/>
        <v>0</v>
      </c>
      <c r="J98" s="264">
        <f t="shared" si="17"/>
        <v>0</v>
      </c>
      <c r="K98" s="265">
        <f t="shared" si="17"/>
        <v>0</v>
      </c>
      <c r="L98" s="264">
        <f t="shared" si="17"/>
        <v>0</v>
      </c>
      <c r="M98" s="265">
        <f t="shared" si="17"/>
        <v>0</v>
      </c>
      <c r="N98" s="271">
        <f t="shared" si="13"/>
        <v>0</v>
      </c>
    </row>
    <row r="99" spans="1:14" ht="13.5" thickBot="1" x14ac:dyDescent="0.3">
      <c r="A99" s="279" t="s">
        <v>457</v>
      </c>
      <c r="B99" s="280" t="s">
        <v>458</v>
      </c>
      <c r="C99" s="266">
        <f>C23+C24+C49+C58+C75+C83+C88+C98</f>
        <v>839922631</v>
      </c>
      <c r="D99" s="267">
        <f t="shared" ref="D99:M99" si="18">D23+D24+D49+D58+D75+D83+D88+D98</f>
        <v>756839654.81999993</v>
      </c>
      <c r="E99" s="268">
        <f t="shared" si="18"/>
        <v>27361660.594999999</v>
      </c>
      <c r="F99" s="266">
        <f t="shared" si="18"/>
        <v>263173057.00999999</v>
      </c>
      <c r="G99" s="268">
        <f t="shared" si="18"/>
        <v>29463299.829999998</v>
      </c>
      <c r="H99" s="266">
        <f t="shared" si="18"/>
        <v>331802715.88999999</v>
      </c>
      <c r="I99" s="284">
        <f t="shared" si="18"/>
        <v>11100000</v>
      </c>
      <c r="J99" s="264">
        <f t="shared" si="18"/>
        <v>33201440</v>
      </c>
      <c r="K99" s="265">
        <f t="shared" si="18"/>
        <v>1030000</v>
      </c>
      <c r="L99" s="266">
        <f t="shared" si="18"/>
        <v>44293757</v>
      </c>
      <c r="M99" s="268">
        <f t="shared" si="18"/>
        <v>161970</v>
      </c>
      <c r="N99" s="289">
        <f t="shared" si="13"/>
        <v>2338350186.145</v>
      </c>
    </row>
    <row r="100" spans="1:14" hidden="1" x14ac:dyDescent="0.3">
      <c r="J100" s="285"/>
      <c r="K100" s="286"/>
    </row>
    <row r="101" spans="1:14" hidden="1" thickBot="1" x14ac:dyDescent="0.3">
      <c r="B101" s="185"/>
      <c r="C101" s="177">
        <f>'Finanszírozási kiadások'!C34</f>
        <v>852894246.73000002</v>
      </c>
      <c r="D101" s="177">
        <f>'Finanszírozási kiadások'!D34</f>
        <v>1241299</v>
      </c>
      <c r="E101" s="177">
        <f>'Finanszírozási kiadások'!E34</f>
        <v>0</v>
      </c>
      <c r="F101" s="177">
        <f>'Finanszírozási kiadások'!F34</f>
        <v>0</v>
      </c>
      <c r="G101" s="177">
        <f>'Finanszírozási kiadások'!G34</f>
        <v>0</v>
      </c>
      <c r="H101" s="177">
        <f>'Finanszírozási kiadások'!H34</f>
        <v>0</v>
      </c>
      <c r="I101" s="177">
        <f>'Finanszírozási kiadások'!I34</f>
        <v>0</v>
      </c>
      <c r="J101" s="287">
        <f>'Finanszírozási kiadások'!J34</f>
        <v>0</v>
      </c>
      <c r="K101" s="288">
        <f>'Finanszírozási kiadások'!K34</f>
        <v>0</v>
      </c>
      <c r="L101" s="177">
        <f>'Finanszírozási kiadások'!L34</f>
        <v>0</v>
      </c>
      <c r="M101" s="177">
        <f>'Finanszírozási kiadások'!M34</f>
        <v>0</v>
      </c>
      <c r="N101" s="177">
        <f>'Finanszírozási kiadások'!N34</f>
        <v>854135545.73000002</v>
      </c>
    </row>
    <row r="102" spans="1:14" ht="14.5" hidden="1" x14ac:dyDescent="0.35">
      <c r="B102" s="185"/>
      <c r="C102" s="11"/>
      <c r="D102" s="11"/>
      <c r="E102" s="11"/>
    </row>
    <row r="103" spans="1:14" ht="14.5" hidden="1" x14ac:dyDescent="0.35">
      <c r="B103" s="185" t="s">
        <v>664</v>
      </c>
      <c r="C103" s="11">
        <f>SUM(C99:C101)</f>
        <v>1692816877.73</v>
      </c>
      <c r="D103" s="11">
        <f t="shared" ref="D103:E103" si="19">SUM(D99:D101)</f>
        <v>758080953.81999993</v>
      </c>
      <c r="E103" s="11">
        <f t="shared" si="19"/>
        <v>27361660.594999999</v>
      </c>
      <c r="F103" s="11">
        <f t="shared" ref="F103:N103" si="20">SUM(F99:F101)</f>
        <v>263173057.00999999</v>
      </c>
      <c r="G103" s="11">
        <f t="shared" ref="G103" si="21">SUM(G99:G101)</f>
        <v>29463299.829999998</v>
      </c>
      <c r="H103" s="11">
        <f t="shared" si="20"/>
        <v>331802715.88999999</v>
      </c>
      <c r="I103" s="11">
        <f t="shared" ref="I103" si="22">SUM(I99:I101)</f>
        <v>11100000</v>
      </c>
      <c r="J103" s="11">
        <f t="shared" si="20"/>
        <v>33201440</v>
      </c>
      <c r="K103" s="11">
        <f t="shared" ref="K103" si="23">SUM(K99:K101)</f>
        <v>1030000</v>
      </c>
      <c r="L103" s="11">
        <f t="shared" si="20"/>
        <v>44293757</v>
      </c>
      <c r="M103" s="11">
        <f t="shared" si="20"/>
        <v>161970</v>
      </c>
      <c r="N103" s="11">
        <f t="shared" si="20"/>
        <v>3192485731.875</v>
      </c>
    </row>
    <row r="104" spans="1:14" ht="14.5" hidden="1" x14ac:dyDescent="0.35">
      <c r="B104" s="185"/>
      <c r="C104" s="11"/>
      <c r="D104" s="11"/>
      <c r="E104" s="11"/>
    </row>
    <row r="105" spans="1:14" hidden="1" x14ac:dyDescent="0.3">
      <c r="B105" s="185" t="s">
        <v>665</v>
      </c>
      <c r="C105" s="192">
        <f>'Költségvetési bevételek'!C76</f>
        <v>2052538923.1100001</v>
      </c>
      <c r="D105" s="192">
        <f>'Költségvetési bevételek'!D76</f>
        <v>0</v>
      </c>
      <c r="E105" s="192">
        <f>'Költségvetési bevételek'!E76</f>
        <v>0</v>
      </c>
      <c r="F105" s="192">
        <f>'Költségvetési bevételek'!F76</f>
        <v>263173057.00999999</v>
      </c>
      <c r="G105" s="192">
        <f>'Költségvetési bevételek'!G76</f>
        <v>0</v>
      </c>
      <c r="H105" s="192">
        <f>'Költségvetési bevételek'!H76</f>
        <v>342902715.88999999</v>
      </c>
      <c r="I105" s="192">
        <f>'Költségvetési bevételek'!I76</f>
        <v>0</v>
      </c>
      <c r="J105" s="192">
        <f>'Költségvetési bevételek'!J76</f>
        <v>34231440</v>
      </c>
      <c r="K105" s="192">
        <f>'Költségvetési bevételek'!K76</f>
        <v>0</v>
      </c>
      <c r="L105" s="192">
        <f>'Költségvetési bevételek'!L76</f>
        <v>44455727</v>
      </c>
      <c r="M105" s="192">
        <f>'Költségvetési bevételek'!M76</f>
        <v>0</v>
      </c>
      <c r="N105" s="192">
        <f>'Költségvetési bevételek'!N76</f>
        <v>3192485731.8400002</v>
      </c>
    </row>
    <row r="106" spans="1:14" ht="14.5" hidden="1" x14ac:dyDescent="0.35">
      <c r="B106" s="185"/>
      <c r="C106" s="11"/>
      <c r="D106" s="11"/>
      <c r="E106" s="11"/>
    </row>
    <row r="107" spans="1:14" ht="12.5" hidden="1" x14ac:dyDescent="0.25">
      <c r="C107" s="177">
        <f>C105-C103</f>
        <v>359722045.38000011</v>
      </c>
      <c r="D107" s="177">
        <f t="shared" ref="D107:E107" si="24">D105-D103</f>
        <v>-758080953.81999993</v>
      </c>
      <c r="E107" s="177">
        <f t="shared" si="24"/>
        <v>-27361660.594999999</v>
      </c>
      <c r="F107" s="177">
        <f t="shared" ref="F107:N107" si="25">F105-F103</f>
        <v>0</v>
      </c>
      <c r="G107" s="177">
        <f t="shared" ref="G107" si="26">G105-G103</f>
        <v>-29463299.829999998</v>
      </c>
      <c r="H107" s="177">
        <f t="shared" si="25"/>
        <v>11100000</v>
      </c>
      <c r="I107" s="177">
        <f t="shared" ref="I107" si="27">I105-I103</f>
        <v>-11100000</v>
      </c>
      <c r="J107" s="177">
        <f t="shared" si="25"/>
        <v>1030000</v>
      </c>
      <c r="K107" s="177">
        <f t="shared" ref="K107" si="28">K105-K103</f>
        <v>-1030000</v>
      </c>
      <c r="L107" s="177">
        <f t="shared" si="25"/>
        <v>161970</v>
      </c>
      <c r="M107" s="177">
        <f t="shared" si="25"/>
        <v>-161970</v>
      </c>
      <c r="N107" s="177">
        <f t="shared" si="25"/>
        <v>-3.4999847412109375E-2</v>
      </c>
    </row>
    <row r="108" spans="1:14" hidden="1" x14ac:dyDescent="0.3"/>
    <row r="110" spans="1:14" x14ac:dyDescent="0.3">
      <c r="N110" s="192"/>
    </row>
  </sheetData>
  <mergeCells count="8">
    <mergeCell ref="A1:N1"/>
    <mergeCell ref="A2:N2"/>
    <mergeCell ref="B3:B4"/>
    <mergeCell ref="F3:G3"/>
    <mergeCell ref="H3:I3"/>
    <mergeCell ref="J3:K3"/>
    <mergeCell ref="L3:M3"/>
    <mergeCell ref="C3:E3"/>
  </mergeCells>
  <pageMargins left="0.74803149606299213" right="0.74803149606299213" top="0.98425196850393704" bottom="0.98425196850393704" header="0.51181102362204722" footer="0.51181102362204722"/>
  <pageSetup scale="35" orientation="landscape" r:id="rId1"/>
  <headerFooter alignWithMargins="0">
    <oddHeader>&amp;C&amp;L&amp;RÉrték típus: Forint</oddHeader>
    <oddFooter>&amp;C&amp;LAdatellenőrző kód: 395a-67-4577-9-33-1c-41-4f5b-6237-656f1e507e7a-6a&amp;R</oddFooter>
  </headerFooter>
  <ignoredErrors>
    <ignoredError sqref="C28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zoomScale="80" zoomScaleNormal="80" workbookViewId="0">
      <pane xSplit="2" ySplit="4" topLeftCell="C11" activePane="bottomRight" state="frozen"/>
      <selection activeCell="B25" sqref="B25"/>
      <selection pane="topRight" activeCell="B25" sqref="B25"/>
      <selection pane="bottomLeft" activeCell="B25" sqref="B25"/>
      <selection pane="bottomRight" activeCell="D23" sqref="D23"/>
    </sheetView>
  </sheetViews>
  <sheetFormatPr defaultRowHeight="13" x14ac:dyDescent="0.3"/>
  <cols>
    <col min="1" max="1" width="3" style="172" bestFit="1" customWidth="1"/>
    <col min="2" max="2" width="112.1796875" style="172" customWidth="1"/>
    <col min="3" max="3" width="20" style="172" bestFit="1" customWidth="1"/>
    <col min="4" max="5" width="20" style="172" customWidth="1"/>
    <col min="6" max="6" width="20" style="172" bestFit="1" customWidth="1"/>
    <col min="7" max="7" width="20" style="172" customWidth="1"/>
    <col min="8" max="8" width="20" style="172" bestFit="1" customWidth="1"/>
    <col min="9" max="9" width="20" style="172" customWidth="1"/>
    <col min="10" max="10" width="20" style="172" bestFit="1" customWidth="1"/>
    <col min="11" max="11" width="20" style="172" customWidth="1"/>
    <col min="12" max="12" width="20" style="172" bestFit="1" customWidth="1"/>
    <col min="13" max="13" width="20" style="172" customWidth="1"/>
    <col min="14" max="14" width="22" style="176" customWidth="1"/>
    <col min="15" max="262" width="9.1796875" style="172"/>
    <col min="263" max="263" width="3" style="172" bestFit="1" customWidth="1"/>
    <col min="264" max="264" width="111.453125" style="172" bestFit="1" customWidth="1"/>
    <col min="265" max="269" width="20" style="172" bestFit="1" customWidth="1"/>
    <col min="270" max="270" width="22" style="172" customWidth="1"/>
    <col min="271" max="518" width="9.1796875" style="172"/>
    <col min="519" max="519" width="3" style="172" bestFit="1" customWidth="1"/>
    <col min="520" max="520" width="111.453125" style="172" bestFit="1" customWidth="1"/>
    <col min="521" max="525" width="20" style="172" bestFit="1" customWidth="1"/>
    <col min="526" max="526" width="22" style="172" customWidth="1"/>
    <col min="527" max="774" width="9.1796875" style="172"/>
    <col min="775" max="775" width="3" style="172" bestFit="1" customWidth="1"/>
    <col min="776" max="776" width="111.453125" style="172" bestFit="1" customWidth="1"/>
    <col min="777" max="781" width="20" style="172" bestFit="1" customWidth="1"/>
    <col min="782" max="782" width="22" style="172" customWidth="1"/>
    <col min="783" max="1030" width="9.1796875" style="172"/>
    <col min="1031" max="1031" width="3" style="172" bestFit="1" customWidth="1"/>
    <col min="1032" max="1032" width="111.453125" style="172" bestFit="1" customWidth="1"/>
    <col min="1033" max="1037" width="20" style="172" bestFit="1" customWidth="1"/>
    <col min="1038" max="1038" width="22" style="172" customWidth="1"/>
    <col min="1039" max="1286" width="9.1796875" style="172"/>
    <col min="1287" max="1287" width="3" style="172" bestFit="1" customWidth="1"/>
    <col min="1288" max="1288" width="111.453125" style="172" bestFit="1" customWidth="1"/>
    <col min="1289" max="1293" width="20" style="172" bestFit="1" customWidth="1"/>
    <col min="1294" max="1294" width="22" style="172" customWidth="1"/>
    <col min="1295" max="1542" width="9.1796875" style="172"/>
    <col min="1543" max="1543" width="3" style="172" bestFit="1" customWidth="1"/>
    <col min="1544" max="1544" width="111.453125" style="172" bestFit="1" customWidth="1"/>
    <col min="1545" max="1549" width="20" style="172" bestFit="1" customWidth="1"/>
    <col min="1550" max="1550" width="22" style="172" customWidth="1"/>
    <col min="1551" max="1798" width="9.1796875" style="172"/>
    <col min="1799" max="1799" width="3" style="172" bestFit="1" customWidth="1"/>
    <col min="1800" max="1800" width="111.453125" style="172" bestFit="1" customWidth="1"/>
    <col min="1801" max="1805" width="20" style="172" bestFit="1" customWidth="1"/>
    <col min="1806" max="1806" width="22" style="172" customWidth="1"/>
    <col min="1807" max="2054" width="9.1796875" style="172"/>
    <col min="2055" max="2055" width="3" style="172" bestFit="1" customWidth="1"/>
    <col min="2056" max="2056" width="111.453125" style="172" bestFit="1" customWidth="1"/>
    <col min="2057" max="2061" width="20" style="172" bestFit="1" customWidth="1"/>
    <col min="2062" max="2062" width="22" style="172" customWidth="1"/>
    <col min="2063" max="2310" width="9.1796875" style="172"/>
    <col min="2311" max="2311" width="3" style="172" bestFit="1" customWidth="1"/>
    <col min="2312" max="2312" width="111.453125" style="172" bestFit="1" customWidth="1"/>
    <col min="2313" max="2317" width="20" style="172" bestFit="1" customWidth="1"/>
    <col min="2318" max="2318" width="22" style="172" customWidth="1"/>
    <col min="2319" max="2566" width="9.1796875" style="172"/>
    <col min="2567" max="2567" width="3" style="172" bestFit="1" customWidth="1"/>
    <col min="2568" max="2568" width="111.453125" style="172" bestFit="1" customWidth="1"/>
    <col min="2569" max="2573" width="20" style="172" bestFit="1" customWidth="1"/>
    <col min="2574" max="2574" width="22" style="172" customWidth="1"/>
    <col min="2575" max="2822" width="9.1796875" style="172"/>
    <col min="2823" max="2823" width="3" style="172" bestFit="1" customWidth="1"/>
    <col min="2824" max="2824" width="111.453125" style="172" bestFit="1" customWidth="1"/>
    <col min="2825" max="2829" width="20" style="172" bestFit="1" customWidth="1"/>
    <col min="2830" max="2830" width="22" style="172" customWidth="1"/>
    <col min="2831" max="3078" width="9.1796875" style="172"/>
    <col min="3079" max="3079" width="3" style="172" bestFit="1" customWidth="1"/>
    <col min="3080" max="3080" width="111.453125" style="172" bestFit="1" customWidth="1"/>
    <col min="3081" max="3085" width="20" style="172" bestFit="1" customWidth="1"/>
    <col min="3086" max="3086" width="22" style="172" customWidth="1"/>
    <col min="3087" max="3334" width="9.1796875" style="172"/>
    <col min="3335" max="3335" width="3" style="172" bestFit="1" customWidth="1"/>
    <col min="3336" max="3336" width="111.453125" style="172" bestFit="1" customWidth="1"/>
    <col min="3337" max="3341" width="20" style="172" bestFit="1" customWidth="1"/>
    <col min="3342" max="3342" width="22" style="172" customWidth="1"/>
    <col min="3343" max="3590" width="9.1796875" style="172"/>
    <col min="3591" max="3591" width="3" style="172" bestFit="1" customWidth="1"/>
    <col min="3592" max="3592" width="111.453125" style="172" bestFit="1" customWidth="1"/>
    <col min="3593" max="3597" width="20" style="172" bestFit="1" customWidth="1"/>
    <col min="3598" max="3598" width="22" style="172" customWidth="1"/>
    <col min="3599" max="3846" width="9.1796875" style="172"/>
    <col min="3847" max="3847" width="3" style="172" bestFit="1" customWidth="1"/>
    <col min="3848" max="3848" width="111.453125" style="172" bestFit="1" customWidth="1"/>
    <col min="3849" max="3853" width="20" style="172" bestFit="1" customWidth="1"/>
    <col min="3854" max="3854" width="22" style="172" customWidth="1"/>
    <col min="3855" max="4102" width="9.1796875" style="172"/>
    <col min="4103" max="4103" width="3" style="172" bestFit="1" customWidth="1"/>
    <col min="4104" max="4104" width="111.453125" style="172" bestFit="1" customWidth="1"/>
    <col min="4105" max="4109" width="20" style="172" bestFit="1" customWidth="1"/>
    <col min="4110" max="4110" width="22" style="172" customWidth="1"/>
    <col min="4111" max="4358" width="9.1796875" style="172"/>
    <col min="4359" max="4359" width="3" style="172" bestFit="1" customWidth="1"/>
    <col min="4360" max="4360" width="111.453125" style="172" bestFit="1" customWidth="1"/>
    <col min="4361" max="4365" width="20" style="172" bestFit="1" customWidth="1"/>
    <col min="4366" max="4366" width="22" style="172" customWidth="1"/>
    <col min="4367" max="4614" width="9.1796875" style="172"/>
    <col min="4615" max="4615" width="3" style="172" bestFit="1" customWidth="1"/>
    <col min="4616" max="4616" width="111.453125" style="172" bestFit="1" customWidth="1"/>
    <col min="4617" max="4621" width="20" style="172" bestFit="1" customWidth="1"/>
    <col min="4622" max="4622" width="22" style="172" customWidth="1"/>
    <col min="4623" max="4870" width="9.1796875" style="172"/>
    <col min="4871" max="4871" width="3" style="172" bestFit="1" customWidth="1"/>
    <col min="4872" max="4872" width="111.453125" style="172" bestFit="1" customWidth="1"/>
    <col min="4873" max="4877" width="20" style="172" bestFit="1" customWidth="1"/>
    <col min="4878" max="4878" width="22" style="172" customWidth="1"/>
    <col min="4879" max="5126" width="9.1796875" style="172"/>
    <col min="5127" max="5127" width="3" style="172" bestFit="1" customWidth="1"/>
    <col min="5128" max="5128" width="111.453125" style="172" bestFit="1" customWidth="1"/>
    <col min="5129" max="5133" width="20" style="172" bestFit="1" customWidth="1"/>
    <col min="5134" max="5134" width="22" style="172" customWidth="1"/>
    <col min="5135" max="5382" width="9.1796875" style="172"/>
    <col min="5383" max="5383" width="3" style="172" bestFit="1" customWidth="1"/>
    <col min="5384" max="5384" width="111.453125" style="172" bestFit="1" customWidth="1"/>
    <col min="5385" max="5389" width="20" style="172" bestFit="1" customWidth="1"/>
    <col min="5390" max="5390" width="22" style="172" customWidth="1"/>
    <col min="5391" max="5638" width="9.1796875" style="172"/>
    <col min="5639" max="5639" width="3" style="172" bestFit="1" customWidth="1"/>
    <col min="5640" max="5640" width="111.453125" style="172" bestFit="1" customWidth="1"/>
    <col min="5641" max="5645" width="20" style="172" bestFit="1" customWidth="1"/>
    <col min="5646" max="5646" width="22" style="172" customWidth="1"/>
    <col min="5647" max="5894" width="9.1796875" style="172"/>
    <col min="5895" max="5895" width="3" style="172" bestFit="1" customWidth="1"/>
    <col min="5896" max="5896" width="111.453125" style="172" bestFit="1" customWidth="1"/>
    <col min="5897" max="5901" width="20" style="172" bestFit="1" customWidth="1"/>
    <col min="5902" max="5902" width="22" style="172" customWidth="1"/>
    <col min="5903" max="6150" width="9.1796875" style="172"/>
    <col min="6151" max="6151" width="3" style="172" bestFit="1" customWidth="1"/>
    <col min="6152" max="6152" width="111.453125" style="172" bestFit="1" customWidth="1"/>
    <col min="6153" max="6157" width="20" style="172" bestFit="1" customWidth="1"/>
    <col min="6158" max="6158" width="22" style="172" customWidth="1"/>
    <col min="6159" max="6406" width="9.1796875" style="172"/>
    <col min="6407" max="6407" width="3" style="172" bestFit="1" customWidth="1"/>
    <col min="6408" max="6408" width="111.453125" style="172" bestFit="1" customWidth="1"/>
    <col min="6409" max="6413" width="20" style="172" bestFit="1" customWidth="1"/>
    <col min="6414" max="6414" width="22" style="172" customWidth="1"/>
    <col min="6415" max="6662" width="9.1796875" style="172"/>
    <col min="6663" max="6663" width="3" style="172" bestFit="1" customWidth="1"/>
    <col min="6664" max="6664" width="111.453125" style="172" bestFit="1" customWidth="1"/>
    <col min="6665" max="6669" width="20" style="172" bestFit="1" customWidth="1"/>
    <col min="6670" max="6670" width="22" style="172" customWidth="1"/>
    <col min="6671" max="6918" width="9.1796875" style="172"/>
    <col min="6919" max="6919" width="3" style="172" bestFit="1" customWidth="1"/>
    <col min="6920" max="6920" width="111.453125" style="172" bestFit="1" customWidth="1"/>
    <col min="6921" max="6925" width="20" style="172" bestFit="1" customWidth="1"/>
    <col min="6926" max="6926" width="22" style="172" customWidth="1"/>
    <col min="6927" max="7174" width="9.1796875" style="172"/>
    <col min="7175" max="7175" width="3" style="172" bestFit="1" customWidth="1"/>
    <col min="7176" max="7176" width="111.453125" style="172" bestFit="1" customWidth="1"/>
    <col min="7177" max="7181" width="20" style="172" bestFit="1" customWidth="1"/>
    <col min="7182" max="7182" width="22" style="172" customWidth="1"/>
    <col min="7183" max="7430" width="9.1796875" style="172"/>
    <col min="7431" max="7431" width="3" style="172" bestFit="1" customWidth="1"/>
    <col min="7432" max="7432" width="111.453125" style="172" bestFit="1" customWidth="1"/>
    <col min="7433" max="7437" width="20" style="172" bestFit="1" customWidth="1"/>
    <col min="7438" max="7438" width="22" style="172" customWidth="1"/>
    <col min="7439" max="7686" width="9.1796875" style="172"/>
    <col min="7687" max="7687" width="3" style="172" bestFit="1" customWidth="1"/>
    <col min="7688" max="7688" width="111.453125" style="172" bestFit="1" customWidth="1"/>
    <col min="7689" max="7693" width="20" style="172" bestFit="1" customWidth="1"/>
    <col min="7694" max="7694" width="22" style="172" customWidth="1"/>
    <col min="7695" max="7942" width="9.1796875" style="172"/>
    <col min="7943" max="7943" width="3" style="172" bestFit="1" customWidth="1"/>
    <col min="7944" max="7944" width="111.453125" style="172" bestFit="1" customWidth="1"/>
    <col min="7945" max="7949" width="20" style="172" bestFit="1" customWidth="1"/>
    <col min="7950" max="7950" width="22" style="172" customWidth="1"/>
    <col min="7951" max="8198" width="9.1796875" style="172"/>
    <col min="8199" max="8199" width="3" style="172" bestFit="1" customWidth="1"/>
    <col min="8200" max="8200" width="111.453125" style="172" bestFit="1" customWidth="1"/>
    <col min="8201" max="8205" width="20" style="172" bestFit="1" customWidth="1"/>
    <col min="8206" max="8206" width="22" style="172" customWidth="1"/>
    <col min="8207" max="8454" width="9.1796875" style="172"/>
    <col min="8455" max="8455" width="3" style="172" bestFit="1" customWidth="1"/>
    <col min="8456" max="8456" width="111.453125" style="172" bestFit="1" customWidth="1"/>
    <col min="8457" max="8461" width="20" style="172" bestFit="1" customWidth="1"/>
    <col min="8462" max="8462" width="22" style="172" customWidth="1"/>
    <col min="8463" max="8710" width="9.1796875" style="172"/>
    <col min="8711" max="8711" width="3" style="172" bestFit="1" customWidth="1"/>
    <col min="8712" max="8712" width="111.453125" style="172" bestFit="1" customWidth="1"/>
    <col min="8713" max="8717" width="20" style="172" bestFit="1" customWidth="1"/>
    <col min="8718" max="8718" width="22" style="172" customWidth="1"/>
    <col min="8719" max="8966" width="9.1796875" style="172"/>
    <col min="8967" max="8967" width="3" style="172" bestFit="1" customWidth="1"/>
    <col min="8968" max="8968" width="111.453125" style="172" bestFit="1" customWidth="1"/>
    <col min="8969" max="8973" width="20" style="172" bestFit="1" customWidth="1"/>
    <col min="8974" max="8974" width="22" style="172" customWidth="1"/>
    <col min="8975" max="9222" width="9.1796875" style="172"/>
    <col min="9223" max="9223" width="3" style="172" bestFit="1" customWidth="1"/>
    <col min="9224" max="9224" width="111.453125" style="172" bestFit="1" customWidth="1"/>
    <col min="9225" max="9229" width="20" style="172" bestFit="1" customWidth="1"/>
    <col min="9230" max="9230" width="22" style="172" customWidth="1"/>
    <col min="9231" max="9478" width="9.1796875" style="172"/>
    <col min="9479" max="9479" width="3" style="172" bestFit="1" customWidth="1"/>
    <col min="9480" max="9480" width="111.453125" style="172" bestFit="1" customWidth="1"/>
    <col min="9481" max="9485" width="20" style="172" bestFit="1" customWidth="1"/>
    <col min="9486" max="9486" width="22" style="172" customWidth="1"/>
    <col min="9487" max="9734" width="9.1796875" style="172"/>
    <col min="9735" max="9735" width="3" style="172" bestFit="1" customWidth="1"/>
    <col min="9736" max="9736" width="111.453125" style="172" bestFit="1" customWidth="1"/>
    <col min="9737" max="9741" width="20" style="172" bestFit="1" customWidth="1"/>
    <col min="9742" max="9742" width="22" style="172" customWidth="1"/>
    <col min="9743" max="9990" width="9.1796875" style="172"/>
    <col min="9991" max="9991" width="3" style="172" bestFit="1" customWidth="1"/>
    <col min="9992" max="9992" width="111.453125" style="172" bestFit="1" customWidth="1"/>
    <col min="9993" max="9997" width="20" style="172" bestFit="1" customWidth="1"/>
    <col min="9998" max="9998" width="22" style="172" customWidth="1"/>
    <col min="9999" max="10246" width="9.1796875" style="172"/>
    <col min="10247" max="10247" width="3" style="172" bestFit="1" customWidth="1"/>
    <col min="10248" max="10248" width="111.453125" style="172" bestFit="1" customWidth="1"/>
    <col min="10249" max="10253" width="20" style="172" bestFit="1" customWidth="1"/>
    <col min="10254" max="10254" width="22" style="172" customWidth="1"/>
    <col min="10255" max="10502" width="9.1796875" style="172"/>
    <col min="10503" max="10503" width="3" style="172" bestFit="1" customWidth="1"/>
    <col min="10504" max="10504" width="111.453125" style="172" bestFit="1" customWidth="1"/>
    <col min="10505" max="10509" width="20" style="172" bestFit="1" customWidth="1"/>
    <col min="10510" max="10510" width="22" style="172" customWidth="1"/>
    <col min="10511" max="10758" width="9.1796875" style="172"/>
    <col min="10759" max="10759" width="3" style="172" bestFit="1" customWidth="1"/>
    <col min="10760" max="10760" width="111.453125" style="172" bestFit="1" customWidth="1"/>
    <col min="10761" max="10765" width="20" style="172" bestFit="1" customWidth="1"/>
    <col min="10766" max="10766" width="22" style="172" customWidth="1"/>
    <col min="10767" max="11014" width="9.1796875" style="172"/>
    <col min="11015" max="11015" width="3" style="172" bestFit="1" customWidth="1"/>
    <col min="11016" max="11016" width="111.453125" style="172" bestFit="1" customWidth="1"/>
    <col min="11017" max="11021" width="20" style="172" bestFit="1" customWidth="1"/>
    <col min="11022" max="11022" width="22" style="172" customWidth="1"/>
    <col min="11023" max="11270" width="9.1796875" style="172"/>
    <col min="11271" max="11271" width="3" style="172" bestFit="1" customWidth="1"/>
    <col min="11272" max="11272" width="111.453125" style="172" bestFit="1" customWidth="1"/>
    <col min="11273" max="11277" width="20" style="172" bestFit="1" customWidth="1"/>
    <col min="11278" max="11278" width="22" style="172" customWidth="1"/>
    <col min="11279" max="11526" width="9.1796875" style="172"/>
    <col min="11527" max="11527" width="3" style="172" bestFit="1" customWidth="1"/>
    <col min="11528" max="11528" width="111.453125" style="172" bestFit="1" customWidth="1"/>
    <col min="11529" max="11533" width="20" style="172" bestFit="1" customWidth="1"/>
    <col min="11534" max="11534" width="22" style="172" customWidth="1"/>
    <col min="11535" max="11782" width="9.1796875" style="172"/>
    <col min="11783" max="11783" width="3" style="172" bestFit="1" customWidth="1"/>
    <col min="11784" max="11784" width="111.453125" style="172" bestFit="1" customWidth="1"/>
    <col min="11785" max="11789" width="20" style="172" bestFit="1" customWidth="1"/>
    <col min="11790" max="11790" width="22" style="172" customWidth="1"/>
    <col min="11791" max="12038" width="9.1796875" style="172"/>
    <col min="12039" max="12039" width="3" style="172" bestFit="1" customWidth="1"/>
    <col min="12040" max="12040" width="111.453125" style="172" bestFit="1" customWidth="1"/>
    <col min="12041" max="12045" width="20" style="172" bestFit="1" customWidth="1"/>
    <col min="12046" max="12046" width="22" style="172" customWidth="1"/>
    <col min="12047" max="12294" width="9.1796875" style="172"/>
    <col min="12295" max="12295" width="3" style="172" bestFit="1" customWidth="1"/>
    <col min="12296" max="12296" width="111.453125" style="172" bestFit="1" customWidth="1"/>
    <col min="12297" max="12301" width="20" style="172" bestFit="1" customWidth="1"/>
    <col min="12302" max="12302" width="22" style="172" customWidth="1"/>
    <col min="12303" max="12550" width="9.1796875" style="172"/>
    <col min="12551" max="12551" width="3" style="172" bestFit="1" customWidth="1"/>
    <col min="12552" max="12552" width="111.453125" style="172" bestFit="1" customWidth="1"/>
    <col min="12553" max="12557" width="20" style="172" bestFit="1" customWidth="1"/>
    <col min="12558" max="12558" width="22" style="172" customWidth="1"/>
    <col min="12559" max="12806" width="9.1796875" style="172"/>
    <col min="12807" max="12807" width="3" style="172" bestFit="1" customWidth="1"/>
    <col min="12808" max="12808" width="111.453125" style="172" bestFit="1" customWidth="1"/>
    <col min="12809" max="12813" width="20" style="172" bestFit="1" customWidth="1"/>
    <col min="12814" max="12814" width="22" style="172" customWidth="1"/>
    <col min="12815" max="13062" width="9.1796875" style="172"/>
    <col min="13063" max="13063" width="3" style="172" bestFit="1" customWidth="1"/>
    <col min="13064" max="13064" width="111.453125" style="172" bestFit="1" customWidth="1"/>
    <col min="13065" max="13069" width="20" style="172" bestFit="1" customWidth="1"/>
    <col min="13070" max="13070" width="22" style="172" customWidth="1"/>
    <col min="13071" max="13318" width="9.1796875" style="172"/>
    <col min="13319" max="13319" width="3" style="172" bestFit="1" customWidth="1"/>
    <col min="13320" max="13320" width="111.453125" style="172" bestFit="1" customWidth="1"/>
    <col min="13321" max="13325" width="20" style="172" bestFit="1" customWidth="1"/>
    <col min="13326" max="13326" width="22" style="172" customWidth="1"/>
    <col min="13327" max="13574" width="9.1796875" style="172"/>
    <col min="13575" max="13575" width="3" style="172" bestFit="1" customWidth="1"/>
    <col min="13576" max="13576" width="111.453125" style="172" bestFit="1" customWidth="1"/>
    <col min="13577" max="13581" width="20" style="172" bestFit="1" customWidth="1"/>
    <col min="13582" max="13582" width="22" style="172" customWidth="1"/>
    <col min="13583" max="13830" width="9.1796875" style="172"/>
    <col min="13831" max="13831" width="3" style="172" bestFit="1" customWidth="1"/>
    <col min="13832" max="13832" width="111.453125" style="172" bestFit="1" customWidth="1"/>
    <col min="13833" max="13837" width="20" style="172" bestFit="1" customWidth="1"/>
    <col min="13838" max="13838" width="22" style="172" customWidth="1"/>
    <col min="13839" max="14086" width="9.1796875" style="172"/>
    <col min="14087" max="14087" width="3" style="172" bestFit="1" customWidth="1"/>
    <col min="14088" max="14088" width="111.453125" style="172" bestFit="1" customWidth="1"/>
    <col min="14089" max="14093" width="20" style="172" bestFit="1" customWidth="1"/>
    <col min="14094" max="14094" width="22" style="172" customWidth="1"/>
    <col min="14095" max="14342" width="9.1796875" style="172"/>
    <col min="14343" max="14343" width="3" style="172" bestFit="1" customWidth="1"/>
    <col min="14344" max="14344" width="111.453125" style="172" bestFit="1" customWidth="1"/>
    <col min="14345" max="14349" width="20" style="172" bestFit="1" customWidth="1"/>
    <col min="14350" max="14350" width="22" style="172" customWidth="1"/>
    <col min="14351" max="14598" width="9.1796875" style="172"/>
    <col min="14599" max="14599" width="3" style="172" bestFit="1" customWidth="1"/>
    <col min="14600" max="14600" width="111.453125" style="172" bestFit="1" customWidth="1"/>
    <col min="14601" max="14605" width="20" style="172" bestFit="1" customWidth="1"/>
    <col min="14606" max="14606" width="22" style="172" customWidth="1"/>
    <col min="14607" max="14854" width="9.1796875" style="172"/>
    <col min="14855" max="14855" width="3" style="172" bestFit="1" customWidth="1"/>
    <col min="14856" max="14856" width="111.453125" style="172" bestFit="1" customWidth="1"/>
    <col min="14857" max="14861" width="20" style="172" bestFit="1" customWidth="1"/>
    <col min="14862" max="14862" width="22" style="172" customWidth="1"/>
    <col min="14863" max="15110" width="9.1796875" style="172"/>
    <col min="15111" max="15111" width="3" style="172" bestFit="1" customWidth="1"/>
    <col min="15112" max="15112" width="111.453125" style="172" bestFit="1" customWidth="1"/>
    <col min="15113" max="15117" width="20" style="172" bestFit="1" customWidth="1"/>
    <col min="15118" max="15118" width="22" style="172" customWidth="1"/>
    <col min="15119" max="15366" width="9.1796875" style="172"/>
    <col min="15367" max="15367" width="3" style="172" bestFit="1" customWidth="1"/>
    <col min="15368" max="15368" width="111.453125" style="172" bestFit="1" customWidth="1"/>
    <col min="15369" max="15373" width="20" style="172" bestFit="1" customWidth="1"/>
    <col min="15374" max="15374" width="22" style="172" customWidth="1"/>
    <col min="15375" max="15622" width="9.1796875" style="172"/>
    <col min="15623" max="15623" width="3" style="172" bestFit="1" customWidth="1"/>
    <col min="15624" max="15624" width="111.453125" style="172" bestFit="1" customWidth="1"/>
    <col min="15625" max="15629" width="20" style="172" bestFit="1" customWidth="1"/>
    <col min="15630" max="15630" width="22" style="172" customWidth="1"/>
    <col min="15631" max="15878" width="9.1796875" style="172"/>
    <col min="15879" max="15879" width="3" style="172" bestFit="1" customWidth="1"/>
    <col min="15880" max="15880" width="111.453125" style="172" bestFit="1" customWidth="1"/>
    <col min="15881" max="15885" width="20" style="172" bestFit="1" customWidth="1"/>
    <col min="15886" max="15886" width="22" style="172" customWidth="1"/>
    <col min="15887" max="16134" width="9.1796875" style="172"/>
    <col min="16135" max="16135" width="3" style="172" bestFit="1" customWidth="1"/>
    <col min="16136" max="16136" width="111.453125" style="172" bestFit="1" customWidth="1"/>
    <col min="16137" max="16141" width="20" style="172" bestFit="1" customWidth="1"/>
    <col min="16142" max="16142" width="22" style="172" customWidth="1"/>
    <col min="16143" max="16384" width="9.1796875" style="172"/>
  </cols>
  <sheetData>
    <row r="1" spans="1:14" ht="12.5" x14ac:dyDescent="0.25">
      <c r="A1" s="314" t="s">
        <v>629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16" thickBot="1" x14ac:dyDescent="0.3">
      <c r="A2" s="315" t="s">
        <v>587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ht="15.5" x14ac:dyDescent="0.25">
      <c r="A3" s="274"/>
      <c r="B3" s="317" t="s">
        <v>2</v>
      </c>
      <c r="C3" s="319" t="s">
        <v>101</v>
      </c>
      <c r="D3" s="321"/>
      <c r="E3" s="320"/>
      <c r="F3" s="319" t="s">
        <v>264</v>
      </c>
      <c r="G3" s="320"/>
      <c r="H3" s="319" t="s">
        <v>265</v>
      </c>
      <c r="I3" s="320"/>
      <c r="J3" s="319" t="s">
        <v>266</v>
      </c>
      <c r="K3" s="320"/>
      <c r="L3" s="319" t="s">
        <v>267</v>
      </c>
      <c r="M3" s="320"/>
      <c r="N3" s="269" t="s">
        <v>98</v>
      </c>
    </row>
    <row r="4" spans="1:14" ht="31" x14ac:dyDescent="0.25">
      <c r="A4" s="260" t="s">
        <v>268</v>
      </c>
      <c r="B4" s="318"/>
      <c r="C4" s="260" t="s">
        <v>95</v>
      </c>
      <c r="D4" s="173" t="s">
        <v>96</v>
      </c>
      <c r="E4" s="261" t="s">
        <v>677</v>
      </c>
      <c r="F4" s="260" t="s">
        <v>95</v>
      </c>
      <c r="G4" s="261" t="s">
        <v>96</v>
      </c>
      <c r="H4" s="260" t="s">
        <v>95</v>
      </c>
      <c r="I4" s="261" t="s">
        <v>96</v>
      </c>
      <c r="J4" s="260" t="s">
        <v>95</v>
      </c>
      <c r="K4" s="261" t="s">
        <v>96</v>
      </c>
      <c r="L4" s="260" t="s">
        <v>95</v>
      </c>
      <c r="M4" s="261" t="s">
        <v>96</v>
      </c>
      <c r="N4" s="270" t="s">
        <v>269</v>
      </c>
    </row>
    <row r="5" spans="1:14" x14ac:dyDescent="0.25">
      <c r="A5" s="275" t="s">
        <v>270</v>
      </c>
      <c r="B5" s="276" t="s">
        <v>459</v>
      </c>
      <c r="C5" s="262">
        <v>233525152</v>
      </c>
      <c r="D5" s="174">
        <v>0</v>
      </c>
      <c r="E5" s="263">
        <v>0</v>
      </c>
      <c r="F5" s="262">
        <v>0</v>
      </c>
      <c r="G5" s="263"/>
      <c r="H5" s="262">
        <v>0</v>
      </c>
      <c r="I5" s="263"/>
      <c r="J5" s="262">
        <v>0</v>
      </c>
      <c r="K5" s="263"/>
      <c r="L5" s="262">
        <v>0</v>
      </c>
      <c r="M5" s="263"/>
      <c r="N5" s="271">
        <f>SUM(C5:L5)</f>
        <v>233525152</v>
      </c>
    </row>
    <row r="6" spans="1:14" x14ac:dyDescent="0.25">
      <c r="A6" s="275" t="s">
        <v>272</v>
      </c>
      <c r="B6" s="276" t="s">
        <v>460</v>
      </c>
      <c r="C6" s="262">
        <v>260469033</v>
      </c>
      <c r="D6" s="174">
        <v>0</v>
      </c>
      <c r="E6" s="263">
        <v>0</v>
      </c>
      <c r="F6" s="262">
        <v>0</v>
      </c>
      <c r="G6" s="263"/>
      <c r="H6" s="262">
        <v>0</v>
      </c>
      <c r="I6" s="263"/>
      <c r="J6" s="262">
        <v>0</v>
      </c>
      <c r="K6" s="263"/>
      <c r="L6" s="262">
        <v>0</v>
      </c>
      <c r="M6" s="263"/>
      <c r="N6" s="271">
        <f t="shared" ref="N6:N69" si="0">SUM(C6:L6)</f>
        <v>260469033</v>
      </c>
    </row>
    <row r="7" spans="1:14" x14ac:dyDescent="0.25">
      <c r="A7" s="275" t="s">
        <v>274</v>
      </c>
      <c r="B7" s="276" t="s">
        <v>461</v>
      </c>
      <c r="C7" s="262">
        <v>262932831</v>
      </c>
      <c r="D7" s="174">
        <v>0</v>
      </c>
      <c r="E7" s="263">
        <v>0</v>
      </c>
      <c r="F7" s="262">
        <v>0</v>
      </c>
      <c r="G7" s="263"/>
      <c r="H7" s="262">
        <v>0</v>
      </c>
      <c r="I7" s="263"/>
      <c r="J7" s="262">
        <v>0</v>
      </c>
      <c r="K7" s="263"/>
      <c r="L7" s="262">
        <v>0</v>
      </c>
      <c r="M7" s="263"/>
      <c r="N7" s="271">
        <f t="shared" si="0"/>
        <v>262932831</v>
      </c>
    </row>
    <row r="8" spans="1:14" x14ac:dyDescent="0.25">
      <c r="A8" s="275" t="s">
        <v>276</v>
      </c>
      <c r="B8" s="276" t="s">
        <v>462</v>
      </c>
      <c r="C8" s="262">
        <v>19366050</v>
      </c>
      <c r="D8" s="174">
        <v>0</v>
      </c>
      <c r="E8" s="263">
        <v>0</v>
      </c>
      <c r="F8" s="262">
        <v>0</v>
      </c>
      <c r="G8" s="263"/>
      <c r="H8" s="262">
        <v>0</v>
      </c>
      <c r="I8" s="263"/>
      <c r="J8" s="262">
        <v>0</v>
      </c>
      <c r="K8" s="263"/>
      <c r="L8" s="262">
        <v>0</v>
      </c>
      <c r="M8" s="263"/>
      <c r="N8" s="271">
        <f t="shared" si="0"/>
        <v>19366050</v>
      </c>
    </row>
    <row r="9" spans="1:14" x14ac:dyDescent="0.25">
      <c r="A9" s="275" t="s">
        <v>278</v>
      </c>
      <c r="B9" s="276" t="s">
        <v>463</v>
      </c>
      <c r="C9" s="262">
        <v>1356000</v>
      </c>
      <c r="D9" s="174">
        <v>0</v>
      </c>
      <c r="E9" s="263">
        <v>25998000</v>
      </c>
      <c r="F9" s="262">
        <v>0</v>
      </c>
      <c r="G9" s="263"/>
      <c r="H9" s="262">
        <v>0</v>
      </c>
      <c r="I9" s="263"/>
      <c r="J9" s="262">
        <v>0</v>
      </c>
      <c r="K9" s="263"/>
      <c r="L9" s="262">
        <v>0</v>
      </c>
      <c r="M9" s="263"/>
      <c r="N9" s="271">
        <f t="shared" si="0"/>
        <v>27354000</v>
      </c>
    </row>
    <row r="10" spans="1:14" x14ac:dyDescent="0.25">
      <c r="A10" s="275" t="s">
        <v>280</v>
      </c>
      <c r="B10" s="276" t="s">
        <v>464</v>
      </c>
      <c r="C10" s="262">
        <v>0</v>
      </c>
      <c r="D10" s="174">
        <v>0</v>
      </c>
      <c r="E10" s="263">
        <v>0</v>
      </c>
      <c r="F10" s="262">
        <v>0</v>
      </c>
      <c r="G10" s="263"/>
      <c r="H10" s="262">
        <v>0</v>
      </c>
      <c r="I10" s="263"/>
      <c r="J10" s="262">
        <v>0</v>
      </c>
      <c r="K10" s="263"/>
      <c r="L10" s="262">
        <v>0</v>
      </c>
      <c r="M10" s="263"/>
      <c r="N10" s="271">
        <f t="shared" si="0"/>
        <v>0</v>
      </c>
    </row>
    <row r="11" spans="1:14" s="205" customFormat="1" x14ac:dyDescent="0.3">
      <c r="A11" s="277" t="s">
        <v>282</v>
      </c>
      <c r="B11" s="278" t="s">
        <v>465</v>
      </c>
      <c r="C11" s="264">
        <f>SUM(C5:C10)</f>
        <v>777649066</v>
      </c>
      <c r="D11" s="175">
        <f t="shared" ref="D11:M11" si="1">SUM(D5:D10)</f>
        <v>0</v>
      </c>
      <c r="E11" s="265">
        <f t="shared" si="1"/>
        <v>25998000</v>
      </c>
      <c r="F11" s="264">
        <f t="shared" si="1"/>
        <v>0</v>
      </c>
      <c r="G11" s="265">
        <f t="shared" si="1"/>
        <v>0</v>
      </c>
      <c r="H11" s="264">
        <f t="shared" si="1"/>
        <v>0</v>
      </c>
      <c r="I11" s="265">
        <f t="shared" si="1"/>
        <v>0</v>
      </c>
      <c r="J11" s="264">
        <f t="shared" si="1"/>
        <v>0</v>
      </c>
      <c r="K11" s="265">
        <f t="shared" si="1"/>
        <v>0</v>
      </c>
      <c r="L11" s="264">
        <f t="shared" si="1"/>
        <v>0</v>
      </c>
      <c r="M11" s="265">
        <f t="shared" si="1"/>
        <v>0</v>
      </c>
      <c r="N11" s="272">
        <f t="shared" si="0"/>
        <v>803647066</v>
      </c>
    </row>
    <row r="12" spans="1:14" x14ac:dyDescent="0.25">
      <c r="A12" s="275" t="s">
        <v>284</v>
      </c>
      <c r="B12" s="276" t="s">
        <v>466</v>
      </c>
      <c r="C12" s="262">
        <v>0</v>
      </c>
      <c r="D12" s="174">
        <v>0</v>
      </c>
      <c r="E12" s="263">
        <v>0</v>
      </c>
      <c r="F12" s="262">
        <v>0</v>
      </c>
      <c r="G12" s="263"/>
      <c r="H12" s="262">
        <v>0</v>
      </c>
      <c r="I12" s="263"/>
      <c r="J12" s="262">
        <v>0</v>
      </c>
      <c r="K12" s="263"/>
      <c r="L12" s="262">
        <v>0</v>
      </c>
      <c r="M12" s="263"/>
      <c r="N12" s="271">
        <f t="shared" si="0"/>
        <v>0</v>
      </c>
    </row>
    <row r="13" spans="1:14" x14ac:dyDescent="0.25">
      <c r="A13" s="275" t="s">
        <v>286</v>
      </c>
      <c r="B13" s="276" t="s">
        <v>467</v>
      </c>
      <c r="C13" s="262">
        <v>0</v>
      </c>
      <c r="D13" s="174">
        <v>0</v>
      </c>
      <c r="E13" s="263">
        <v>0</v>
      </c>
      <c r="F13" s="262">
        <v>0</v>
      </c>
      <c r="G13" s="263"/>
      <c r="H13" s="262">
        <v>0</v>
      </c>
      <c r="I13" s="263"/>
      <c r="J13" s="262">
        <v>0</v>
      </c>
      <c r="K13" s="263"/>
      <c r="L13" s="262">
        <v>0</v>
      </c>
      <c r="M13" s="263"/>
      <c r="N13" s="271">
        <f t="shared" si="0"/>
        <v>0</v>
      </c>
    </row>
    <row r="14" spans="1:14" x14ac:dyDescent="0.25">
      <c r="A14" s="275" t="s">
        <v>244</v>
      </c>
      <c r="B14" s="276" t="s">
        <v>468</v>
      </c>
      <c r="C14" s="262">
        <v>0</v>
      </c>
      <c r="D14" s="174">
        <v>0</v>
      </c>
      <c r="E14" s="263">
        <v>0</v>
      </c>
      <c r="F14" s="262">
        <v>0</v>
      </c>
      <c r="G14" s="263"/>
      <c r="H14" s="262">
        <v>0</v>
      </c>
      <c r="I14" s="263"/>
      <c r="J14" s="262">
        <v>0</v>
      </c>
      <c r="K14" s="263"/>
      <c r="L14" s="262">
        <v>0</v>
      </c>
      <c r="M14" s="263"/>
      <c r="N14" s="271">
        <f t="shared" si="0"/>
        <v>0</v>
      </c>
    </row>
    <row r="15" spans="1:14" x14ac:dyDescent="0.25">
      <c r="A15" s="275" t="s">
        <v>289</v>
      </c>
      <c r="B15" s="276" t="s">
        <v>469</v>
      </c>
      <c r="C15" s="262">
        <v>0</v>
      </c>
      <c r="D15" s="174">
        <v>0</v>
      </c>
      <c r="E15" s="263">
        <v>0</v>
      </c>
      <c r="F15" s="262">
        <v>0</v>
      </c>
      <c r="G15" s="263"/>
      <c r="H15" s="262">
        <v>0</v>
      </c>
      <c r="I15" s="263"/>
      <c r="J15" s="262">
        <v>0</v>
      </c>
      <c r="K15" s="263"/>
      <c r="L15" s="262">
        <v>0</v>
      </c>
      <c r="M15" s="263"/>
      <c r="N15" s="271">
        <f t="shared" si="0"/>
        <v>0</v>
      </c>
    </row>
    <row r="16" spans="1:14" x14ac:dyDescent="0.25">
      <c r="A16" s="275" t="s">
        <v>291</v>
      </c>
      <c r="B16" s="276" t="s">
        <v>470</v>
      </c>
      <c r="C16" s="262">
        <v>0</v>
      </c>
      <c r="D16" s="174">
        <v>8796502</v>
      </c>
      <c r="E16" s="263">
        <v>0</v>
      </c>
      <c r="F16" s="262">
        <v>0</v>
      </c>
      <c r="G16" s="263"/>
      <c r="H16" s="262">
        <v>0</v>
      </c>
      <c r="I16" s="263"/>
      <c r="J16" s="262">
        <v>0</v>
      </c>
      <c r="K16" s="263"/>
      <c r="L16" s="262">
        <v>0</v>
      </c>
      <c r="M16" s="263"/>
      <c r="N16" s="271">
        <f t="shared" si="0"/>
        <v>8796502</v>
      </c>
    </row>
    <row r="17" spans="1:14" s="205" customFormat="1" x14ac:dyDescent="0.3">
      <c r="A17" s="277" t="s">
        <v>293</v>
      </c>
      <c r="B17" s="278" t="s">
        <v>471</v>
      </c>
      <c r="C17" s="264">
        <f>SUM(C11:C16)</f>
        <v>777649066</v>
      </c>
      <c r="D17" s="175">
        <f t="shared" ref="D17:M17" si="2">SUM(D11:D16)</f>
        <v>8796502</v>
      </c>
      <c r="E17" s="265">
        <f t="shared" si="2"/>
        <v>25998000</v>
      </c>
      <c r="F17" s="264">
        <f t="shared" si="2"/>
        <v>0</v>
      </c>
      <c r="G17" s="265">
        <f t="shared" si="2"/>
        <v>0</v>
      </c>
      <c r="H17" s="264">
        <f t="shared" si="2"/>
        <v>0</v>
      </c>
      <c r="I17" s="265">
        <f t="shared" si="2"/>
        <v>0</v>
      </c>
      <c r="J17" s="264">
        <f t="shared" si="2"/>
        <v>0</v>
      </c>
      <c r="K17" s="265">
        <f t="shared" si="2"/>
        <v>0</v>
      </c>
      <c r="L17" s="264">
        <f t="shared" si="2"/>
        <v>0</v>
      </c>
      <c r="M17" s="265">
        <f t="shared" si="2"/>
        <v>0</v>
      </c>
      <c r="N17" s="272">
        <f t="shared" si="0"/>
        <v>812443568</v>
      </c>
    </row>
    <row r="18" spans="1:14" x14ac:dyDescent="0.25">
      <c r="A18" s="275" t="s">
        <v>295</v>
      </c>
      <c r="B18" s="276" t="s">
        <v>472</v>
      </c>
      <c r="C18" s="262">
        <v>0</v>
      </c>
      <c r="D18" s="174">
        <v>0</v>
      </c>
      <c r="E18" s="263"/>
      <c r="F18" s="262">
        <v>0</v>
      </c>
      <c r="G18" s="263"/>
      <c r="H18" s="262">
        <v>0</v>
      </c>
      <c r="I18" s="263"/>
      <c r="J18" s="262">
        <v>0</v>
      </c>
      <c r="K18" s="263"/>
      <c r="L18" s="262">
        <v>0</v>
      </c>
      <c r="M18" s="263"/>
      <c r="N18" s="271">
        <f t="shared" si="0"/>
        <v>0</v>
      </c>
    </row>
    <row r="19" spans="1:14" x14ac:dyDescent="0.25">
      <c r="A19" s="275" t="s">
        <v>297</v>
      </c>
      <c r="B19" s="276" t="s">
        <v>473</v>
      </c>
      <c r="C19" s="262">
        <v>0</v>
      </c>
      <c r="D19" s="174"/>
      <c r="E19" s="263"/>
      <c r="F19" s="262">
        <v>0</v>
      </c>
      <c r="G19" s="263"/>
      <c r="H19" s="262">
        <v>0</v>
      </c>
      <c r="I19" s="263"/>
      <c r="J19" s="262">
        <v>0</v>
      </c>
      <c r="K19" s="263"/>
      <c r="L19" s="262">
        <v>0</v>
      </c>
      <c r="M19" s="263"/>
      <c r="N19" s="271">
        <f t="shared" si="0"/>
        <v>0</v>
      </c>
    </row>
    <row r="20" spans="1:14" x14ac:dyDescent="0.25">
      <c r="A20" s="275" t="s">
        <v>299</v>
      </c>
      <c r="B20" s="276" t="s">
        <v>474</v>
      </c>
      <c r="C20" s="262">
        <v>0</v>
      </c>
      <c r="D20" s="174"/>
      <c r="E20" s="263"/>
      <c r="F20" s="262">
        <v>0</v>
      </c>
      <c r="G20" s="263"/>
      <c r="H20" s="262">
        <v>0</v>
      </c>
      <c r="I20" s="263"/>
      <c r="J20" s="262">
        <v>0</v>
      </c>
      <c r="K20" s="263"/>
      <c r="L20" s="262">
        <v>0</v>
      </c>
      <c r="M20" s="263"/>
      <c r="N20" s="271">
        <f t="shared" si="0"/>
        <v>0</v>
      </c>
    </row>
    <row r="21" spans="1:14" x14ac:dyDescent="0.25">
      <c r="A21" s="275" t="s">
        <v>301</v>
      </c>
      <c r="B21" s="276" t="s">
        <v>475</v>
      </c>
      <c r="C21" s="262">
        <v>0</v>
      </c>
      <c r="D21" s="174"/>
      <c r="E21" s="263"/>
      <c r="F21" s="262">
        <v>0</v>
      </c>
      <c r="G21" s="263"/>
      <c r="H21" s="262">
        <v>0</v>
      </c>
      <c r="I21" s="263"/>
      <c r="J21" s="262">
        <v>0</v>
      </c>
      <c r="K21" s="263"/>
      <c r="L21" s="262">
        <v>0</v>
      </c>
      <c r="M21" s="263"/>
      <c r="N21" s="271">
        <f t="shared" si="0"/>
        <v>0</v>
      </c>
    </row>
    <row r="22" spans="1:14" x14ac:dyDescent="0.25">
      <c r="A22" s="275" t="s">
        <v>303</v>
      </c>
      <c r="B22" s="276" t="s">
        <v>476</v>
      </c>
      <c r="C22" s="262">
        <v>0</v>
      </c>
      <c r="D22" s="174">
        <f>28312633+130529666+22628767+178455000+1</f>
        <v>359926067</v>
      </c>
      <c r="E22" s="263"/>
      <c r="F22" s="262">
        <v>0</v>
      </c>
      <c r="G22" s="263"/>
      <c r="H22" s="262">
        <v>0</v>
      </c>
      <c r="I22" s="263"/>
      <c r="J22" s="262">
        <v>0</v>
      </c>
      <c r="K22" s="263"/>
      <c r="L22" s="262">
        <v>0</v>
      </c>
      <c r="M22" s="263"/>
      <c r="N22" s="271">
        <f t="shared" si="0"/>
        <v>359926067</v>
      </c>
    </row>
    <row r="23" spans="1:14" s="205" customFormat="1" x14ac:dyDescent="0.3">
      <c r="A23" s="277" t="s">
        <v>305</v>
      </c>
      <c r="B23" s="278" t="s">
        <v>477</v>
      </c>
      <c r="C23" s="264">
        <f>SUM(C18:C22)</f>
        <v>0</v>
      </c>
      <c r="D23" s="175">
        <f t="shared" ref="D23:M23" si="3">SUM(D18:D22)</f>
        <v>359926067</v>
      </c>
      <c r="E23" s="265">
        <f t="shared" si="3"/>
        <v>0</v>
      </c>
      <c r="F23" s="264">
        <f t="shared" si="3"/>
        <v>0</v>
      </c>
      <c r="G23" s="265">
        <f t="shared" si="3"/>
        <v>0</v>
      </c>
      <c r="H23" s="264">
        <f t="shared" si="3"/>
        <v>0</v>
      </c>
      <c r="I23" s="265">
        <f t="shared" si="3"/>
        <v>0</v>
      </c>
      <c r="J23" s="264">
        <f t="shared" si="3"/>
        <v>0</v>
      </c>
      <c r="K23" s="265">
        <f t="shared" si="3"/>
        <v>0</v>
      </c>
      <c r="L23" s="264">
        <f t="shared" si="3"/>
        <v>0</v>
      </c>
      <c r="M23" s="265">
        <f t="shared" si="3"/>
        <v>0</v>
      </c>
      <c r="N23" s="272">
        <f t="shared" si="0"/>
        <v>359926067</v>
      </c>
    </row>
    <row r="24" spans="1:14" x14ac:dyDescent="0.25">
      <c r="A24" s="275" t="s">
        <v>307</v>
      </c>
      <c r="B24" s="276" t="s">
        <v>478</v>
      </c>
      <c r="C24" s="262">
        <v>0</v>
      </c>
      <c r="D24" s="174"/>
      <c r="E24" s="263"/>
      <c r="F24" s="262">
        <v>0</v>
      </c>
      <c r="G24" s="263"/>
      <c r="H24" s="262">
        <v>0</v>
      </c>
      <c r="I24" s="263"/>
      <c r="J24" s="262">
        <v>0</v>
      </c>
      <c r="K24" s="263"/>
      <c r="L24" s="262">
        <v>0</v>
      </c>
      <c r="M24" s="263"/>
      <c r="N24" s="271">
        <f t="shared" si="0"/>
        <v>0</v>
      </c>
    </row>
    <row r="25" spans="1:14" x14ac:dyDescent="0.25">
      <c r="A25" s="275" t="s">
        <v>309</v>
      </c>
      <c r="B25" s="276" t="s">
        <v>479</v>
      </c>
      <c r="C25" s="262">
        <v>0</v>
      </c>
      <c r="D25" s="174"/>
      <c r="E25" s="263"/>
      <c r="F25" s="262">
        <v>0</v>
      </c>
      <c r="G25" s="263"/>
      <c r="H25" s="262">
        <v>0</v>
      </c>
      <c r="I25" s="263"/>
      <c r="J25" s="262">
        <v>0</v>
      </c>
      <c r="K25" s="263"/>
      <c r="L25" s="262">
        <v>0</v>
      </c>
      <c r="M25" s="263"/>
      <c r="N25" s="271">
        <f t="shared" si="0"/>
        <v>0</v>
      </c>
    </row>
    <row r="26" spans="1:14" s="205" customFormat="1" x14ac:dyDescent="0.3">
      <c r="A26" s="277" t="s">
        <v>311</v>
      </c>
      <c r="B26" s="278" t="s">
        <v>480</v>
      </c>
      <c r="C26" s="264">
        <f>SUM(C24:C25)</f>
        <v>0</v>
      </c>
      <c r="D26" s="175">
        <f t="shared" ref="D26:M26" si="4">SUM(D24:D25)</f>
        <v>0</v>
      </c>
      <c r="E26" s="265">
        <f t="shared" si="4"/>
        <v>0</v>
      </c>
      <c r="F26" s="264">
        <f t="shared" si="4"/>
        <v>0</v>
      </c>
      <c r="G26" s="265">
        <f t="shared" si="4"/>
        <v>0</v>
      </c>
      <c r="H26" s="264">
        <f t="shared" si="4"/>
        <v>0</v>
      </c>
      <c r="I26" s="265">
        <f t="shared" si="4"/>
        <v>0</v>
      </c>
      <c r="J26" s="264">
        <f t="shared" si="4"/>
        <v>0</v>
      </c>
      <c r="K26" s="265">
        <f t="shared" si="4"/>
        <v>0</v>
      </c>
      <c r="L26" s="264">
        <f t="shared" si="4"/>
        <v>0</v>
      </c>
      <c r="M26" s="265">
        <f t="shared" si="4"/>
        <v>0</v>
      </c>
      <c r="N26" s="272">
        <f t="shared" si="0"/>
        <v>0</v>
      </c>
    </row>
    <row r="27" spans="1:14" x14ac:dyDescent="0.25">
      <c r="A27" s="275" t="s">
        <v>313</v>
      </c>
      <c r="B27" s="276" t="s">
        <v>481</v>
      </c>
      <c r="C27" s="262">
        <v>0</v>
      </c>
      <c r="D27" s="174"/>
      <c r="E27" s="263"/>
      <c r="F27" s="262">
        <v>0</v>
      </c>
      <c r="G27" s="263"/>
      <c r="H27" s="262">
        <v>0</v>
      </c>
      <c r="I27" s="263"/>
      <c r="J27" s="262">
        <v>0</v>
      </c>
      <c r="K27" s="263"/>
      <c r="L27" s="262">
        <v>0</v>
      </c>
      <c r="M27" s="263"/>
      <c r="N27" s="271">
        <f t="shared" si="0"/>
        <v>0</v>
      </c>
    </row>
    <row r="28" spans="1:14" x14ac:dyDescent="0.25">
      <c r="A28" s="275" t="s">
        <v>315</v>
      </c>
      <c r="B28" s="276" t="s">
        <v>482</v>
      </c>
      <c r="C28" s="262">
        <v>0</v>
      </c>
      <c r="D28" s="174"/>
      <c r="E28" s="263"/>
      <c r="F28" s="262">
        <v>0</v>
      </c>
      <c r="G28" s="263"/>
      <c r="H28" s="262">
        <v>0</v>
      </c>
      <c r="I28" s="263"/>
      <c r="J28" s="262">
        <v>0</v>
      </c>
      <c r="K28" s="263"/>
      <c r="L28" s="262">
        <v>0</v>
      </c>
      <c r="M28" s="263"/>
      <c r="N28" s="271">
        <f t="shared" si="0"/>
        <v>0</v>
      </c>
    </row>
    <row r="29" spans="1:14" x14ac:dyDescent="0.25">
      <c r="A29" s="275" t="s">
        <v>317</v>
      </c>
      <c r="B29" s="276" t="s">
        <v>483</v>
      </c>
      <c r="C29" s="262">
        <v>0</v>
      </c>
      <c r="D29" s="174"/>
      <c r="E29" s="263"/>
      <c r="F29" s="262">
        <v>0</v>
      </c>
      <c r="G29" s="263"/>
      <c r="H29" s="262">
        <v>0</v>
      </c>
      <c r="I29" s="263"/>
      <c r="J29" s="262">
        <v>0</v>
      </c>
      <c r="K29" s="263"/>
      <c r="L29" s="262">
        <v>0</v>
      </c>
      <c r="M29" s="263"/>
      <c r="N29" s="271">
        <f t="shared" si="0"/>
        <v>0</v>
      </c>
    </row>
    <row r="30" spans="1:14" x14ac:dyDescent="0.25">
      <c r="A30" s="275" t="s">
        <v>319</v>
      </c>
      <c r="B30" s="276" t="s">
        <v>484</v>
      </c>
      <c r="C30" s="262">
        <v>0</v>
      </c>
      <c r="D30" s="174"/>
      <c r="E30" s="263"/>
      <c r="F30" s="262">
        <v>0</v>
      </c>
      <c r="G30" s="263"/>
      <c r="H30" s="262">
        <v>0</v>
      </c>
      <c r="I30" s="263"/>
      <c r="J30" s="262">
        <v>0</v>
      </c>
      <c r="K30" s="263"/>
      <c r="L30" s="262">
        <v>0</v>
      </c>
      <c r="M30" s="263"/>
      <c r="N30" s="271">
        <f t="shared" si="0"/>
        <v>0</v>
      </c>
    </row>
    <row r="31" spans="1:14" x14ac:dyDescent="0.25">
      <c r="A31" s="275" t="s">
        <v>321</v>
      </c>
      <c r="B31" s="276" t="s">
        <v>485</v>
      </c>
      <c r="C31" s="262">
        <v>0</v>
      </c>
      <c r="D31" s="174"/>
      <c r="E31" s="263"/>
      <c r="F31" s="262">
        <v>0</v>
      </c>
      <c r="G31" s="263"/>
      <c r="H31" s="262">
        <v>0</v>
      </c>
      <c r="I31" s="263"/>
      <c r="J31" s="262">
        <v>0</v>
      </c>
      <c r="K31" s="263"/>
      <c r="L31" s="262">
        <v>0</v>
      </c>
      <c r="M31" s="263"/>
      <c r="N31" s="271">
        <f t="shared" si="0"/>
        <v>0</v>
      </c>
    </row>
    <row r="32" spans="1:14" x14ac:dyDescent="0.25">
      <c r="A32" s="275" t="s">
        <v>323</v>
      </c>
      <c r="B32" s="276" t="s">
        <v>486</v>
      </c>
      <c r="C32" s="262">
        <v>0</v>
      </c>
      <c r="D32" s="174"/>
      <c r="E32" s="263"/>
      <c r="F32" s="262">
        <v>0</v>
      </c>
      <c r="G32" s="263"/>
      <c r="H32" s="262">
        <v>0</v>
      </c>
      <c r="I32" s="263"/>
      <c r="J32" s="262">
        <v>0</v>
      </c>
      <c r="K32" s="263"/>
      <c r="L32" s="262">
        <v>0</v>
      </c>
      <c r="M32" s="263"/>
      <c r="N32" s="271">
        <f t="shared" si="0"/>
        <v>0</v>
      </c>
    </row>
    <row r="33" spans="1:14" x14ac:dyDescent="0.25">
      <c r="A33" s="275" t="s">
        <v>325</v>
      </c>
      <c r="B33" s="276" t="s">
        <v>487</v>
      </c>
      <c r="C33" s="262">
        <v>0</v>
      </c>
      <c r="D33" s="174"/>
      <c r="E33" s="263"/>
      <c r="F33" s="262">
        <v>0</v>
      </c>
      <c r="G33" s="263"/>
      <c r="H33" s="262">
        <v>0</v>
      </c>
      <c r="I33" s="263"/>
      <c r="J33" s="262">
        <v>0</v>
      </c>
      <c r="K33" s="263"/>
      <c r="L33" s="262">
        <v>0</v>
      </c>
      <c r="M33" s="263"/>
      <c r="N33" s="271">
        <f t="shared" si="0"/>
        <v>0</v>
      </c>
    </row>
    <row r="34" spans="1:14" x14ac:dyDescent="0.25">
      <c r="A34" s="275" t="s">
        <v>327</v>
      </c>
      <c r="B34" s="276" t="s">
        <v>488</v>
      </c>
      <c r="C34" s="262">
        <v>0</v>
      </c>
      <c r="D34" s="174"/>
      <c r="E34" s="263"/>
      <c r="F34" s="262">
        <v>0</v>
      </c>
      <c r="G34" s="263"/>
      <c r="H34" s="262">
        <v>0</v>
      </c>
      <c r="I34" s="263"/>
      <c r="J34" s="262">
        <v>0</v>
      </c>
      <c r="K34" s="263"/>
      <c r="L34" s="262">
        <v>0</v>
      </c>
      <c r="M34" s="263"/>
      <c r="N34" s="271">
        <f t="shared" si="0"/>
        <v>0</v>
      </c>
    </row>
    <row r="35" spans="1:14" s="205" customFormat="1" x14ac:dyDescent="0.3">
      <c r="A35" s="277" t="s">
        <v>329</v>
      </c>
      <c r="B35" s="278" t="s">
        <v>489</v>
      </c>
      <c r="C35" s="264">
        <f>SUM(C27:C34)</f>
        <v>0</v>
      </c>
      <c r="D35" s="175">
        <f t="shared" ref="D35:M35" si="5">SUM(D27:D34)</f>
        <v>0</v>
      </c>
      <c r="E35" s="265">
        <f t="shared" si="5"/>
        <v>0</v>
      </c>
      <c r="F35" s="264">
        <f t="shared" si="5"/>
        <v>0</v>
      </c>
      <c r="G35" s="265">
        <f t="shared" si="5"/>
        <v>0</v>
      </c>
      <c r="H35" s="264">
        <f t="shared" si="5"/>
        <v>0</v>
      </c>
      <c r="I35" s="265">
        <f t="shared" si="5"/>
        <v>0</v>
      </c>
      <c r="J35" s="264">
        <f t="shared" si="5"/>
        <v>0</v>
      </c>
      <c r="K35" s="265">
        <f t="shared" si="5"/>
        <v>0</v>
      </c>
      <c r="L35" s="264">
        <f t="shared" si="5"/>
        <v>0</v>
      </c>
      <c r="M35" s="265">
        <f t="shared" si="5"/>
        <v>0</v>
      </c>
      <c r="N35" s="272">
        <f t="shared" si="0"/>
        <v>0</v>
      </c>
    </row>
    <row r="36" spans="1:14" x14ac:dyDescent="0.25">
      <c r="A36" s="275" t="s">
        <v>331</v>
      </c>
      <c r="B36" s="276" t="s">
        <v>490</v>
      </c>
      <c r="C36" s="262">
        <v>505000000</v>
      </c>
      <c r="D36" s="174"/>
      <c r="E36" s="263"/>
      <c r="F36" s="262">
        <v>0</v>
      </c>
      <c r="G36" s="263"/>
      <c r="H36" s="262">
        <v>0</v>
      </c>
      <c r="I36" s="263"/>
      <c r="J36" s="262">
        <v>0</v>
      </c>
      <c r="K36" s="263"/>
      <c r="L36" s="262">
        <v>0</v>
      </c>
      <c r="M36" s="263"/>
      <c r="N36" s="271">
        <f t="shared" si="0"/>
        <v>505000000</v>
      </c>
    </row>
    <row r="37" spans="1:14" s="205" customFormat="1" x14ac:dyDescent="0.3">
      <c r="A37" s="277" t="s">
        <v>333</v>
      </c>
      <c r="B37" s="278" t="s">
        <v>491</v>
      </c>
      <c r="C37" s="264">
        <f>C26+C27+C28+C29+C35+C36</f>
        <v>505000000</v>
      </c>
      <c r="D37" s="175">
        <f t="shared" ref="D37:M37" si="6">D26+D27+D28+D29+D35+D36</f>
        <v>0</v>
      </c>
      <c r="E37" s="265">
        <f t="shared" si="6"/>
        <v>0</v>
      </c>
      <c r="F37" s="264">
        <f t="shared" si="6"/>
        <v>0</v>
      </c>
      <c r="G37" s="265">
        <f t="shared" si="6"/>
        <v>0</v>
      </c>
      <c r="H37" s="264">
        <f t="shared" si="6"/>
        <v>0</v>
      </c>
      <c r="I37" s="265">
        <f t="shared" si="6"/>
        <v>0</v>
      </c>
      <c r="J37" s="264">
        <f t="shared" si="6"/>
        <v>0</v>
      </c>
      <c r="K37" s="265">
        <f t="shared" si="6"/>
        <v>0</v>
      </c>
      <c r="L37" s="264">
        <f t="shared" si="6"/>
        <v>0</v>
      </c>
      <c r="M37" s="265">
        <f t="shared" si="6"/>
        <v>0</v>
      </c>
      <c r="N37" s="272">
        <f t="shared" si="0"/>
        <v>505000000</v>
      </c>
    </row>
    <row r="38" spans="1:14" x14ac:dyDescent="0.25">
      <c r="A38" s="275" t="s">
        <v>335</v>
      </c>
      <c r="B38" s="276" t="s">
        <v>492</v>
      </c>
      <c r="C38" s="262">
        <v>0</v>
      </c>
      <c r="D38" s="174">
        <v>0</v>
      </c>
      <c r="E38" s="263"/>
      <c r="F38" s="262">
        <v>0</v>
      </c>
      <c r="G38" s="263"/>
      <c r="H38" s="262">
        <v>0</v>
      </c>
      <c r="I38" s="263"/>
      <c r="J38" s="262">
        <v>0</v>
      </c>
      <c r="K38" s="263"/>
      <c r="L38" s="262">
        <v>0</v>
      </c>
      <c r="M38" s="263"/>
      <c r="N38" s="271">
        <f t="shared" si="0"/>
        <v>0</v>
      </c>
    </row>
    <row r="39" spans="1:14" x14ac:dyDescent="0.25">
      <c r="A39" s="275" t="s">
        <v>337</v>
      </c>
      <c r="B39" s="276" t="s">
        <v>493</v>
      </c>
      <c r="C39" s="262">
        <v>0</v>
      </c>
      <c r="D39" s="174">
        <v>1000000</v>
      </c>
      <c r="E39" s="263"/>
      <c r="F39" s="262">
        <v>0</v>
      </c>
      <c r="G39" s="263"/>
      <c r="H39" s="262">
        <v>0</v>
      </c>
      <c r="I39" s="263"/>
      <c r="J39" s="262">
        <v>0</v>
      </c>
      <c r="K39" s="263"/>
      <c r="L39" s="262">
        <v>0</v>
      </c>
      <c r="M39" s="263"/>
      <c r="N39" s="271">
        <f t="shared" si="0"/>
        <v>1000000</v>
      </c>
    </row>
    <row r="40" spans="1:14" x14ac:dyDescent="0.25">
      <c r="A40" s="275" t="s">
        <v>339</v>
      </c>
      <c r="B40" s="276" t="s">
        <v>494</v>
      </c>
      <c r="C40" s="262">
        <v>0</v>
      </c>
      <c r="D40" s="174">
        <v>0</v>
      </c>
      <c r="E40" s="263"/>
      <c r="F40" s="262">
        <v>0</v>
      </c>
      <c r="G40" s="263"/>
      <c r="H40" s="262">
        <v>0</v>
      </c>
      <c r="I40" s="263"/>
      <c r="J40" s="262">
        <v>0</v>
      </c>
      <c r="K40" s="263"/>
      <c r="L40" s="262">
        <v>0</v>
      </c>
      <c r="M40" s="263"/>
      <c r="N40" s="271">
        <f t="shared" si="0"/>
        <v>0</v>
      </c>
    </row>
    <row r="41" spans="1:14" x14ac:dyDescent="0.25">
      <c r="A41" s="275" t="s">
        <v>341</v>
      </c>
      <c r="B41" s="276" t="s">
        <v>495</v>
      </c>
      <c r="C41" s="262">
        <f>76976378+230455888+212598</f>
        <v>307644864</v>
      </c>
      <c r="D41" s="174">
        <v>30000000</v>
      </c>
      <c r="E41" s="263"/>
      <c r="F41" s="262">
        <v>0</v>
      </c>
      <c r="G41" s="263"/>
      <c r="H41" s="262">
        <v>0</v>
      </c>
      <c r="I41" s="263"/>
      <c r="J41" s="262">
        <v>0</v>
      </c>
      <c r="K41" s="263"/>
      <c r="L41" s="262">
        <v>0</v>
      </c>
      <c r="M41" s="263"/>
      <c r="N41" s="271">
        <f t="shared" si="0"/>
        <v>337644864</v>
      </c>
    </row>
    <row r="42" spans="1:14" x14ac:dyDescent="0.25">
      <c r="A42" s="275" t="s">
        <v>343</v>
      </c>
      <c r="B42" s="276" t="s">
        <v>496</v>
      </c>
      <c r="C42" s="262">
        <v>0</v>
      </c>
      <c r="D42" s="174"/>
      <c r="E42" s="263"/>
      <c r="F42" s="262">
        <v>0</v>
      </c>
      <c r="G42" s="263"/>
      <c r="H42" s="262">
        <v>7800000</v>
      </c>
      <c r="I42" s="263"/>
      <c r="J42" s="262">
        <v>0</v>
      </c>
      <c r="K42" s="263"/>
      <c r="L42" s="262">
        <v>600000</v>
      </c>
      <c r="M42" s="263"/>
      <c r="N42" s="271">
        <f t="shared" si="0"/>
        <v>8400000</v>
      </c>
    </row>
    <row r="43" spans="1:14" x14ac:dyDescent="0.25">
      <c r="A43" s="275" t="s">
        <v>345</v>
      </c>
      <c r="B43" s="276" t="s">
        <v>497</v>
      </c>
      <c r="C43" s="262">
        <f>(C59+C52+C41)*0.27</f>
        <v>100794184.11</v>
      </c>
      <c r="D43" s="174"/>
      <c r="E43" s="263"/>
      <c r="F43" s="262">
        <v>0</v>
      </c>
      <c r="G43" s="263"/>
      <c r="H43" s="262">
        <v>0</v>
      </c>
      <c r="I43" s="263"/>
      <c r="J43" s="262">
        <v>0</v>
      </c>
      <c r="K43" s="263"/>
      <c r="L43" s="262">
        <v>0</v>
      </c>
      <c r="M43" s="263"/>
      <c r="N43" s="271">
        <f t="shared" si="0"/>
        <v>100794184.11</v>
      </c>
    </row>
    <row r="44" spans="1:14" x14ac:dyDescent="0.25">
      <c r="A44" s="275" t="s">
        <v>347</v>
      </c>
      <c r="B44" s="276" t="s">
        <v>498</v>
      </c>
      <c r="C44" s="262">
        <v>0</v>
      </c>
      <c r="D44" s="174"/>
      <c r="E44" s="263"/>
      <c r="F44" s="262">
        <v>0</v>
      </c>
      <c r="G44" s="263"/>
      <c r="H44" s="262">
        <v>0</v>
      </c>
      <c r="I44" s="263"/>
      <c r="J44" s="262">
        <v>0</v>
      </c>
      <c r="K44" s="263"/>
      <c r="L44" s="262">
        <v>0</v>
      </c>
      <c r="M44" s="263"/>
      <c r="N44" s="271">
        <f t="shared" si="0"/>
        <v>0</v>
      </c>
    </row>
    <row r="45" spans="1:14" x14ac:dyDescent="0.25">
      <c r="A45" s="275" t="s">
        <v>349</v>
      </c>
      <c r="B45" s="276" t="s">
        <v>499</v>
      </c>
      <c r="C45" s="262">
        <v>0</v>
      </c>
      <c r="D45" s="174"/>
      <c r="E45" s="263"/>
      <c r="F45" s="262">
        <v>0</v>
      </c>
      <c r="G45" s="263"/>
      <c r="H45" s="262">
        <v>0</v>
      </c>
      <c r="I45" s="263"/>
      <c r="J45" s="262">
        <v>0</v>
      </c>
      <c r="K45" s="263"/>
      <c r="L45" s="262">
        <v>0</v>
      </c>
      <c r="M45" s="263"/>
      <c r="N45" s="271">
        <f t="shared" si="0"/>
        <v>0</v>
      </c>
    </row>
    <row r="46" spans="1:14" x14ac:dyDescent="0.25">
      <c r="A46" s="275" t="s">
        <v>351</v>
      </c>
      <c r="B46" s="276" t="s">
        <v>500</v>
      </c>
      <c r="C46" s="262">
        <v>0</v>
      </c>
      <c r="D46" s="174"/>
      <c r="E46" s="263"/>
      <c r="F46" s="262">
        <v>0</v>
      </c>
      <c r="G46" s="263"/>
      <c r="H46" s="262">
        <v>0</v>
      </c>
      <c r="I46" s="263"/>
      <c r="J46" s="262">
        <v>0</v>
      </c>
      <c r="K46" s="263"/>
      <c r="L46" s="262">
        <v>0</v>
      </c>
      <c r="M46" s="263"/>
      <c r="N46" s="271">
        <f t="shared" si="0"/>
        <v>0</v>
      </c>
    </row>
    <row r="47" spans="1:14" s="205" customFormat="1" x14ac:dyDescent="0.3">
      <c r="A47" s="277" t="s">
        <v>353</v>
      </c>
      <c r="B47" s="278" t="s">
        <v>501</v>
      </c>
      <c r="C47" s="264">
        <f>SUM(C45:C46)</f>
        <v>0</v>
      </c>
      <c r="D47" s="175">
        <f t="shared" ref="D47:M47" si="7">SUM(D45:D46)</f>
        <v>0</v>
      </c>
      <c r="E47" s="265">
        <f t="shared" si="7"/>
        <v>0</v>
      </c>
      <c r="F47" s="264">
        <f t="shared" si="7"/>
        <v>0</v>
      </c>
      <c r="G47" s="265">
        <f t="shared" si="7"/>
        <v>0</v>
      </c>
      <c r="H47" s="264">
        <f t="shared" si="7"/>
        <v>0</v>
      </c>
      <c r="I47" s="265">
        <f t="shared" si="7"/>
        <v>0</v>
      </c>
      <c r="J47" s="264">
        <f t="shared" si="7"/>
        <v>0</v>
      </c>
      <c r="K47" s="265">
        <f t="shared" si="7"/>
        <v>0</v>
      </c>
      <c r="L47" s="264">
        <f t="shared" si="7"/>
        <v>0</v>
      </c>
      <c r="M47" s="265">
        <f t="shared" si="7"/>
        <v>0</v>
      </c>
      <c r="N47" s="272">
        <f t="shared" si="0"/>
        <v>0</v>
      </c>
    </row>
    <row r="48" spans="1:14" x14ac:dyDescent="0.25">
      <c r="A48" s="275" t="s">
        <v>355</v>
      </c>
      <c r="B48" s="276" t="s">
        <v>502</v>
      </c>
      <c r="C48" s="262">
        <v>0</v>
      </c>
      <c r="D48" s="174"/>
      <c r="E48" s="263"/>
      <c r="F48" s="262">
        <v>0</v>
      </c>
      <c r="G48" s="263"/>
      <c r="H48" s="262">
        <v>0</v>
      </c>
      <c r="I48" s="263"/>
      <c r="J48" s="262">
        <v>0</v>
      </c>
      <c r="K48" s="263"/>
      <c r="L48" s="262">
        <v>0</v>
      </c>
      <c r="M48" s="263"/>
      <c r="N48" s="271">
        <f t="shared" si="0"/>
        <v>0</v>
      </c>
    </row>
    <row r="49" spans="1:14" x14ac:dyDescent="0.25">
      <c r="A49" s="275" t="s">
        <v>357</v>
      </c>
      <c r="B49" s="276" t="s">
        <v>503</v>
      </c>
      <c r="C49" s="262">
        <v>0</v>
      </c>
      <c r="D49" s="174"/>
      <c r="E49" s="263"/>
      <c r="F49" s="262">
        <v>0</v>
      </c>
      <c r="G49" s="263"/>
      <c r="H49" s="262">
        <v>0</v>
      </c>
      <c r="I49" s="263"/>
      <c r="J49" s="262">
        <v>0</v>
      </c>
      <c r="K49" s="263"/>
      <c r="L49" s="262">
        <v>0</v>
      </c>
      <c r="M49" s="263"/>
      <c r="N49" s="271">
        <f t="shared" si="0"/>
        <v>0</v>
      </c>
    </row>
    <row r="50" spans="1:14" s="205" customFormat="1" x14ac:dyDescent="0.3">
      <c r="A50" s="277" t="s">
        <v>359</v>
      </c>
      <c r="B50" s="278" t="s">
        <v>504</v>
      </c>
      <c r="C50" s="264">
        <f>SUM(C48:C49)</f>
        <v>0</v>
      </c>
      <c r="D50" s="175">
        <f t="shared" ref="D50:M50" si="8">SUM(D48:D49)</f>
        <v>0</v>
      </c>
      <c r="E50" s="265">
        <f t="shared" si="8"/>
        <v>0</v>
      </c>
      <c r="F50" s="264">
        <f t="shared" si="8"/>
        <v>0</v>
      </c>
      <c r="G50" s="265">
        <f t="shared" si="8"/>
        <v>0</v>
      </c>
      <c r="H50" s="264">
        <f t="shared" si="8"/>
        <v>0</v>
      </c>
      <c r="I50" s="265">
        <f t="shared" si="8"/>
        <v>0</v>
      </c>
      <c r="J50" s="264">
        <f t="shared" si="8"/>
        <v>0</v>
      </c>
      <c r="K50" s="265">
        <f t="shared" si="8"/>
        <v>0</v>
      </c>
      <c r="L50" s="264">
        <f t="shared" si="8"/>
        <v>0</v>
      </c>
      <c r="M50" s="265">
        <f t="shared" si="8"/>
        <v>0</v>
      </c>
      <c r="N50" s="272">
        <f t="shared" si="0"/>
        <v>0</v>
      </c>
    </row>
    <row r="51" spans="1:14" x14ac:dyDescent="0.25">
      <c r="A51" s="275" t="s">
        <v>361</v>
      </c>
      <c r="B51" s="276" t="s">
        <v>505</v>
      </c>
      <c r="C51" s="262">
        <v>0</v>
      </c>
      <c r="D51" s="174"/>
      <c r="E51" s="263"/>
      <c r="F51" s="262">
        <v>0</v>
      </c>
      <c r="G51" s="263"/>
      <c r="H51" s="262">
        <v>0</v>
      </c>
      <c r="I51" s="263"/>
      <c r="J51" s="262">
        <v>0</v>
      </c>
      <c r="K51" s="263"/>
      <c r="L51" s="262">
        <v>0</v>
      </c>
      <c r="M51" s="263"/>
      <c r="N51" s="271">
        <f t="shared" si="0"/>
        <v>0</v>
      </c>
    </row>
    <row r="52" spans="1:14" x14ac:dyDescent="0.25">
      <c r="A52" s="275" t="s">
        <v>363</v>
      </c>
      <c r="B52" s="276" t="s">
        <v>506</v>
      </c>
      <c r="C52" s="262">
        <v>1100000</v>
      </c>
      <c r="D52" s="174"/>
      <c r="E52" s="263"/>
      <c r="F52" s="262">
        <v>800000</v>
      </c>
      <c r="G52" s="263"/>
      <c r="H52" s="262">
        <v>0</v>
      </c>
      <c r="I52" s="263"/>
      <c r="J52" s="262">
        <v>150000</v>
      </c>
      <c r="K52" s="263"/>
      <c r="L52" s="262">
        <v>0</v>
      </c>
      <c r="M52" s="263"/>
      <c r="N52" s="271">
        <f t="shared" si="0"/>
        <v>2050000</v>
      </c>
    </row>
    <row r="53" spans="1:14" s="205" customFormat="1" x14ac:dyDescent="0.3">
      <c r="A53" s="277" t="s">
        <v>365</v>
      </c>
      <c r="B53" s="278" t="s">
        <v>507</v>
      </c>
      <c r="C53" s="264">
        <f>C38+C39+C40+C41+C42+C43+C44+C47+C50+C51+C52</f>
        <v>409539048.11000001</v>
      </c>
      <c r="D53" s="175">
        <f t="shared" ref="D53:M53" si="9">D38+D39+D40+D41+D42+D43+D44+D47+D50+D51+D52</f>
        <v>31000000</v>
      </c>
      <c r="E53" s="265">
        <f t="shared" si="9"/>
        <v>0</v>
      </c>
      <c r="F53" s="264">
        <f t="shared" si="9"/>
        <v>800000</v>
      </c>
      <c r="G53" s="265">
        <f t="shared" si="9"/>
        <v>0</v>
      </c>
      <c r="H53" s="264">
        <f t="shared" si="9"/>
        <v>7800000</v>
      </c>
      <c r="I53" s="265">
        <f t="shared" si="9"/>
        <v>0</v>
      </c>
      <c r="J53" s="264">
        <f t="shared" si="9"/>
        <v>150000</v>
      </c>
      <c r="K53" s="265">
        <f t="shared" si="9"/>
        <v>0</v>
      </c>
      <c r="L53" s="264">
        <f t="shared" si="9"/>
        <v>600000</v>
      </c>
      <c r="M53" s="265">
        <f t="shared" si="9"/>
        <v>0</v>
      </c>
      <c r="N53" s="272">
        <f t="shared" si="0"/>
        <v>449889048.11000001</v>
      </c>
    </row>
    <row r="54" spans="1:14" x14ac:dyDescent="0.25">
      <c r="A54" s="275" t="s">
        <v>367</v>
      </c>
      <c r="B54" s="276" t="s">
        <v>508</v>
      </c>
      <c r="C54" s="262">
        <v>0</v>
      </c>
      <c r="D54" s="174"/>
      <c r="E54" s="263"/>
      <c r="F54" s="262">
        <v>0</v>
      </c>
      <c r="G54" s="263"/>
      <c r="H54" s="262">
        <v>0</v>
      </c>
      <c r="I54" s="263"/>
      <c r="J54" s="262">
        <v>0</v>
      </c>
      <c r="K54" s="263"/>
      <c r="L54" s="262">
        <v>0</v>
      </c>
      <c r="M54" s="263"/>
      <c r="N54" s="271">
        <f t="shared" si="0"/>
        <v>0</v>
      </c>
    </row>
    <row r="55" spans="1:14" x14ac:dyDescent="0.25">
      <c r="A55" s="275" t="s">
        <v>369</v>
      </c>
      <c r="B55" s="276" t="s">
        <v>509</v>
      </c>
      <c r="C55" s="262">
        <v>64566929</v>
      </c>
      <c r="D55" s="174"/>
      <c r="E55" s="263"/>
      <c r="F55" s="262">
        <v>0</v>
      </c>
      <c r="G55" s="263"/>
      <c r="H55" s="262">
        <v>0</v>
      </c>
      <c r="I55" s="263"/>
      <c r="J55" s="262">
        <v>0</v>
      </c>
      <c r="K55" s="263"/>
      <c r="L55" s="262">
        <v>0</v>
      </c>
      <c r="M55" s="263"/>
      <c r="N55" s="271">
        <f t="shared" si="0"/>
        <v>64566929</v>
      </c>
    </row>
    <row r="56" spans="1:14" x14ac:dyDescent="0.25">
      <c r="A56" s="275" t="s">
        <v>371</v>
      </c>
      <c r="B56" s="276" t="s">
        <v>510</v>
      </c>
      <c r="C56" s="262">
        <v>0</v>
      </c>
      <c r="D56" s="174"/>
      <c r="E56" s="263"/>
      <c r="F56" s="262">
        <v>0</v>
      </c>
      <c r="G56" s="263"/>
      <c r="H56" s="262">
        <v>0</v>
      </c>
      <c r="I56" s="263"/>
      <c r="J56" s="262">
        <v>0</v>
      </c>
      <c r="K56" s="263"/>
      <c r="L56" s="262">
        <v>0</v>
      </c>
      <c r="M56" s="263"/>
      <c r="N56" s="271">
        <f t="shared" si="0"/>
        <v>0</v>
      </c>
    </row>
    <row r="57" spans="1:14" x14ac:dyDescent="0.25">
      <c r="A57" s="275" t="s">
        <v>373</v>
      </c>
      <c r="B57" s="276" t="s">
        <v>511</v>
      </c>
      <c r="C57" s="262">
        <v>0</v>
      </c>
      <c r="D57" s="174"/>
      <c r="E57" s="263"/>
      <c r="F57" s="262">
        <v>0</v>
      </c>
      <c r="G57" s="263"/>
      <c r="H57" s="262">
        <v>0</v>
      </c>
      <c r="I57" s="263"/>
      <c r="J57" s="262">
        <v>0</v>
      </c>
      <c r="K57" s="263"/>
      <c r="L57" s="262">
        <v>0</v>
      </c>
      <c r="M57" s="263"/>
      <c r="N57" s="271">
        <f t="shared" si="0"/>
        <v>0</v>
      </c>
    </row>
    <row r="58" spans="1:14" x14ac:dyDescent="0.25">
      <c r="A58" s="275" t="s">
        <v>375</v>
      </c>
      <c r="B58" s="276" t="s">
        <v>512</v>
      </c>
      <c r="C58" s="262">
        <v>0</v>
      </c>
      <c r="D58" s="174"/>
      <c r="E58" s="263"/>
      <c r="F58" s="262">
        <v>0</v>
      </c>
      <c r="G58" s="263"/>
      <c r="H58" s="262">
        <v>0</v>
      </c>
      <c r="I58" s="263"/>
      <c r="J58" s="262">
        <v>0</v>
      </c>
      <c r="K58" s="263"/>
      <c r="L58" s="262">
        <v>0</v>
      </c>
      <c r="M58" s="263"/>
      <c r="N58" s="271">
        <f t="shared" si="0"/>
        <v>0</v>
      </c>
    </row>
    <row r="59" spans="1:14" s="205" customFormat="1" x14ac:dyDescent="0.3">
      <c r="A59" s="277" t="s">
        <v>377</v>
      </c>
      <c r="B59" s="278" t="s">
        <v>513</v>
      </c>
      <c r="C59" s="264">
        <f>SUM(C54:C58)</f>
        <v>64566929</v>
      </c>
      <c r="D59" s="175">
        <f t="shared" ref="D59:M59" si="10">SUM(D54:D58)</f>
        <v>0</v>
      </c>
      <c r="E59" s="265">
        <f t="shared" si="10"/>
        <v>0</v>
      </c>
      <c r="F59" s="264">
        <f t="shared" si="10"/>
        <v>0</v>
      </c>
      <c r="G59" s="265">
        <f t="shared" si="10"/>
        <v>0</v>
      </c>
      <c r="H59" s="264">
        <f t="shared" si="10"/>
        <v>0</v>
      </c>
      <c r="I59" s="265">
        <f t="shared" si="10"/>
        <v>0</v>
      </c>
      <c r="J59" s="264">
        <f t="shared" si="10"/>
        <v>0</v>
      </c>
      <c r="K59" s="265">
        <f t="shared" si="10"/>
        <v>0</v>
      </c>
      <c r="L59" s="264">
        <f t="shared" si="10"/>
        <v>0</v>
      </c>
      <c r="M59" s="265">
        <f t="shared" si="10"/>
        <v>0</v>
      </c>
      <c r="N59" s="272">
        <f t="shared" si="0"/>
        <v>64566929</v>
      </c>
    </row>
    <row r="60" spans="1:14" x14ac:dyDescent="0.25">
      <c r="A60" s="275" t="s">
        <v>379</v>
      </c>
      <c r="B60" s="276" t="s">
        <v>514</v>
      </c>
      <c r="C60" s="262">
        <v>0</v>
      </c>
      <c r="D60" s="174"/>
      <c r="E60" s="263"/>
      <c r="F60" s="262">
        <v>0</v>
      </c>
      <c r="G60" s="263"/>
      <c r="H60" s="262">
        <v>0</v>
      </c>
      <c r="I60" s="263"/>
      <c r="J60" s="262">
        <v>0</v>
      </c>
      <c r="K60" s="263"/>
      <c r="L60" s="262">
        <v>0</v>
      </c>
      <c r="M60" s="263"/>
      <c r="N60" s="271">
        <f t="shared" si="0"/>
        <v>0</v>
      </c>
    </row>
    <row r="61" spans="1:14" x14ac:dyDescent="0.25">
      <c r="A61" s="275" t="s">
        <v>381</v>
      </c>
      <c r="B61" s="276" t="s">
        <v>515</v>
      </c>
      <c r="C61" s="262">
        <v>0</v>
      </c>
      <c r="D61" s="174"/>
      <c r="E61" s="263"/>
      <c r="F61" s="262">
        <v>0</v>
      </c>
      <c r="G61" s="263"/>
      <c r="H61" s="262">
        <v>0</v>
      </c>
      <c r="I61" s="263"/>
      <c r="J61" s="262">
        <v>0</v>
      </c>
      <c r="K61" s="263"/>
      <c r="L61" s="262">
        <v>0</v>
      </c>
      <c r="M61" s="263"/>
      <c r="N61" s="271">
        <f t="shared" si="0"/>
        <v>0</v>
      </c>
    </row>
    <row r="62" spans="1:14" x14ac:dyDescent="0.25">
      <c r="A62" s="275" t="s">
        <v>383</v>
      </c>
      <c r="B62" s="276" t="s">
        <v>516</v>
      </c>
      <c r="C62" s="262">
        <v>0</v>
      </c>
      <c r="D62" s="174"/>
      <c r="E62" s="263"/>
      <c r="F62" s="262">
        <v>0</v>
      </c>
      <c r="G62" s="263"/>
      <c r="H62" s="262">
        <v>0</v>
      </c>
      <c r="I62" s="263"/>
      <c r="J62" s="262">
        <v>0</v>
      </c>
      <c r="K62" s="263"/>
      <c r="L62" s="262">
        <v>0</v>
      </c>
      <c r="M62" s="263"/>
      <c r="N62" s="271">
        <f t="shared" si="0"/>
        <v>0</v>
      </c>
    </row>
    <row r="63" spans="1:14" x14ac:dyDescent="0.25">
      <c r="A63" s="275" t="s">
        <v>385</v>
      </c>
      <c r="B63" s="276" t="s">
        <v>517</v>
      </c>
      <c r="C63" s="262">
        <v>0</v>
      </c>
      <c r="D63" s="174"/>
      <c r="E63" s="263"/>
      <c r="F63" s="262">
        <v>0</v>
      </c>
      <c r="G63" s="263"/>
      <c r="H63" s="262">
        <v>0</v>
      </c>
      <c r="I63" s="263"/>
      <c r="J63" s="262">
        <v>0</v>
      </c>
      <c r="K63" s="263"/>
      <c r="L63" s="262">
        <v>0</v>
      </c>
      <c r="M63" s="263"/>
      <c r="N63" s="271">
        <f t="shared" si="0"/>
        <v>0</v>
      </c>
    </row>
    <row r="64" spans="1:14" x14ac:dyDescent="0.25">
      <c r="A64" s="275" t="s">
        <v>387</v>
      </c>
      <c r="B64" s="276" t="s">
        <v>518</v>
      </c>
      <c r="C64" s="262">
        <v>0</v>
      </c>
      <c r="D64" s="174"/>
      <c r="E64" s="263"/>
      <c r="F64" s="262">
        <v>0</v>
      </c>
      <c r="G64" s="263"/>
      <c r="H64" s="262">
        <v>0</v>
      </c>
      <c r="I64" s="263"/>
      <c r="J64" s="262">
        <v>0</v>
      </c>
      <c r="K64" s="263"/>
      <c r="L64" s="262">
        <v>0</v>
      </c>
      <c r="M64" s="263"/>
      <c r="N64" s="271">
        <f t="shared" si="0"/>
        <v>0</v>
      </c>
    </row>
    <row r="65" spans="1:14" s="205" customFormat="1" x14ac:dyDescent="0.3">
      <c r="A65" s="277" t="s">
        <v>389</v>
      </c>
      <c r="B65" s="278" t="s">
        <v>519</v>
      </c>
      <c r="C65" s="264">
        <f>SUM(C60:C64)</f>
        <v>0</v>
      </c>
      <c r="D65" s="175">
        <f t="shared" ref="D65:M65" si="11">SUM(D60:D64)</f>
        <v>0</v>
      </c>
      <c r="E65" s="265">
        <f t="shared" si="11"/>
        <v>0</v>
      </c>
      <c r="F65" s="264">
        <f t="shared" si="11"/>
        <v>0</v>
      </c>
      <c r="G65" s="265">
        <f t="shared" si="11"/>
        <v>0</v>
      </c>
      <c r="H65" s="264">
        <f t="shared" si="11"/>
        <v>0</v>
      </c>
      <c r="I65" s="265">
        <f t="shared" si="11"/>
        <v>0</v>
      </c>
      <c r="J65" s="264">
        <f t="shared" si="11"/>
        <v>0</v>
      </c>
      <c r="K65" s="265">
        <f t="shared" si="11"/>
        <v>0</v>
      </c>
      <c r="L65" s="264">
        <f t="shared" si="11"/>
        <v>0</v>
      </c>
      <c r="M65" s="265">
        <f t="shared" si="11"/>
        <v>0</v>
      </c>
      <c r="N65" s="272">
        <f t="shared" si="0"/>
        <v>0</v>
      </c>
    </row>
    <row r="66" spans="1:14" x14ac:dyDescent="0.25">
      <c r="A66" s="275" t="s">
        <v>391</v>
      </c>
      <c r="B66" s="276" t="s">
        <v>520</v>
      </c>
      <c r="C66" s="262">
        <v>0</v>
      </c>
      <c r="D66" s="174"/>
      <c r="E66" s="263"/>
      <c r="F66" s="262">
        <v>0</v>
      </c>
      <c r="G66" s="263"/>
      <c r="H66" s="262">
        <v>0</v>
      </c>
      <c r="I66" s="263"/>
      <c r="J66" s="262">
        <v>0</v>
      </c>
      <c r="K66" s="263"/>
      <c r="L66" s="262">
        <v>0</v>
      </c>
      <c r="M66" s="263"/>
      <c r="N66" s="271">
        <f t="shared" si="0"/>
        <v>0</v>
      </c>
    </row>
    <row r="67" spans="1:14" x14ac:dyDescent="0.25">
      <c r="A67" s="275" t="s">
        <v>393</v>
      </c>
      <c r="B67" s="276" t="s">
        <v>521</v>
      </c>
      <c r="C67" s="262">
        <v>0</v>
      </c>
      <c r="D67" s="174"/>
      <c r="E67" s="263"/>
      <c r="F67" s="262">
        <v>0</v>
      </c>
      <c r="G67" s="263"/>
      <c r="H67" s="262">
        <v>0</v>
      </c>
      <c r="I67" s="263"/>
      <c r="J67" s="262">
        <v>0</v>
      </c>
      <c r="K67" s="263"/>
      <c r="L67" s="262">
        <v>0</v>
      </c>
      <c r="M67" s="263"/>
      <c r="N67" s="271">
        <f t="shared" si="0"/>
        <v>0</v>
      </c>
    </row>
    <row r="68" spans="1:14" x14ac:dyDescent="0.25">
      <c r="A68" s="275" t="s">
        <v>395</v>
      </c>
      <c r="B68" s="276" t="s">
        <v>522</v>
      </c>
      <c r="C68" s="262">
        <v>0</v>
      </c>
      <c r="D68" s="174"/>
      <c r="E68" s="263"/>
      <c r="F68" s="262">
        <v>0</v>
      </c>
      <c r="G68" s="263"/>
      <c r="H68" s="262">
        <v>0</v>
      </c>
      <c r="I68" s="263"/>
      <c r="J68" s="262">
        <v>0</v>
      </c>
      <c r="K68" s="263"/>
      <c r="L68" s="262">
        <v>0</v>
      </c>
      <c r="M68" s="263"/>
      <c r="N68" s="271">
        <f t="shared" si="0"/>
        <v>0</v>
      </c>
    </row>
    <row r="69" spans="1:14" x14ac:dyDescent="0.25">
      <c r="A69" s="275" t="s">
        <v>397</v>
      </c>
      <c r="B69" s="276" t="s">
        <v>523</v>
      </c>
      <c r="C69" s="262">
        <v>0</v>
      </c>
      <c r="D69" s="174"/>
      <c r="E69" s="263"/>
      <c r="F69" s="262">
        <v>0</v>
      </c>
      <c r="G69" s="263"/>
      <c r="H69" s="262">
        <v>0</v>
      </c>
      <c r="I69" s="263"/>
      <c r="J69" s="262">
        <v>0</v>
      </c>
      <c r="K69" s="263"/>
      <c r="L69" s="262">
        <v>0</v>
      </c>
      <c r="M69" s="263"/>
      <c r="N69" s="271">
        <f t="shared" si="0"/>
        <v>0</v>
      </c>
    </row>
    <row r="70" spans="1:14" x14ac:dyDescent="0.25">
      <c r="A70" s="275" t="s">
        <v>399</v>
      </c>
      <c r="B70" s="276" t="s">
        <v>524</v>
      </c>
      <c r="C70" s="262">
        <v>0</v>
      </c>
      <c r="D70" s="174"/>
      <c r="E70" s="263"/>
      <c r="F70" s="262">
        <v>0</v>
      </c>
      <c r="G70" s="263"/>
      <c r="H70" s="262">
        <v>0</v>
      </c>
      <c r="I70" s="263"/>
      <c r="J70" s="262">
        <v>0</v>
      </c>
      <c r="K70" s="263"/>
      <c r="L70" s="262">
        <v>0</v>
      </c>
      <c r="M70" s="263"/>
      <c r="N70" s="271">
        <f t="shared" ref="N70:N71" si="12">SUM(C70:L70)</f>
        <v>0</v>
      </c>
    </row>
    <row r="71" spans="1:14" s="205" customFormat="1" x14ac:dyDescent="0.3">
      <c r="A71" s="277" t="s">
        <v>401</v>
      </c>
      <c r="B71" s="278" t="s">
        <v>525</v>
      </c>
      <c r="C71" s="264">
        <f>SUM(C66:C70)</f>
        <v>0</v>
      </c>
      <c r="D71" s="175">
        <f t="shared" ref="D71:M71" si="13">SUM(D66:D70)</f>
        <v>0</v>
      </c>
      <c r="E71" s="265">
        <f t="shared" si="13"/>
        <v>0</v>
      </c>
      <c r="F71" s="264">
        <f t="shared" si="13"/>
        <v>0</v>
      </c>
      <c r="G71" s="265">
        <f t="shared" si="13"/>
        <v>0</v>
      </c>
      <c r="H71" s="264">
        <f t="shared" si="13"/>
        <v>0</v>
      </c>
      <c r="I71" s="265">
        <f t="shared" si="13"/>
        <v>0</v>
      </c>
      <c r="J71" s="264">
        <f t="shared" si="13"/>
        <v>0</v>
      </c>
      <c r="K71" s="265">
        <f t="shared" si="13"/>
        <v>0</v>
      </c>
      <c r="L71" s="264">
        <f t="shared" si="13"/>
        <v>0</v>
      </c>
      <c r="M71" s="265">
        <f t="shared" si="13"/>
        <v>0</v>
      </c>
      <c r="N71" s="272">
        <f t="shared" si="12"/>
        <v>0</v>
      </c>
    </row>
    <row r="72" spans="1:14" s="205" customFormat="1" ht="13.5" thickBot="1" x14ac:dyDescent="0.35">
      <c r="A72" s="279" t="s">
        <v>403</v>
      </c>
      <c r="B72" s="280" t="s">
        <v>526</v>
      </c>
      <c r="C72" s="266">
        <f>C17+C23+C37+C53+C59+C65+C71</f>
        <v>1756755043.1100001</v>
      </c>
      <c r="D72" s="267">
        <f t="shared" ref="D72:M72" si="14">D17+D23+D37+D53+D59+D65+D71</f>
        <v>399722569</v>
      </c>
      <c r="E72" s="268">
        <f t="shared" si="14"/>
        <v>25998000</v>
      </c>
      <c r="F72" s="266">
        <f t="shared" si="14"/>
        <v>800000</v>
      </c>
      <c r="G72" s="268">
        <f t="shared" si="14"/>
        <v>0</v>
      </c>
      <c r="H72" s="266">
        <f t="shared" si="14"/>
        <v>7800000</v>
      </c>
      <c r="I72" s="268">
        <f t="shared" si="14"/>
        <v>0</v>
      </c>
      <c r="J72" s="266">
        <f t="shared" si="14"/>
        <v>150000</v>
      </c>
      <c r="K72" s="268">
        <f t="shared" si="14"/>
        <v>0</v>
      </c>
      <c r="L72" s="266">
        <f t="shared" si="14"/>
        <v>600000</v>
      </c>
      <c r="M72" s="268">
        <f t="shared" si="14"/>
        <v>0</v>
      </c>
      <c r="N72" s="273">
        <f t="shared" ref="N72" si="15">N17+N23+N37+N53+N59+N65+N71</f>
        <v>2191825612.1100001</v>
      </c>
    </row>
    <row r="74" spans="1:14" ht="12.5" hidden="1" x14ac:dyDescent="0.25">
      <c r="C74" s="177">
        <f>'Finanszírozási bevételek'!C34</f>
        <v>295783880</v>
      </c>
      <c r="D74" s="177"/>
      <c r="E74" s="177"/>
      <c r="F74" s="177">
        <f>'Finanszírozási bevételek'!F34</f>
        <v>262373057.00999999</v>
      </c>
      <c r="G74" s="177"/>
      <c r="H74" s="177">
        <f>'Finanszírozási bevételek'!H34</f>
        <v>335102715.88999999</v>
      </c>
      <c r="I74" s="177"/>
      <c r="J74" s="177">
        <f>'Finanszírozási bevételek'!J34</f>
        <v>34081440</v>
      </c>
      <c r="K74" s="177"/>
      <c r="L74" s="177">
        <f>'Finanszírozási bevételek'!L34</f>
        <v>43855727</v>
      </c>
      <c r="M74" s="177"/>
      <c r="N74" s="177">
        <f>'Finanszírozási bevételek'!N34</f>
        <v>1000660119.73</v>
      </c>
    </row>
    <row r="75" spans="1:14" hidden="1" x14ac:dyDescent="0.3"/>
    <row r="76" spans="1:14" ht="12.5" hidden="1" x14ac:dyDescent="0.25">
      <c r="C76" s="177">
        <f>SUM(C72:C74)</f>
        <v>2052538923.1100001</v>
      </c>
      <c r="D76" s="177"/>
      <c r="E76" s="177"/>
      <c r="F76" s="177">
        <f t="shared" ref="F76:N76" si="16">SUM(F72:F74)</f>
        <v>263173057.00999999</v>
      </c>
      <c r="G76" s="177"/>
      <c r="H76" s="177">
        <f t="shared" si="16"/>
        <v>342902715.88999999</v>
      </c>
      <c r="I76" s="177"/>
      <c r="J76" s="177">
        <f t="shared" si="16"/>
        <v>34231440</v>
      </c>
      <c r="K76" s="177"/>
      <c r="L76" s="177">
        <f t="shared" si="16"/>
        <v>44455727</v>
      </c>
      <c r="M76" s="177"/>
      <c r="N76" s="177">
        <f t="shared" si="16"/>
        <v>3192485731.8400002</v>
      </c>
    </row>
    <row r="77" spans="1:14" hidden="1" x14ac:dyDescent="0.3"/>
  </sheetData>
  <mergeCells count="8">
    <mergeCell ref="A1:N1"/>
    <mergeCell ref="A2:N2"/>
    <mergeCell ref="B3:B4"/>
    <mergeCell ref="F3:G3"/>
    <mergeCell ref="H3:I3"/>
    <mergeCell ref="J3:K3"/>
    <mergeCell ref="L3:M3"/>
    <mergeCell ref="C3:E3"/>
  </mergeCells>
  <pageMargins left="0.74803149606299213" right="0.74803149606299213" top="0.98425196850393704" bottom="0.98425196850393704" header="0.51181102362204722" footer="0.51181102362204722"/>
  <pageSetup scale="33" orientation="landscape" r:id="rId1"/>
  <headerFooter alignWithMargins="0">
    <oddHeader>&amp;C&amp;L&amp;RÉrték típus: Forint</oddHeader>
    <oddFooter>&amp;C&amp;LAdatellenőrző kód: 395a-67-4577-9-33-1c-41-4f5b-6237-656f1e507e7a-6a&amp;R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Költségvetési kiadások</vt:lpstr>
      <vt:lpstr>Költségvetési bevételek</vt:lpstr>
      <vt:lpstr>Finanszírozási kiadások</vt:lpstr>
      <vt:lpstr>Finanszírozási bevételek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Jeney Erzsébet</cp:lastModifiedBy>
  <cp:lastPrinted>2018-03-09T07:44:41Z</cp:lastPrinted>
  <dcterms:created xsi:type="dcterms:W3CDTF">2016-02-12T10:55:45Z</dcterms:created>
  <dcterms:modified xsi:type="dcterms:W3CDTF">2018-03-09T08:01:03Z</dcterms:modified>
</cp:coreProperties>
</file>