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50" tabRatio="895" firstSheet="4" activeTab="1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 EU projektek" sheetId="11" r:id="rId11"/>
  </sheets>
  <definedNames>
    <definedName name="_xlnm.Print_Titles" localSheetId="0">'1. bevételek'!$5:$6</definedName>
    <definedName name="_xlnm.Print_Titles" localSheetId="10">'11.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bevételek'!$A$1:$J$201</definedName>
    <definedName name="_xlnm.Print_Area" localSheetId="10">'11. EU projektek'!$A$1:$L$155</definedName>
    <definedName name="_xlnm.Print_Area" localSheetId="1">'2. kiadások '!$A$1:$J$78</definedName>
    <definedName name="_xlnm.Print_Area" localSheetId="3">'4.önkorm.kiad.feladat'!$D$1:$X$53</definedName>
    <definedName name="_xlnm.Print_Area" localSheetId="4">'5. Óvoda, Kult. kiad. feladat'!$A$1:$K$38</definedName>
    <definedName name="_xlnm.Print_Area" localSheetId="5">'6. kiadások megbontása'!$A$1:$M$86</definedName>
    <definedName name="_xlnm.Print_Area" localSheetId="6">'7. források sz. bontás'!$A$1:$AC$63</definedName>
    <definedName name="_xlnm.Print_Area" localSheetId="7">'8. létszámok'!$A$1:$M$109</definedName>
    <definedName name="_xlnm.Print_Area" localSheetId="8">'9.felhki'!$A$1:$D$90</definedName>
  </definedNames>
  <calcPr fullCalcOnLoad="1"/>
</workbook>
</file>

<file path=xl/sharedStrings.xml><?xml version="1.0" encoding="utf-8"?>
<sst xmlns="http://schemas.openxmlformats.org/spreadsheetml/2006/main" count="1770" uniqueCount="1029">
  <si>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</si>
  <si>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</si>
  <si>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</si>
  <si>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</si>
  <si>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</si>
  <si>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</si>
  <si>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</si>
  <si>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</si>
  <si>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</si>
  <si>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</si>
  <si>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</si>
  <si>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</si>
  <si>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</si>
  <si>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</si>
  <si>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</si>
  <si>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</si>
  <si>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</si>
  <si>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</si>
  <si>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</si>
  <si>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</si>
  <si>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</si>
  <si>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</si>
  <si>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</si>
  <si>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</si>
  <si>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</si>
  <si>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</si>
  <si>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</si>
  <si>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</si>
  <si>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</si>
  <si>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</si>
  <si>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</si>
  <si>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</si>
  <si>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</si>
  <si>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</si>
  <si>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</si>
  <si>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</si>
  <si>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</si>
  <si>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</si>
  <si>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</si>
  <si>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</si>
  <si>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</si>
  <si>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</si>
  <si>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</si>
  <si>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</si>
  <si>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</si>
  <si>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</si>
  <si>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</si>
  <si>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</si>
  <si>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</si>
  <si>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</si>
  <si>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</si>
  <si>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</si>
  <si>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</si>
  <si>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</si>
  <si>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</si>
  <si>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</si>
  <si>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</si>
  <si>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</si>
  <si>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</si>
  <si>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</si>
  <si>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</si>
  <si>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</si>
  <si>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</si>
  <si>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</si>
  <si>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</si>
  <si>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</si>
  <si>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</si>
  <si>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</si>
  <si>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</si>
  <si>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</si>
  <si>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</si>
  <si>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</si>
  <si>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</si>
  <si>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</si>
  <si>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</si>
  <si>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</si>
  <si>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</si>
  <si>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</si>
  <si>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</si>
  <si>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</si>
  <si>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</si>
  <si>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</si>
  <si>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</si>
  <si>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</si>
  <si>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</si>
  <si>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</si>
  <si>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</si>
  <si>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</si>
  <si>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</si>
  <si>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</si>
  <si>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</si>
  <si>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</si>
  <si>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</si>
  <si>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</si>
  <si>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</si>
  <si>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</si>
  <si>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</si>
  <si>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</si>
  <si>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</si>
  <si>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</si>
  <si>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</si>
  <si>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</si>
  <si>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</si>
  <si>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</si>
  <si>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</si>
  <si>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</si>
  <si>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</si>
  <si>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</si>
  <si>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</si>
  <si>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</si>
  <si>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</si>
  <si>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</si>
  <si>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</si>
  <si>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</si>
  <si>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</si>
  <si>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</si>
  <si>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</si>
  <si>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</si>
  <si>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</si>
  <si>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</si>
  <si>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</si>
  <si>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</si>
  <si>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</si>
  <si>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</si>
  <si>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</si>
  <si>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</si>
  <si>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</si>
  <si>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</si>
  <si>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</si>
  <si>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</si>
  <si>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</si>
  <si>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</si>
  <si>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</si>
  <si>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</si>
  <si>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</si>
  <si>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</si>
  <si>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</si>
  <si>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</si>
  <si>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</si>
  <si>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</si>
  <si>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</si>
  <si>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</si>
  <si>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</si>
  <si>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</si>
  <si>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</si>
  <si>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</si>
  <si>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</si>
  <si>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</si>
  <si>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</si>
  <si>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</si>
  <si>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</si>
  <si>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</si>
  <si>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</si>
  <si>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</si>
  <si>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</si>
  <si>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</si>
  <si>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</si>
  <si>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</si>
  <si>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</si>
  <si>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</si>
  <si>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</si>
  <si>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</si>
  <si>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</si>
  <si>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</si>
  <si>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</si>
  <si>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</si>
  <si>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</si>
  <si>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</si>
  <si>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</si>
  <si>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</si>
  <si>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</si>
  <si>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</si>
  <si>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</si>
  <si>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</si>
  <si>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</si>
  <si>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</si>
  <si>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</si>
  <si>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</si>
  <si>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</si>
  <si>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</si>
  <si>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</si>
  <si>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</si>
  <si>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</si>
  <si>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</si>
  <si>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</si>
  <si>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</si>
  <si>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</si>
  <si>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</si>
  <si>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</si>
  <si>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</si>
  <si>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</si>
  <si>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</si>
  <si>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</si>
  <si>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</si>
  <si>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</si>
  <si>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</si>
  <si>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</si>
  <si>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</si>
  <si>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</si>
  <si>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</si>
  <si>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</si>
  <si>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</si>
  <si>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</si>
  <si>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</si>
  <si>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</si>
  <si>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</si>
  <si>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</si>
  <si>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</si>
  <si>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</si>
  <si>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</si>
  <si>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</si>
  <si>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</si>
  <si>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</si>
  <si>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</si>
  <si>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</si>
  <si>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</si>
  <si>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</si>
  <si>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</si>
  <si>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</si>
  <si>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</si>
  <si>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</si>
  <si>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</si>
  <si>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</si>
  <si>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</si>
  <si>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</si>
  <si>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</si>
  <si>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</si>
  <si>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</si>
  <si>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</si>
  <si>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</si>
  <si>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</si>
  <si>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</si>
  <si>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</si>
  <si>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</si>
  <si>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</si>
  <si>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</si>
  <si>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</si>
  <si>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</si>
  <si>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</si>
  <si>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</si>
  <si>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</si>
  <si>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</si>
  <si>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</si>
  <si>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</si>
  <si>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</si>
  <si>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</si>
  <si>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</si>
  <si>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</si>
  <si>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</si>
  <si>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</si>
  <si>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</si>
  <si>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</si>
  <si>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</si>
  <si>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</si>
  <si>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</si>
  <si>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</si>
  <si>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</si>
  <si>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</si>
  <si>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</si>
  <si>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</si>
  <si>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</si>
  <si>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</si>
  <si>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</si>
  <si>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</si>
  <si>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</si>
  <si>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</si>
  <si>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</si>
  <si>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</si>
  <si>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</si>
  <si>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</si>
  <si>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</si>
  <si>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</si>
  <si>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</si>
  <si>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</si>
  <si>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</si>
  <si>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</si>
  <si>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</si>
  <si>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</si>
  <si>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</si>
  <si>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</si>
  <si>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</si>
  <si>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</si>
  <si>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</si>
  <si>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</si>
  <si>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</si>
  <si>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</si>
  <si>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</si>
  <si>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</si>
  <si>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</si>
  <si>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</si>
  <si>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</si>
  <si>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</si>
  <si>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</si>
  <si>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</si>
  <si>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</si>
  <si>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</si>
  <si>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</si>
  <si>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</si>
  <si>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</si>
  <si>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</si>
  <si>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</si>
  <si>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</si>
  <si>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</si>
  <si>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</si>
  <si>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</si>
  <si>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</si>
  <si>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</si>
  <si>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</si>
  <si>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</si>
  <si>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</si>
  <si>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</si>
  <si>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</si>
  <si>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</si>
  <si>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</si>
  <si>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</si>
  <si>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</si>
  <si>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</si>
  <si>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</si>
  <si>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</si>
  <si>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</si>
  <si>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</si>
  <si>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</si>
  <si>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</si>
  <si>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</si>
  <si>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</si>
  <si>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</si>
  <si>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</si>
  <si>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</si>
  <si>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</si>
  <si>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</si>
  <si>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</si>
  <si>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</si>
  <si>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</si>
  <si>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</si>
  <si>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</si>
  <si>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</si>
  <si>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</si>
  <si>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</si>
  <si>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</si>
  <si>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</si>
  <si>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</si>
  <si>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</si>
  <si>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</si>
  <si>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</si>
  <si>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</si>
  <si>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</si>
  <si>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</si>
  <si>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</si>
  <si>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</si>
  <si>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</si>
  <si>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</si>
  <si>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</si>
  <si>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</si>
  <si>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</si>
  <si>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</si>
  <si>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</si>
  <si>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</si>
  <si>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</si>
  <si>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</si>
  <si>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</si>
  <si>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</si>
  <si>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</si>
  <si>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</si>
  <si>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</si>
  <si>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</si>
  <si>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</si>
  <si>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</si>
  <si>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</si>
  <si>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</si>
  <si>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</si>
  <si>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</si>
  <si>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</si>
  <si>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</si>
  <si>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</si>
  <si>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</si>
  <si>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</si>
  <si>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</si>
  <si>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</si>
  <si>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</si>
  <si>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</si>
  <si>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</si>
  <si>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</si>
  <si>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</si>
  <si>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</si>
  <si>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</si>
  <si>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</si>
  <si>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</si>
  <si>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</si>
  <si>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</si>
  <si>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</si>
  <si>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</si>
  <si>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</si>
  <si>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</si>
  <si>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</si>
  <si>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</si>
  <si>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</si>
  <si>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</si>
  <si>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</si>
  <si>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</si>
  <si>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</si>
  <si>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</si>
  <si>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</si>
  <si>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</si>
  <si>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</si>
  <si>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</si>
  <si>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</si>
  <si>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</si>
  <si>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</si>
  <si>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</si>
  <si>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</si>
  <si>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</si>
  <si>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</si>
  <si>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</si>
  <si>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</si>
  <si>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</si>
  <si>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</si>
  <si>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</si>
  <si>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</si>
  <si>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</si>
  <si>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</si>
  <si>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</si>
  <si>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</si>
  <si>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</si>
  <si>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</si>
  <si>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</si>
  <si>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</si>
  <si>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</si>
  <si>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</si>
  <si>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</si>
  <si>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</si>
  <si>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</si>
  <si>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</si>
  <si>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</si>
  <si>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</si>
  <si>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</si>
  <si>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</si>
  <si>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</si>
  <si>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</si>
  <si>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</si>
  <si>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</si>
  <si>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</si>
  <si>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</si>
  <si>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</si>
  <si>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</si>
  <si>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</si>
  <si>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</si>
  <si>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</si>
  <si>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</si>
  <si>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</si>
  <si>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</si>
  <si>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</si>
  <si>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</si>
  <si>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</si>
  <si>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</si>
  <si>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</si>
  <si>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</si>
  <si>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</si>
  <si>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</si>
  <si>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</si>
  <si>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</si>
  <si>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</si>
  <si>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</si>
  <si>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</si>
  <si>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</si>
  <si>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</si>
  <si>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</si>
  <si>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</si>
  <si>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</si>
  <si>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</si>
  <si>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</si>
  <si>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</si>
  <si>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</si>
  <si>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</si>
  <si>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</si>
  <si>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</si>
  <si>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</si>
  <si>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</si>
  <si>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</si>
  <si>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</si>
  <si>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</si>
  <si>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</si>
  <si>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</si>
  <si>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</si>
  <si>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</si>
  <si>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</si>
  <si>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</si>
  <si>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</si>
  <si>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</si>
  <si>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</si>
  <si>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</si>
  <si>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</si>
  <si>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</si>
  <si>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</si>
  <si>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</si>
  <si>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</si>
  <si>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</si>
  <si>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</si>
  <si>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</si>
  <si>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</si>
  <si>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</si>
  <si>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</si>
  <si>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</si>
  <si>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</si>
  <si>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</si>
  <si>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</si>
  <si>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</si>
  <si>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</si>
  <si>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</si>
  <si>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</si>
  <si>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</si>
  <si>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</si>
  <si>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</si>
  <si>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</si>
  <si>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</si>
  <si>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</si>
  <si>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</si>
  <si>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</si>
  <si>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</si>
  <si>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</si>
  <si>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</si>
  <si>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</si>
  <si>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</si>
  <si>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</si>
  <si>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</si>
  <si>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</si>
  <si>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</si>
  <si>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</si>
  <si>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</si>
  <si>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</si>
  <si>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</si>
  <si>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</si>
  <si>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</si>
  <si>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</si>
  <si>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</si>
  <si>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</si>
  <si>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</si>
  <si>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</si>
  <si>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</si>
  <si>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</si>
  <si>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</si>
  <si>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</si>
  <si>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</si>
  <si>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</si>
  <si>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</si>
  <si>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</si>
  <si>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</si>
  <si>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</si>
  <si>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</si>
  <si>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</si>
  <si>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</si>
  <si>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</si>
  <si>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</si>
  <si>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</si>
  <si>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</si>
  <si>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</si>
  <si>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</si>
  <si>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</si>
  <si>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</si>
  <si>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</si>
  <si>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</si>
  <si>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</si>
  <si>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</si>
  <si>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</si>
  <si>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</si>
  <si>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</si>
  <si>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</si>
  <si>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</si>
  <si>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</si>
  <si>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</si>
  <si>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</si>
  <si>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</si>
  <si>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</si>
  <si>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</si>
  <si>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</si>
  <si>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</si>
  <si>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</si>
  <si>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</si>
  <si>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</si>
  <si>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</si>
  <si>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</si>
  <si>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</si>
  <si>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</si>
  <si>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</si>
  <si>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</si>
  <si>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</si>
  <si>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</si>
  <si>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</si>
  <si>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</si>
  <si>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</si>
  <si>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</si>
  <si>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</si>
  <si>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</si>
  <si>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</si>
  <si>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</si>
  <si>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</si>
  <si>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</si>
  <si>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</si>
  <si>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</si>
  <si>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</si>
  <si>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</si>
  <si>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</si>
  <si>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</si>
  <si>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</si>
  <si>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</si>
  <si>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</si>
  <si>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</si>
  <si>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</si>
  <si>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</si>
  <si>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</si>
  <si>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</si>
  <si>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</si>
  <si>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</si>
  <si>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</si>
  <si>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</si>
  <si>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</si>
  <si>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</si>
  <si>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</si>
  <si>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</si>
  <si>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</si>
  <si>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</si>
  <si>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</si>
  <si>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</si>
  <si>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</si>
  <si>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</si>
  <si>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</si>
  <si>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</si>
  <si>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</si>
  <si>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</si>
  <si>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</si>
  <si>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</si>
  <si>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</si>
  <si>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</si>
  <si>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</si>
  <si>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</si>
  <si>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</si>
  <si>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</si>
  <si>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</si>
  <si>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</si>
  <si>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</si>
  <si>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</si>
  <si>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</si>
  <si>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</si>
  <si>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</si>
  <si>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</si>
  <si>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</si>
  <si>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</si>
  <si>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</si>
  <si>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</si>
  <si>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</si>
  <si>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</si>
  <si>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</si>
  <si>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</si>
  <si>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</si>
  <si>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</si>
  <si>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</si>
  <si>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</si>
  <si>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</si>
  <si>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</si>
  <si>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</si>
  <si>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</si>
  <si>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</si>
  <si>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</si>
  <si>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</si>
  <si>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</si>
  <si>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</si>
  <si>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</si>
  <si>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</si>
  <si>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</si>
  <si>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</si>
  <si>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</si>
  <si>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</si>
  <si>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</si>
  <si>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</si>
  <si>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</si>
  <si>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</si>
  <si>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</si>
  <si>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</si>
  <si>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</si>
  <si>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</si>
  <si>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</si>
  <si>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</si>
  <si>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</si>
  <si>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</si>
  <si>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</si>
  <si>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</si>
  <si>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</si>
  <si>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</si>
  <si>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</si>
  <si>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</si>
  <si>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</si>
  <si>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</si>
  <si>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</si>
  <si>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</si>
  <si>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</si>
  <si>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</si>
  <si>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</si>
  <si>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</si>
  <si>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</si>
  <si>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</si>
  <si>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</si>
  <si>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</si>
  <si>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</si>
  <si>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</si>
  <si>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</si>
  <si>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</si>
  <si>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</si>
  <si>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</si>
  <si>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</si>
  <si>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</si>
  <si>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</si>
  <si>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</si>
  <si>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</si>
  <si>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</si>
  <si>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</si>
  <si>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</si>
  <si>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</si>
  <si>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</si>
  <si>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</si>
  <si>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</si>
  <si>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</si>
  <si>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</si>
  <si>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</si>
  <si>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</si>
  <si>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</si>
  <si>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</si>
  <si>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</si>
  <si>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</si>
  <si>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</si>
  <si>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</si>
  <si>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</si>
  <si>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</si>
  <si>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</si>
  <si>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</si>
  <si>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</si>
  <si>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</si>
  <si>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</si>
  <si>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</si>
  <si>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</si>
  <si>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</si>
  <si>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</si>
  <si>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</si>
  <si>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</si>
  <si>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</si>
  <si>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</si>
  <si>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</si>
  <si>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</si>
  <si>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</si>
  <si>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</si>
  <si>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</si>
  <si>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</si>
  <si>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</si>
  <si>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</si>
  <si>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</si>
  <si>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</si>
  <si>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</si>
  <si>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</si>
  <si>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</si>
  <si>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</si>
  <si>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</si>
  <si>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</si>
  <si>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</si>
  <si>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</si>
  <si>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</si>
  <si>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</si>
  <si>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Üdülői szálláshely szolgáltatás és étkeztetés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</si>
  <si>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</si>
  <si>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</si>
  <si>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</si>
  <si>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</si>
  <si>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</si>
  <si>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</si>
  <si>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</si>
  <si>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</si>
  <si>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</si>
  <si>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</si>
  <si>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</si>
  <si>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</si>
  <si>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</si>
  <si>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</si>
  <si>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</si>
  <si>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</si>
  <si>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</si>
  <si>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</si>
  <si>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</si>
  <si>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</si>
  <si>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</si>
  <si>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</si>
  <si>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Út, autópálya építése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</si>
  <si>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</si>
  <si>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</si>
  <si>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</si>
  <si>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EFOP-1.5.3-16-2017-00082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</si>
  <si>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</si>
  <si>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</si>
  <si>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</si>
  <si>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</si>
  <si>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</si>
  <si>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</si>
  <si>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</si>
  <si>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</si>
  <si>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</si>
  <si>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</si>
  <si>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</si>
  <si>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</si>
  <si>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</si>
  <si>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</si>
  <si>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</si>
  <si>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</si>
  <si>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</si>
  <si>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Jánoshalma belterületi összközműves, digitális formátumú térképei síkrajzának 2018-2019. évi felújítása</t>
  </si>
  <si>
    <t>Jánoshalma külterületi összközműves, digitális formátumú térképei síkrajzának 2014-2017. évi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</si>
  <si>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</si>
  <si>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</si>
  <si>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</si>
  <si>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</si>
  <si>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</si>
  <si>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</si>
  <si>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</si>
  <si>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</si>
  <si>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</si>
  <si>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VP6-19.2.1-32-1-17kódsz. Mélykúti u. 7. sz. alatti tároló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</si>
  <si>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</si>
  <si>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</si>
  <si>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</si>
  <si>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</si>
  <si>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</si>
  <si>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</si>
  <si>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</si>
  <si>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</si>
  <si>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</si>
  <si>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</si>
  <si>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</si>
  <si>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</si>
  <si>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</si>
  <si>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</si>
  <si>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</si>
  <si>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</si>
  <si>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</si>
  <si>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</si>
  <si>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</si>
  <si>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</si>
  <si>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</si>
  <si>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</si>
  <si>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</si>
  <si>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</si>
  <si>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</si>
  <si>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</si>
  <si>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</si>
  <si>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</si>
  <si>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</si>
  <si>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</si>
  <si>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</si>
  <si>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</si>
  <si>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</si>
  <si>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</si>
  <si>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</si>
  <si>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</si>
  <si>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</si>
  <si>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</si>
  <si>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</si>
  <si>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</si>
  <si>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</si>
  <si>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Zöldfa utca szilárd burkolatú út készítése</t>
  </si>
  <si>
    <t>Járdaépítés (fedezet: képviselői felajánlásból)</t>
  </si>
  <si>
    <t>Polgármesteri Hivatal udvarán garázs kialakítása</t>
  </si>
  <si>
    <t>Vízkárelhárítási terv elkészíttetése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</si>
  <si>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</si>
  <si>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</si>
  <si>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</si>
  <si>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</si>
  <si>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</si>
  <si>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</si>
  <si>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</si>
  <si>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</si>
  <si>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</si>
  <si>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</si>
  <si>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</si>
  <si>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</si>
  <si>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</si>
  <si>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</si>
  <si>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</si>
  <si>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</si>
  <si>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</si>
  <si>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</si>
  <si>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</si>
  <si>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</si>
  <si>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</si>
  <si>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</si>
  <si>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</si>
  <si>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</si>
  <si>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</si>
  <si>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</si>
  <si>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</si>
  <si>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</si>
  <si>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</si>
  <si>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</si>
  <si>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</si>
  <si>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</si>
  <si>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</si>
  <si>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</si>
  <si>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Járási startmunka mintaprogram (2020.03.01-2021.02.28) - kisértékű tárgyi eszköz beszerzés</t>
  </si>
  <si>
    <t xml:space="preserve"> Hosszabb időtartamú közfoglalkoztatás (2020.03.01-2021.02.28.) - kisértékű tárgyi eszköz beszerzés 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</si>
  <si>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</si>
  <si>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</si>
  <si>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</si>
  <si>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</si>
  <si>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</si>
  <si>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</si>
  <si>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</si>
  <si>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</si>
  <si>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</si>
  <si>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</si>
  <si>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</si>
  <si>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</si>
  <si>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</si>
  <si>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</si>
  <si>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</si>
  <si>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</si>
  <si>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</si>
  <si>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Polgármesteri Hivatal épületének felújításával kapcsolatosan irodabútorok beszerzése</t>
  </si>
  <si>
    <t>EFOP-1.5.3-16-2017-00082  "Együtt vagyunk, otthon vagyunk és itt maradunk" c. projekt rendezvényeinek megvalósításához kapcsolódó eszközbeszerzések</t>
  </si>
  <si>
    <t>Nyitnikék Gyerekház beruházási kiadásai (fejlesztő játékok vásárlása, tágulási tartály és tartozékainak beszerzése)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</si>
  <si>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</si>
  <si>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</si>
  <si>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</si>
  <si>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</si>
  <si>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</si>
  <si>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</si>
  <si>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</si>
  <si>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</si>
  <si>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</si>
  <si>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</si>
  <si>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</si>
  <si>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</si>
  <si>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</si>
  <si>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</si>
  <si>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</si>
  <si>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</si>
  <si>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</si>
  <si>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</si>
  <si>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</si>
  <si>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</si>
  <si>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</si>
  <si>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</si>
  <si>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</si>
  <si>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</si>
  <si>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</si>
  <si>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</si>
  <si>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</si>
  <si>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</si>
  <si>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</si>
  <si>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</si>
  <si>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</si>
  <si>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</si>
  <si>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</si>
  <si>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</si>
  <si>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</si>
  <si>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</si>
  <si>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</si>
  <si>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</si>
  <si>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</si>
  <si>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</si>
  <si>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</si>
  <si>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</si>
  <si>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</si>
  <si>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</si>
  <si>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</si>
  <si>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</si>
  <si>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</si>
  <si>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</si>
  <si>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</si>
  <si>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</si>
  <si>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</si>
  <si>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</si>
  <si>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</si>
  <si>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</si>
  <si>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</si>
  <si>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</si>
  <si>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</si>
  <si>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</si>
  <si>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</si>
  <si>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</si>
  <si>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</si>
  <si>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</si>
  <si>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</si>
  <si>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</si>
  <si>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</si>
  <si>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</si>
  <si>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</si>
  <si>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</si>
  <si>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24. Egészségügyi ellátás</t>
  </si>
  <si>
    <t>43</t>
  </si>
  <si>
    <t xml:space="preserve">EFOP-3.2.9-16-2016-00044 "Segítsd, hogy segíthessen!" c. projekt </t>
  </si>
  <si>
    <t>Nyári diákmunka program</t>
  </si>
  <si>
    <t>44</t>
  </si>
  <si>
    <t>45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</si>
  <si>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</si>
  <si>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</si>
  <si>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</si>
  <si>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</si>
  <si>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NYÁRI DIÁKMUNKÁSOK LÉTSZÁMA ÖSSZESEN:</t>
  </si>
  <si>
    <t>Hosszabb időtartamú közfoglalkoztatás (2020. június 1-től indult program 2020.11.30-ig)</t>
  </si>
  <si>
    <t xml:space="preserve">10 fő álláskereső közfoglalkoztatása </t>
  </si>
  <si>
    <t>Szociális alapellátás</t>
  </si>
  <si>
    <t>- Szociális étkeztetési vezető</t>
  </si>
  <si>
    <t>- Házi segítségnyújtásban gondozónő</t>
  </si>
  <si>
    <t>Meglévő számítógépek fejlesztése</t>
  </si>
  <si>
    <t>Polgármesteri Hivatal  összesen:</t>
  </si>
  <si>
    <t>Óvodai nevelés eszközbeszerzési (udvari játékok, sportszerek, óvodai ágyak, ágytároló szekrény, kuka, porszívó, takarítógép, létra, tárolószekrények, egyéb eszköz beszerzés)</t>
  </si>
  <si>
    <t>Kerékpártárolók felújítása és hozzá tartozó kerítésfelújítás ( Radnóti utcai óvoda)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</si>
  <si>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</si>
  <si>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</si>
  <si>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</si>
  <si>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</si>
  <si>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</si>
  <si>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</si>
  <si>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</si>
  <si>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</si>
  <si>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1. melléklet a 11/2020.(VII.15.) önkormányzati rendelethez</t>
  </si>
  <si>
    <t>2. melléklet a 11/2020.(VII.15.) önkormányzati rendelethez</t>
  </si>
  <si>
    <t>3. melléklet a 11/2020.(VII.15.) önkormányzati rendelethez</t>
  </si>
  <si>
    <t>4. melléklet a 11/2020.(VII.15.) önkormányzati rendelethez</t>
  </si>
  <si>
    <t>5. melléklet a 11/2020.(VII.15.) önkormányzati rendelethez</t>
  </si>
  <si>
    <t>6. melléklet a 11/2020.(VII.15.) önkormányzati rendelethez</t>
  </si>
  <si>
    <t>7. melléklet a 11/2020.VII.15.) önkormányzati rendelethez</t>
  </si>
  <si>
    <t>8. melléklet a 11/2020. (VII.15.) önkormányzati rendelethez</t>
  </si>
  <si>
    <t>9. melléklet a 11/2020.(VII.15.) önkormányzati rendelethez</t>
  </si>
  <si>
    <t>10. melléklet a 11/2020.(VII.15.) önkormányzati rendelethez</t>
  </si>
  <si>
    <t>11. melléklet a 11/2020. (VII.15.)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</si>
</sst>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0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1" borderId="7" applyNumberFormat="0" applyFon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6" fillId="28" borderId="0" applyNumberFormat="0" applyBorder="0" applyAlignment="0" applyProtection="0"/>
    <xf numFmtId="0" fontId="97" fillId="29" borderId="8" applyNumberFormat="0" applyAlignment="0" applyProtection="0"/>
    <xf numFmtId="0" fontId="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101" fillId="31" borderId="0" applyNumberFormat="0" applyBorder="0" applyAlignment="0" applyProtection="0"/>
    <xf numFmtId="0" fontId="102" fillId="29" borderId="1" applyNumberFormat="0" applyAlignment="0" applyProtection="0"/>
    <xf numFmtId="9" fontId="0" fillId="0" borderId="0" applyFont="0" applyFill="0" applyBorder="0" applyAlignment="0" applyProtection="0"/>
  </cellStyleXfs>
  <cellXfs count="120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3" fillId="0" borderId="0" xfId="57" applyFont="1" applyBorder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4" fillId="0" borderId="21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3" fontId="24" fillId="0" borderId="21" xfId="42" applyNumberFormat="1" applyFont="1" applyBorder="1" applyAlignment="1">
      <alignment horizontal="right"/>
    </xf>
    <xf numFmtId="0" fontId="24" fillId="0" borderId="21" xfId="57" applyFont="1" applyBorder="1">
      <alignment/>
      <protection/>
    </xf>
    <xf numFmtId="0" fontId="25" fillId="0" borderId="0" xfId="57" applyFont="1">
      <alignment/>
      <protection/>
    </xf>
    <xf numFmtId="0" fontId="26" fillId="0" borderId="21" xfId="57" applyFont="1" applyBorder="1" applyAlignment="1">
      <alignment horizontal="right"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vertical="center"/>
      <protection/>
    </xf>
    <xf numFmtId="3" fontId="28" fillId="0" borderId="21" xfId="42" applyNumberFormat="1" applyFont="1" applyBorder="1" applyAlignment="1">
      <alignment horizontal="right"/>
    </xf>
    <xf numFmtId="0" fontId="28" fillId="0" borderId="21" xfId="57" applyFont="1" applyBorder="1">
      <alignment/>
      <protection/>
    </xf>
    <xf numFmtId="0" fontId="28" fillId="0" borderId="0" xfId="57" applyFont="1">
      <alignment/>
      <protection/>
    </xf>
    <xf numFmtId="0" fontId="28" fillId="0" borderId="21" xfId="57" applyFont="1" applyBorder="1" applyAlignment="1">
      <alignment vertical="center" wrapText="1"/>
      <protection/>
    </xf>
    <xf numFmtId="0" fontId="28" fillId="0" borderId="21" xfId="57" applyFont="1" applyBorder="1" applyAlignment="1">
      <alignment horizontal="left" vertical="center"/>
      <protection/>
    </xf>
    <xf numFmtId="0" fontId="29" fillId="0" borderId="0" xfId="57" applyFont="1">
      <alignment/>
      <protection/>
    </xf>
    <xf numFmtId="0" fontId="28" fillId="0" borderId="21" xfId="57" applyFont="1" applyBorder="1" applyAlignment="1">
      <alignment horizontal="left" vertical="center" wrapText="1"/>
      <protection/>
    </xf>
    <xf numFmtId="0" fontId="30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31" fillId="0" borderId="21" xfId="57" applyNumberFormat="1" applyFont="1" applyBorder="1" applyAlignment="1">
      <alignment horizontal="right" vertical="center"/>
      <protection/>
    </xf>
    <xf numFmtId="3" fontId="31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32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19" fillId="32" borderId="2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/>
    </xf>
    <xf numFmtId="0" fontId="21" fillId="0" borderId="28" xfId="0" applyFont="1" applyBorder="1" applyAlignment="1">
      <alignment wrapText="1"/>
    </xf>
    <xf numFmtId="0" fontId="19" fillId="32" borderId="28" xfId="0" applyFont="1" applyFill="1" applyBorder="1" applyAlignment="1">
      <alignment vertical="center" wrapText="1"/>
    </xf>
    <xf numFmtId="49" fontId="21" fillId="0" borderId="28" xfId="0" applyNumberFormat="1" applyFont="1" applyBorder="1" applyAlignment="1">
      <alignment/>
    </xf>
    <xf numFmtId="49" fontId="21" fillId="0" borderId="28" xfId="0" applyNumberFormat="1" applyFont="1" applyBorder="1" applyAlignment="1">
      <alignment wrapText="1"/>
    </xf>
    <xf numFmtId="0" fontId="19" fillId="0" borderId="28" xfId="0" applyFont="1" applyFill="1" applyBorder="1" applyAlignment="1">
      <alignment/>
    </xf>
    <xf numFmtId="49" fontId="22" fillId="0" borderId="28" xfId="0" applyNumberFormat="1" applyFont="1" applyBorder="1" applyAlignment="1">
      <alignment/>
    </xf>
    <xf numFmtId="0" fontId="33" fillId="0" borderId="0" xfId="0" applyFont="1" applyAlignment="1">
      <alignment/>
    </xf>
    <xf numFmtId="0" fontId="21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2" borderId="28" xfId="0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 wrapText="1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49" fontId="21" fillId="0" borderId="28" xfId="0" applyNumberFormat="1" applyFont="1" applyBorder="1" applyAlignment="1">
      <alignment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4" fillId="0" borderId="21" xfId="58" applyFont="1" applyBorder="1">
      <alignment/>
      <protection/>
    </xf>
    <xf numFmtId="0" fontId="34" fillId="0" borderId="14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3" fontId="34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5" fillId="0" borderId="21" xfId="58" applyFont="1" applyBorder="1">
      <alignment/>
      <protection/>
    </xf>
    <xf numFmtId="3" fontId="35" fillId="0" borderId="21" xfId="58" applyNumberFormat="1" applyFont="1" applyBorder="1">
      <alignment/>
      <protection/>
    </xf>
    <xf numFmtId="0" fontId="36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4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9" fillId="0" borderId="21" xfId="58" applyNumberFormat="1" applyFont="1" applyBorder="1">
      <alignment/>
      <protection/>
    </xf>
    <xf numFmtId="0" fontId="40" fillId="0" borderId="21" xfId="58" applyFont="1" applyBorder="1">
      <alignment/>
      <protection/>
    </xf>
    <xf numFmtId="0" fontId="40" fillId="0" borderId="21" xfId="58" applyFont="1" applyBorder="1" applyAlignment="1">
      <alignment horizontal="left"/>
      <protection/>
    </xf>
    <xf numFmtId="3" fontId="40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40" fillId="0" borderId="21" xfId="58" applyFont="1" applyBorder="1" applyAlignment="1">
      <alignment horizontal="right"/>
      <protection/>
    </xf>
    <xf numFmtId="0" fontId="40" fillId="0" borderId="14" xfId="58" applyFont="1" applyBorder="1" applyAlignment="1">
      <alignment horizontal="left"/>
      <protection/>
    </xf>
    <xf numFmtId="0" fontId="40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/>
    </xf>
    <xf numFmtId="3" fontId="41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0" fontId="34" fillId="0" borderId="21" xfId="0" applyFont="1" applyBorder="1" applyAlignment="1">
      <alignment/>
    </xf>
    <xf numFmtId="3" fontId="34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5" fillId="0" borderId="21" xfId="0" applyFont="1" applyBorder="1" applyAlignment="1">
      <alignment/>
    </xf>
    <xf numFmtId="3" fontId="35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3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horizontal="left"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40" fillId="0" borderId="21" xfId="0" applyFont="1" applyBorder="1" applyAlignment="1">
      <alignment horizontal="left" vertical="center" wrapText="1"/>
    </xf>
    <xf numFmtId="3" fontId="40" fillId="34" borderId="21" xfId="0" applyNumberFormat="1" applyFont="1" applyFill="1" applyBorder="1" applyAlignment="1">
      <alignment/>
    </xf>
    <xf numFmtId="0" fontId="40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 horizontal="left" wrapText="1"/>
    </xf>
    <xf numFmtId="3" fontId="40" fillId="0" borderId="30" xfId="0" applyNumberFormat="1" applyFont="1" applyFill="1" applyBorder="1" applyAlignment="1">
      <alignment/>
    </xf>
    <xf numFmtId="0" fontId="45" fillId="0" borderId="21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right"/>
    </xf>
    <xf numFmtId="3" fontId="47" fillId="0" borderId="21" xfId="0" applyNumberFormat="1" applyFont="1" applyBorder="1" applyAlignment="1">
      <alignment/>
    </xf>
    <xf numFmtId="3" fontId="48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9" fillId="0" borderId="21" xfId="58" applyFont="1" applyBorder="1" applyAlignment="1">
      <alignment horizontal="left"/>
      <protection/>
    </xf>
    <xf numFmtId="49" fontId="34" fillId="0" borderId="0" xfId="60" applyNumberFormat="1" applyFont="1" applyFill="1" applyAlignment="1">
      <alignment horizontal="center" vertical="center"/>
      <protection/>
    </xf>
    <xf numFmtId="0" fontId="34" fillId="0" borderId="0" xfId="60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5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4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5" fillId="0" borderId="10" xfId="60" applyNumberFormat="1" applyFont="1" applyFill="1" applyBorder="1" applyAlignment="1">
      <alignment vertical="center" wrapText="1"/>
      <protection/>
    </xf>
    <xf numFmtId="3" fontId="35" fillId="0" borderId="35" xfId="60" applyNumberFormat="1" applyFont="1" applyFill="1" applyBorder="1" applyAlignment="1">
      <alignment vertical="center" wrapText="1"/>
      <protection/>
    </xf>
    <xf numFmtId="3" fontId="35" fillId="0" borderId="36" xfId="60" applyNumberFormat="1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 wrapText="1"/>
      <protection/>
    </xf>
    <xf numFmtId="3" fontId="35" fillId="0" borderId="37" xfId="60" applyNumberFormat="1" applyFont="1" applyFill="1" applyBorder="1" applyAlignment="1">
      <alignment vertical="center" wrapText="1"/>
      <protection/>
    </xf>
    <xf numFmtId="3" fontId="34" fillId="0" borderId="37" xfId="60" applyNumberFormat="1" applyFont="1" applyFill="1" applyBorder="1" applyAlignment="1">
      <alignment vertical="center"/>
      <protection/>
    </xf>
    <xf numFmtId="3" fontId="34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4" fillId="0" borderId="35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4" fillId="0" borderId="28" xfId="60" applyNumberFormat="1" applyFont="1" applyFill="1" applyBorder="1" applyAlignment="1">
      <alignment horizontal="center" vertical="center"/>
      <protection/>
    </xf>
    <xf numFmtId="3" fontId="35" fillId="0" borderId="28" xfId="60" applyNumberFormat="1" applyFont="1" applyFill="1" applyBorder="1" applyAlignment="1">
      <alignment vertical="center" wrapText="1"/>
      <protection/>
    </xf>
    <xf numFmtId="3" fontId="35" fillId="0" borderId="21" xfId="60" applyNumberFormat="1" applyFont="1" applyFill="1" applyBorder="1" applyAlignment="1">
      <alignment vertical="center" wrapText="1"/>
      <protection/>
    </xf>
    <xf numFmtId="3" fontId="35" fillId="0" borderId="17" xfId="60" applyNumberFormat="1" applyFont="1" applyFill="1" applyBorder="1" applyAlignment="1">
      <alignment vertical="center" wrapText="1"/>
      <protection/>
    </xf>
    <xf numFmtId="3" fontId="34" fillId="0" borderId="17" xfId="60" applyNumberFormat="1" applyFont="1" applyFill="1" applyBorder="1" applyAlignment="1">
      <alignment vertical="center"/>
      <protection/>
    </xf>
    <xf numFmtId="3" fontId="34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5" fillId="0" borderId="23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horizontal="right" vertical="center" wrapText="1"/>
      <protection/>
    </xf>
    <xf numFmtId="3" fontId="35" fillId="0" borderId="23" xfId="60" applyNumberFormat="1" applyFont="1" applyFill="1" applyBorder="1" applyAlignment="1">
      <alignment horizontal="left" vertical="center" wrapText="1"/>
      <protection/>
    </xf>
    <xf numFmtId="3" fontId="35" fillId="0" borderId="28" xfId="60" applyNumberFormat="1" applyFont="1" applyFill="1" applyBorder="1" applyAlignment="1">
      <alignment vertical="center"/>
      <protection/>
    </xf>
    <xf numFmtId="3" fontId="35" fillId="0" borderId="21" xfId="60" applyNumberFormat="1" applyFont="1" applyFill="1" applyBorder="1" applyAlignment="1">
      <alignment vertical="center"/>
      <protection/>
    </xf>
    <xf numFmtId="3" fontId="35" fillId="0" borderId="17" xfId="60" applyNumberFormat="1" applyFont="1" applyFill="1" applyBorder="1" applyAlignment="1">
      <alignment vertical="center"/>
      <protection/>
    </xf>
    <xf numFmtId="3" fontId="35" fillId="34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51" fillId="0" borderId="21" xfId="60" applyNumberFormat="1" applyFont="1" applyFill="1" applyBorder="1" applyAlignment="1">
      <alignment vertical="center"/>
      <protection/>
    </xf>
    <xf numFmtId="3" fontId="49" fillId="0" borderId="17" xfId="60" applyNumberFormat="1" applyFont="1" applyFill="1" applyBorder="1" applyAlignment="1">
      <alignment vertical="center"/>
      <protection/>
    </xf>
    <xf numFmtId="3" fontId="51" fillId="0" borderId="17" xfId="60" applyNumberFormat="1" applyFont="1" applyFill="1" applyBorder="1" applyAlignment="1">
      <alignment vertical="center"/>
      <protection/>
    </xf>
    <xf numFmtId="3" fontId="45" fillId="0" borderId="32" xfId="60" applyNumberFormat="1" applyFont="1" applyFill="1" applyBorder="1" applyAlignment="1">
      <alignment vertical="center"/>
      <protection/>
    </xf>
    <xf numFmtId="3" fontId="35" fillId="0" borderId="33" xfId="60" applyNumberFormat="1" applyFont="1" applyFill="1" applyBorder="1" applyAlignment="1">
      <alignment vertical="center" wrapText="1"/>
      <protection/>
    </xf>
    <xf numFmtId="3" fontId="35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5" fillId="0" borderId="11" xfId="60" applyNumberFormat="1" applyFont="1" applyFill="1" applyBorder="1" applyAlignment="1">
      <alignment vertical="center" wrapText="1"/>
      <protection/>
    </xf>
    <xf numFmtId="3" fontId="35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5" fillId="0" borderId="42" xfId="60" applyNumberFormat="1" applyFont="1" applyFill="1" applyBorder="1" applyAlignment="1">
      <alignment vertical="center" wrapText="1"/>
      <protection/>
    </xf>
    <xf numFmtId="3" fontId="35" fillId="0" borderId="41" xfId="60" applyNumberFormat="1" applyFont="1" applyFill="1" applyBorder="1" applyAlignment="1">
      <alignment vertical="center" wrapText="1"/>
      <protection/>
    </xf>
    <xf numFmtId="3" fontId="52" fillId="0" borderId="25" xfId="60" applyNumberFormat="1" applyFont="1" applyFill="1" applyBorder="1" applyAlignment="1">
      <alignment vertical="center"/>
      <protection/>
    </xf>
    <xf numFmtId="3" fontId="52" fillId="0" borderId="31" xfId="60" applyNumberFormat="1" applyFont="1" applyFill="1" applyBorder="1" applyAlignment="1">
      <alignment vertical="center"/>
      <protection/>
    </xf>
    <xf numFmtId="3" fontId="52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5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52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52" fillId="0" borderId="49" xfId="59" applyNumberFormat="1" applyFont="1" applyBorder="1" applyAlignment="1">
      <alignment horizontal="right" vertical="center"/>
      <protection/>
    </xf>
    <xf numFmtId="3" fontId="52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52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52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52" fillId="0" borderId="49" xfId="59" applyNumberFormat="1" applyFont="1" applyBorder="1">
      <alignment/>
      <protection/>
    </xf>
    <xf numFmtId="3" fontId="52" fillId="0" borderId="30" xfId="59" applyNumberFormat="1" applyFont="1" applyBorder="1">
      <alignment/>
      <protection/>
    </xf>
    <xf numFmtId="3" fontId="52" fillId="0" borderId="56" xfId="59" applyNumberFormat="1" applyFont="1" applyBorder="1">
      <alignment/>
      <protection/>
    </xf>
    <xf numFmtId="3" fontId="52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3" fillId="0" borderId="0" xfId="59" applyNumberFormat="1" applyFont="1" applyBorder="1">
      <alignment/>
      <protection/>
    </xf>
    <xf numFmtId="0" fontId="53" fillId="0" borderId="49" xfId="59" applyFont="1" applyBorder="1" applyAlignment="1">
      <alignment horizontal="left"/>
      <protection/>
    </xf>
    <xf numFmtId="0" fontId="53" fillId="0" borderId="0" xfId="59" applyFont="1" applyBorder="1" applyAlignment="1">
      <alignment horizontal="left"/>
      <protection/>
    </xf>
    <xf numFmtId="0" fontId="53" fillId="0" borderId="54" xfId="59" applyFont="1" applyBorder="1" applyAlignment="1">
      <alignment horizontal="left"/>
      <protection/>
    </xf>
    <xf numFmtId="0" fontId="53" fillId="0" borderId="53" xfId="59" applyFont="1" applyBorder="1" applyAlignment="1">
      <alignment horizontal="left"/>
      <protection/>
    </xf>
    <xf numFmtId="0" fontId="53" fillId="0" borderId="53" xfId="59" applyFont="1" applyBorder="1">
      <alignment/>
      <protection/>
    </xf>
    <xf numFmtId="3" fontId="16" fillId="0" borderId="58" xfId="59" applyNumberFormat="1" applyFont="1" applyBorder="1">
      <alignment/>
      <protection/>
    </xf>
    <xf numFmtId="0" fontId="53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3" fillId="0" borderId="61" xfId="59" applyFont="1" applyBorder="1" applyAlignment="1">
      <alignment horizontal="left"/>
      <protection/>
    </xf>
    <xf numFmtId="0" fontId="53" fillId="0" borderId="46" xfId="59" applyFont="1" applyBorder="1" applyAlignment="1">
      <alignment horizontal="left"/>
      <protection/>
    </xf>
    <xf numFmtId="3" fontId="53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52" fillId="0" borderId="62" xfId="59" applyNumberFormat="1" applyFont="1" applyBorder="1" applyAlignment="1">
      <alignment horizontal="right" vertical="center"/>
      <protection/>
    </xf>
    <xf numFmtId="3" fontId="52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52" fillId="0" borderId="60" xfId="59" applyNumberFormat="1" applyFont="1" applyBorder="1" applyAlignment="1">
      <alignment horizontal="right" vertical="center"/>
      <protection/>
    </xf>
    <xf numFmtId="3" fontId="52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3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52" fillId="0" borderId="69" xfId="59" applyNumberFormat="1" applyFont="1" applyBorder="1" applyAlignment="1">
      <alignment horizontal="right"/>
      <protection/>
    </xf>
    <xf numFmtId="3" fontId="52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52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52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52" fillId="0" borderId="0" xfId="59" applyNumberFormat="1" applyFont="1" applyBorder="1">
      <alignment/>
      <protection/>
    </xf>
    <xf numFmtId="3" fontId="52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52" fillId="0" borderId="54" xfId="59" applyNumberFormat="1" applyFont="1" applyBorder="1" applyAlignment="1">
      <alignment horizontal="right" vertical="center"/>
      <protection/>
    </xf>
    <xf numFmtId="3" fontId="52" fillId="0" borderId="71" xfId="59" applyNumberFormat="1" applyFont="1" applyBorder="1" applyAlignment="1">
      <alignment horizontal="right" vertical="center"/>
      <protection/>
    </xf>
    <xf numFmtId="3" fontId="52" fillId="0" borderId="80" xfId="59" applyNumberFormat="1" applyFont="1" applyBorder="1">
      <alignment/>
      <protection/>
    </xf>
    <xf numFmtId="3" fontId="52" fillId="0" borderId="54" xfId="59" applyNumberFormat="1" applyFont="1" applyBorder="1">
      <alignment/>
      <protection/>
    </xf>
    <xf numFmtId="3" fontId="52" fillId="0" borderId="71" xfId="59" applyNumberFormat="1" applyFont="1" applyBorder="1">
      <alignment/>
      <protection/>
    </xf>
    <xf numFmtId="3" fontId="52" fillId="0" borderId="55" xfId="59" applyNumberFormat="1" applyFont="1" applyBorder="1" applyAlignment="1">
      <alignment horizontal="right" vertical="center"/>
      <protection/>
    </xf>
    <xf numFmtId="3" fontId="53" fillId="0" borderId="0" xfId="59" applyNumberFormat="1" applyFont="1" applyBorder="1" applyAlignment="1">
      <alignment/>
      <protection/>
    </xf>
    <xf numFmtId="3" fontId="38" fillId="0" borderId="81" xfId="59" applyNumberFormat="1" applyFont="1" applyBorder="1" applyAlignment="1">
      <alignment horizontal="center"/>
      <protection/>
    </xf>
    <xf numFmtId="3" fontId="38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8" fillId="0" borderId="81" xfId="59" applyNumberFormat="1" applyFont="1" applyBorder="1">
      <alignment/>
      <protection/>
    </xf>
    <xf numFmtId="3" fontId="38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4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49" fontId="21" fillId="0" borderId="28" xfId="0" applyNumberFormat="1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52" fillId="35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5" borderId="89" xfId="59" applyFont="1" applyFill="1" applyBorder="1" applyAlignment="1">
      <alignment vertical="center"/>
      <protection/>
    </xf>
    <xf numFmtId="3" fontId="10" fillId="35" borderId="90" xfId="59" applyNumberFormat="1" applyFont="1" applyFill="1" applyBorder="1" applyAlignment="1">
      <alignment vertical="center"/>
      <protection/>
    </xf>
    <xf numFmtId="0" fontId="13" fillId="35" borderId="91" xfId="59" applyFont="1" applyFill="1" applyBorder="1" applyAlignment="1">
      <alignment vertical="center"/>
      <protection/>
    </xf>
    <xf numFmtId="3" fontId="52" fillId="35" borderId="92" xfId="59" applyNumberFormat="1" applyFont="1" applyFill="1" applyBorder="1" applyAlignment="1">
      <alignment vertical="center"/>
      <protection/>
    </xf>
    <xf numFmtId="3" fontId="52" fillId="35" borderId="81" xfId="59" applyNumberFormat="1" applyFont="1" applyFill="1" applyBorder="1" applyAlignment="1">
      <alignment vertical="center"/>
      <protection/>
    </xf>
    <xf numFmtId="3" fontId="52" fillId="35" borderId="79" xfId="59" applyNumberFormat="1" applyFont="1" applyFill="1" applyBorder="1" applyAlignment="1">
      <alignment vertical="center"/>
      <protection/>
    </xf>
    <xf numFmtId="3" fontId="52" fillId="35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 wrapText="1"/>
      <protection/>
    </xf>
    <xf numFmtId="0" fontId="37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52" fillId="0" borderId="95" xfId="60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3" fontId="35" fillId="0" borderId="36" xfId="0" applyNumberFormat="1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34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50" fillId="0" borderId="11" xfId="0" applyNumberFormat="1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50" fillId="0" borderId="16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21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35" fillId="0" borderId="21" xfId="0" applyNumberFormat="1" applyFont="1" applyFill="1" applyBorder="1" applyAlignment="1">
      <alignment horizontal="right" vertical="center"/>
    </xf>
    <xf numFmtId="49" fontId="34" fillId="0" borderId="42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6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/>
    </xf>
    <xf numFmtId="49" fontId="57" fillId="33" borderId="28" xfId="0" applyNumberFormat="1" applyFont="1" applyFill="1" applyBorder="1" applyAlignment="1">
      <alignment vertical="center" wrapText="1"/>
    </xf>
    <xf numFmtId="0" fontId="57" fillId="33" borderId="21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11" fillId="0" borderId="0" xfId="0" applyFont="1" applyBorder="1" applyAlignment="1">
      <alignment/>
    </xf>
    <xf numFmtId="3" fontId="41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9" fillId="0" borderId="97" xfId="0" applyNumberFormat="1" applyFont="1" applyBorder="1" applyAlignment="1">
      <alignment/>
    </xf>
    <xf numFmtId="3" fontId="44" fillId="0" borderId="97" xfId="0" applyNumberFormat="1" applyFont="1" applyBorder="1" applyAlignment="1">
      <alignment/>
    </xf>
    <xf numFmtId="3" fontId="46" fillId="0" borderId="97" xfId="0" applyNumberFormat="1" applyFont="1" applyBorder="1" applyAlignment="1">
      <alignment/>
    </xf>
    <xf numFmtId="3" fontId="48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40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9" fillId="0" borderId="97" xfId="58" applyNumberFormat="1" applyFont="1" applyBorder="1">
      <alignment/>
      <protection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03" fillId="0" borderId="35" xfId="60" applyNumberFormat="1" applyFont="1" applyFill="1" applyBorder="1" applyAlignment="1">
      <alignment vertical="center" wrapText="1"/>
      <protection/>
    </xf>
    <xf numFmtId="3" fontId="103" fillId="0" borderId="36" xfId="60" applyNumberFormat="1" applyFont="1" applyFill="1" applyBorder="1" applyAlignment="1">
      <alignment vertical="center" wrapText="1"/>
      <protection/>
    </xf>
    <xf numFmtId="3" fontId="103" fillId="0" borderId="28" xfId="60" applyNumberFormat="1" applyFont="1" applyFill="1" applyBorder="1" applyAlignment="1">
      <alignment vertical="center" wrapText="1"/>
      <protection/>
    </xf>
    <xf numFmtId="3" fontId="103" fillId="0" borderId="21" xfId="60" applyNumberFormat="1" applyFont="1" applyFill="1" applyBorder="1" applyAlignment="1">
      <alignment vertical="center" wrapText="1"/>
      <protection/>
    </xf>
    <xf numFmtId="3" fontId="103" fillId="0" borderId="28" xfId="60" applyNumberFormat="1" applyFont="1" applyFill="1" applyBorder="1" applyAlignment="1">
      <alignment vertical="center"/>
      <protection/>
    </xf>
    <xf numFmtId="3" fontId="103" fillId="0" borderId="21" xfId="60" applyNumberFormat="1" applyFont="1" applyFill="1" applyBorder="1" applyAlignment="1">
      <alignment vertical="center"/>
      <protection/>
    </xf>
    <xf numFmtId="3" fontId="103" fillId="0" borderId="37" xfId="60" applyNumberFormat="1" applyFont="1" applyFill="1" applyBorder="1" applyAlignment="1">
      <alignment vertical="center" wrapText="1"/>
      <protection/>
    </xf>
    <xf numFmtId="3" fontId="103" fillId="0" borderId="17" xfId="60" applyNumberFormat="1" applyFont="1" applyFill="1" applyBorder="1" applyAlignment="1">
      <alignment vertical="center" wrapText="1"/>
      <protection/>
    </xf>
    <xf numFmtId="3" fontId="103" fillId="34" borderId="17" xfId="60" applyNumberFormat="1" applyFont="1" applyFill="1" applyBorder="1" applyAlignment="1">
      <alignment horizontal="right" vertical="center" wrapText="1"/>
      <protection/>
    </xf>
    <xf numFmtId="3" fontId="103" fillId="0" borderId="17" xfId="60" applyNumberFormat="1" applyFont="1" applyFill="1" applyBorder="1" applyAlignment="1">
      <alignment vertical="center"/>
      <protection/>
    </xf>
    <xf numFmtId="3" fontId="52" fillId="0" borderId="99" xfId="60" applyNumberFormat="1" applyFont="1" applyFill="1" applyBorder="1" applyAlignment="1">
      <alignment vertical="center"/>
      <protection/>
    </xf>
    <xf numFmtId="3" fontId="52" fillId="0" borderId="98" xfId="60" applyNumberFormat="1" applyFont="1" applyFill="1" applyBorder="1" applyAlignment="1">
      <alignment vertical="center"/>
      <protection/>
    </xf>
    <xf numFmtId="3" fontId="52" fillId="0" borderId="100" xfId="60" applyNumberFormat="1" applyFont="1" applyFill="1" applyBorder="1" applyAlignment="1">
      <alignment vertical="center"/>
      <protection/>
    </xf>
    <xf numFmtId="3" fontId="103" fillId="0" borderId="42" xfId="60" applyNumberFormat="1" applyFont="1" applyFill="1" applyBorder="1" applyAlignment="1">
      <alignment vertical="center"/>
      <protection/>
    </xf>
    <xf numFmtId="3" fontId="103" fillId="0" borderId="41" xfId="60" applyNumberFormat="1" applyFont="1" applyFill="1" applyBorder="1" applyAlignment="1">
      <alignment vertical="center"/>
      <protection/>
    </xf>
    <xf numFmtId="3" fontId="35" fillId="0" borderId="24" xfId="60" applyNumberFormat="1" applyFont="1" applyFill="1" applyBorder="1" applyAlignment="1">
      <alignment vertical="center"/>
      <protection/>
    </xf>
    <xf numFmtId="3" fontId="34" fillId="0" borderId="24" xfId="60" applyNumberFormat="1" applyFont="1" applyFill="1" applyBorder="1" applyAlignment="1">
      <alignment vertical="center"/>
      <protection/>
    </xf>
    <xf numFmtId="3" fontId="15" fillId="0" borderId="101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8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2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5" borderId="89" xfId="59" applyFont="1" applyFill="1" applyBorder="1" applyAlignment="1">
      <alignment horizontal="left" vertical="center" wrapText="1"/>
      <protection/>
    </xf>
    <xf numFmtId="3" fontId="14" fillId="35" borderId="103" xfId="59" applyNumberFormat="1" applyFont="1" applyFill="1" applyBorder="1" applyAlignment="1">
      <alignment horizontal="right" vertical="center"/>
      <protection/>
    </xf>
    <xf numFmtId="3" fontId="14" fillId="35" borderId="91" xfId="59" applyNumberFormat="1" applyFont="1" applyFill="1" applyBorder="1" applyAlignment="1">
      <alignment vertical="center"/>
      <protection/>
    </xf>
    <xf numFmtId="3" fontId="14" fillId="35" borderId="88" xfId="59" applyNumberFormat="1" applyFont="1" applyFill="1" applyBorder="1" applyAlignment="1">
      <alignment vertical="center"/>
      <protection/>
    </xf>
    <xf numFmtId="0" fontId="16" fillId="35" borderId="104" xfId="59" applyFont="1" applyFill="1" applyBorder="1" applyAlignment="1">
      <alignment horizontal="left" vertical="center"/>
      <protection/>
    </xf>
    <xf numFmtId="3" fontId="10" fillId="35" borderId="90" xfId="59" applyNumberFormat="1" applyFont="1" applyFill="1" applyBorder="1" applyAlignment="1">
      <alignment horizontal="right" vertical="center"/>
      <protection/>
    </xf>
    <xf numFmtId="3" fontId="10" fillId="35" borderId="105" xfId="59" applyNumberFormat="1" applyFont="1" applyFill="1" applyBorder="1" applyAlignment="1">
      <alignment horizontal="right" vertical="center"/>
      <protection/>
    </xf>
    <xf numFmtId="3" fontId="52" fillId="35" borderId="91" xfId="59" applyNumberFormat="1" applyFont="1" applyFill="1" applyBorder="1" applyAlignment="1">
      <alignment horizontal="right" vertical="center"/>
      <protection/>
    </xf>
    <xf numFmtId="3" fontId="52" fillId="35" borderId="103" xfId="59" applyNumberFormat="1" applyFont="1" applyFill="1" applyBorder="1" applyAlignment="1">
      <alignment horizontal="right" vertical="center"/>
      <protection/>
    </xf>
    <xf numFmtId="3" fontId="52" fillId="35" borderId="106" xfId="59" applyNumberFormat="1" applyFont="1" applyFill="1" applyBorder="1" applyAlignment="1">
      <alignment vertical="center"/>
      <protection/>
    </xf>
    <xf numFmtId="3" fontId="52" fillId="35" borderId="104" xfId="59" applyNumberFormat="1" applyFont="1" applyFill="1" applyBorder="1" applyAlignment="1">
      <alignment vertical="center"/>
      <protection/>
    </xf>
    <xf numFmtId="3" fontId="52" fillId="35" borderId="10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7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8" fillId="0" borderId="92" xfId="59" applyNumberFormat="1" applyFont="1" applyBorder="1">
      <alignment/>
      <protection/>
    </xf>
    <xf numFmtId="3" fontId="52" fillId="0" borderId="69" xfId="59" applyNumberFormat="1" applyFont="1" applyBorder="1" applyAlignment="1">
      <alignment horizontal="right" vertical="center"/>
      <protection/>
    </xf>
    <xf numFmtId="0" fontId="10" fillId="0" borderId="108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9" xfId="60" applyFont="1" applyFill="1" applyBorder="1" applyAlignment="1">
      <alignment horizontal="center" vertical="center" wrapText="1"/>
      <protection/>
    </xf>
    <xf numFmtId="0" fontId="14" fillId="0" borderId="110" xfId="59" applyFont="1" applyBorder="1" applyAlignment="1">
      <alignment horizontal="center" vertic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3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52" fillId="0" borderId="72" xfId="59" applyNumberFormat="1" applyFont="1" applyBorder="1" applyAlignment="1">
      <alignment vertical="center"/>
      <protection/>
    </xf>
    <xf numFmtId="3" fontId="52" fillId="0" borderId="74" xfId="59" applyNumberFormat="1" applyFont="1" applyBorder="1" applyAlignment="1">
      <alignment vertical="center"/>
      <protection/>
    </xf>
    <xf numFmtId="3" fontId="52" fillId="0" borderId="78" xfId="59" applyNumberFormat="1" applyFont="1" applyBorder="1" applyAlignment="1">
      <alignment vertical="center"/>
      <protection/>
    </xf>
    <xf numFmtId="0" fontId="14" fillId="0" borderId="112" xfId="59" applyFont="1" applyBorder="1" applyAlignment="1">
      <alignment horizontal="center"/>
      <protection/>
    </xf>
    <xf numFmtId="0" fontId="14" fillId="0" borderId="112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5" fillId="34" borderId="17" xfId="60" applyNumberFormat="1" applyFont="1" applyFill="1" applyBorder="1" applyAlignment="1">
      <alignment horizontal="right" vertical="center" wrapText="1"/>
      <protection/>
    </xf>
    <xf numFmtId="3" fontId="35" fillId="0" borderId="42" xfId="60" applyNumberFormat="1" applyFont="1" applyFill="1" applyBorder="1" applyAlignment="1">
      <alignment vertical="center"/>
      <protection/>
    </xf>
    <xf numFmtId="3" fontId="35" fillId="0" borderId="41" xfId="60" applyNumberFormat="1" applyFont="1" applyFill="1" applyBorder="1" applyAlignment="1">
      <alignment vertical="center"/>
      <protection/>
    </xf>
    <xf numFmtId="49" fontId="34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0" fontId="0" fillId="0" borderId="0" xfId="0" applyFont="1" applyAlignment="1">
      <alignment/>
    </xf>
    <xf numFmtId="3" fontId="10" fillId="0" borderId="113" xfId="59" applyNumberFormat="1" applyFont="1" applyBorder="1" applyAlignment="1">
      <alignment horizontal="right" vertical="center"/>
      <protection/>
    </xf>
    <xf numFmtId="3" fontId="14" fillId="35" borderId="103" xfId="59" applyNumberFormat="1" applyFont="1" applyFill="1" applyBorder="1" applyAlignment="1">
      <alignment vertical="center"/>
      <protection/>
    </xf>
    <xf numFmtId="3" fontId="14" fillId="35" borderId="114" xfId="59" applyNumberFormat="1" applyFont="1" applyFill="1" applyBorder="1" applyAlignment="1">
      <alignment vertical="center"/>
      <protection/>
    </xf>
    <xf numFmtId="3" fontId="14" fillId="35" borderId="115" xfId="59" applyNumberFormat="1" applyFont="1" applyFill="1" applyBorder="1" applyAlignment="1">
      <alignment vertical="center"/>
      <protection/>
    </xf>
    <xf numFmtId="3" fontId="104" fillId="0" borderId="21" xfId="58" applyNumberFormat="1" applyFont="1" applyBorder="1">
      <alignment/>
      <protection/>
    </xf>
    <xf numFmtId="0" fontId="35" fillId="0" borderId="21" xfId="0" applyFont="1" applyBorder="1" applyAlignment="1">
      <alignment vertical="center"/>
    </xf>
    <xf numFmtId="3" fontId="105" fillId="0" borderId="21" xfId="0" applyNumberFormat="1" applyFont="1" applyBorder="1" applyAlignment="1">
      <alignment/>
    </xf>
    <xf numFmtId="49" fontId="21" fillId="34" borderId="28" xfId="0" applyNumberFormat="1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0" fillId="34" borderId="0" xfId="0" applyFill="1" applyAlignment="1">
      <alignment/>
    </xf>
    <xf numFmtId="166" fontId="2" fillId="34" borderId="39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16" fillId="34" borderId="57" xfId="59" applyNumberFormat="1" applyFont="1" applyFill="1" applyBorder="1" applyAlignment="1">
      <alignment vertical="center"/>
      <protection/>
    </xf>
    <xf numFmtId="3" fontId="16" fillId="34" borderId="57" xfId="59" applyNumberFormat="1" applyFont="1" applyFill="1" applyBorder="1" applyAlignment="1">
      <alignment horizontal="right" vertical="center"/>
      <protection/>
    </xf>
    <xf numFmtId="3" fontId="16" fillId="34" borderId="58" xfId="59" applyNumberFormat="1" applyFont="1" applyFill="1" applyBorder="1" applyAlignment="1">
      <alignment/>
      <protection/>
    </xf>
    <xf numFmtId="3" fontId="16" fillId="34" borderId="57" xfId="59" applyNumberFormat="1" applyFont="1" applyFill="1" applyBorder="1" applyAlignment="1">
      <alignment/>
      <protection/>
    </xf>
    <xf numFmtId="3" fontId="16" fillId="34" borderId="0" xfId="59" applyNumberFormat="1" applyFont="1" applyFill="1" applyBorder="1" applyAlignment="1">
      <alignment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39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5" fillId="0" borderId="21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4" fillId="0" borderId="21" xfId="42" applyNumberFormat="1" applyFont="1" applyBorder="1" applyAlignment="1">
      <alignment horizontal="right" vertical="center"/>
    </xf>
    <xf numFmtId="0" fontId="24" fillId="0" borderId="21" xfId="57" applyFont="1" applyBorder="1" applyAlignment="1">
      <alignment vertical="center"/>
      <protection/>
    </xf>
    <xf numFmtId="3" fontId="45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06" fillId="0" borderId="95" xfId="60" applyNumberFormat="1" applyFont="1" applyFill="1" applyBorder="1" applyAlignment="1">
      <alignment vertical="center"/>
      <protection/>
    </xf>
    <xf numFmtId="3" fontId="106" fillId="0" borderId="98" xfId="60" applyNumberFormat="1" applyFont="1" applyFill="1" applyBorder="1" applyAlignment="1">
      <alignment vertical="center"/>
      <protection/>
    </xf>
    <xf numFmtId="3" fontId="106" fillId="0" borderId="99" xfId="60" applyNumberFormat="1" applyFont="1" applyFill="1" applyBorder="1" applyAlignment="1">
      <alignment vertical="center"/>
      <protection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3" fontId="106" fillId="0" borderId="110" xfId="60" applyNumberFormat="1" applyFont="1" applyFill="1" applyBorder="1" applyAlignment="1">
      <alignment horizontal="right" vertical="center"/>
      <protection/>
    </xf>
    <xf numFmtId="3" fontId="106" fillId="0" borderId="86" xfId="60" applyNumberFormat="1" applyFont="1" applyFill="1" applyBorder="1" applyAlignment="1">
      <alignment horizontal="right" vertical="center"/>
      <protection/>
    </xf>
    <xf numFmtId="3" fontId="106" fillId="0" borderId="112" xfId="60" applyNumberFormat="1" applyFont="1" applyFill="1" applyBorder="1" applyAlignment="1">
      <alignment horizontal="right" vertical="center"/>
      <protection/>
    </xf>
    <xf numFmtId="3" fontId="106" fillId="0" borderId="43" xfId="60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3" fontId="107" fillId="0" borderId="0" xfId="0" applyNumberFormat="1" applyFont="1" applyAlignment="1">
      <alignment vertical="center"/>
    </xf>
    <xf numFmtId="0" fontId="19" fillId="5" borderId="28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52" fillId="0" borderId="69" xfId="59" applyNumberFormat="1" applyFont="1" applyBorder="1" applyAlignment="1">
      <alignment horizontal="center" vertical="center"/>
      <protection/>
    </xf>
    <xf numFmtId="3" fontId="52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2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2" xfId="59" applyFont="1" applyBorder="1" applyAlignment="1">
      <alignment horizontal="left"/>
      <protection/>
    </xf>
    <xf numFmtId="0" fontId="16" fillId="0" borderId="112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10" xfId="59" applyFont="1" applyBorder="1" applyAlignment="1">
      <alignment horizontal="left" vertical="center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2" xfId="59" applyNumberFormat="1" applyFont="1" applyBorder="1" applyAlignment="1">
      <alignment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3" fontId="52" fillId="0" borderId="112" xfId="59" applyNumberFormat="1" applyFont="1" applyBorder="1" applyAlignment="1">
      <alignment horizontal="right" vertical="center"/>
      <protection/>
    </xf>
    <xf numFmtId="3" fontId="52" fillId="0" borderId="86" xfId="59" applyNumberFormat="1" applyFont="1" applyBorder="1" applyAlignment="1">
      <alignment horizontal="right" vertical="center"/>
      <protection/>
    </xf>
    <xf numFmtId="3" fontId="52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3" fillId="36" borderId="84" xfId="0" applyFont="1" applyFill="1" applyBorder="1" applyAlignment="1">
      <alignment horizontal="center"/>
    </xf>
    <xf numFmtId="0" fontId="13" fillId="0" borderId="117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4" xfId="0" applyFont="1" applyBorder="1" applyAlignment="1">
      <alignment horizontal="center"/>
    </xf>
    <xf numFmtId="0" fontId="0" fillId="0" borderId="125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7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10" xfId="0" applyNumberFormat="1" applyFont="1" applyFill="1" applyBorder="1" applyAlignment="1">
      <alignment/>
    </xf>
    <xf numFmtId="3" fontId="19" fillId="37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0" fontId="13" fillId="0" borderId="101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4" borderId="51" xfId="0" applyNumberFormat="1" applyFill="1" applyBorder="1" applyAlignment="1">
      <alignment/>
    </xf>
    <xf numFmtId="3" fontId="0" fillId="4" borderId="117" xfId="0" applyNumberFormat="1" applyFill="1" applyBorder="1" applyAlignment="1">
      <alignment/>
    </xf>
    <xf numFmtId="0" fontId="13" fillId="0" borderId="121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7" borderId="103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0" fillId="0" borderId="128" xfId="0" applyNumberFormat="1" applyBorder="1" applyAlignment="1">
      <alignment/>
    </xf>
    <xf numFmtId="3" fontId="0" fillId="38" borderId="71" xfId="0" applyNumberFormat="1" applyFill="1" applyBorder="1" applyAlignment="1">
      <alignment/>
    </xf>
    <xf numFmtId="3" fontId="0" fillId="38" borderId="18" xfId="0" applyNumberFormat="1" applyFill="1" applyBorder="1" applyAlignment="1">
      <alignment/>
    </xf>
    <xf numFmtId="3" fontId="0" fillId="38" borderId="32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8" borderId="86" xfId="0" applyNumberFormat="1" applyFill="1" applyBorder="1" applyAlignment="1">
      <alignment/>
    </xf>
    <xf numFmtId="3" fontId="0" fillId="38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8" borderId="103" xfId="0" applyNumberFormat="1" applyFill="1" applyBorder="1" applyAlignment="1">
      <alignment/>
    </xf>
    <xf numFmtId="3" fontId="0" fillId="38" borderId="34" xfId="0" applyNumberFormat="1" applyFill="1" applyBorder="1" applyAlignment="1">
      <alignment horizontal="right" vertical="center"/>
    </xf>
    <xf numFmtId="3" fontId="0" fillId="38" borderId="17" xfId="0" applyNumberFormat="1" applyFill="1" applyBorder="1" applyAlignment="1">
      <alignment/>
    </xf>
    <xf numFmtId="3" fontId="19" fillId="38" borderId="86" xfId="0" applyNumberFormat="1" applyFont="1" applyFill="1" applyBorder="1" applyAlignment="1">
      <alignment/>
    </xf>
    <xf numFmtId="3" fontId="0" fillId="38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8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4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7" xfId="0" applyNumberFormat="1" applyFill="1" applyBorder="1" applyAlignment="1">
      <alignment/>
    </xf>
    <xf numFmtId="3" fontId="0" fillId="38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8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8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9" fillId="38" borderId="21" xfId="0" applyNumberFormat="1" applyFont="1" applyFill="1" applyBorder="1" applyAlignment="1">
      <alignment/>
    </xf>
    <xf numFmtId="3" fontId="0" fillId="38" borderId="21" xfId="0" applyNumberFormat="1" applyFill="1" applyBorder="1" applyAlignment="1">
      <alignment/>
    </xf>
    <xf numFmtId="3" fontId="0" fillId="38" borderId="23" xfId="0" applyNumberFormat="1" applyFill="1" applyBorder="1" applyAlignment="1">
      <alignment/>
    </xf>
    <xf numFmtId="3" fontId="19" fillId="38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8" borderId="41" xfId="0" applyNumberFormat="1" applyFill="1" applyBorder="1" applyAlignment="1">
      <alignment/>
    </xf>
    <xf numFmtId="3" fontId="0" fillId="38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0" fontId="13" fillId="0" borderId="117" xfId="0" applyFont="1" applyBorder="1" applyAlignment="1">
      <alignment horizontal="center"/>
    </xf>
    <xf numFmtId="0" fontId="19" fillId="0" borderId="66" xfId="0" applyFont="1" applyBorder="1" applyAlignment="1">
      <alignment/>
    </xf>
    <xf numFmtId="3" fontId="19" fillId="4" borderId="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 horizontal="center"/>
    </xf>
    <xf numFmtId="3" fontId="19" fillId="4" borderId="57" xfId="0" applyNumberFormat="1" applyFont="1" applyFill="1" applyBorder="1" applyAlignment="1">
      <alignment/>
    </xf>
    <xf numFmtId="3" fontId="0" fillId="34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4" borderId="73" xfId="0" applyNumberFormat="1" applyFont="1" applyFill="1" applyBorder="1" applyAlignment="1">
      <alignment/>
    </xf>
    <xf numFmtId="3" fontId="0" fillId="34" borderId="73" xfId="0" applyNumberFormat="1" applyFill="1" applyBorder="1" applyAlignment="1">
      <alignment/>
    </xf>
    <xf numFmtId="3" fontId="0" fillId="34" borderId="73" xfId="0" applyNumberFormat="1" applyFill="1" applyBorder="1" applyAlignment="1">
      <alignment horizontal="center"/>
    </xf>
    <xf numFmtId="3" fontId="19" fillId="34" borderId="102" xfId="0" applyNumberFormat="1" applyFont="1" applyFill="1" applyBorder="1" applyAlignment="1">
      <alignment/>
    </xf>
    <xf numFmtId="3" fontId="0" fillId="34" borderId="71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5" xfId="0" applyNumberFormat="1" applyFont="1" applyFill="1" applyBorder="1" applyAlignment="1">
      <alignment/>
    </xf>
    <xf numFmtId="3" fontId="19" fillId="4" borderId="136" xfId="0" applyNumberFormat="1" applyFont="1" applyFill="1" applyBorder="1" applyAlignment="1">
      <alignment/>
    </xf>
    <xf numFmtId="3" fontId="19" fillId="38" borderId="99" xfId="0" applyNumberFormat="1" applyFont="1" applyFill="1" applyBorder="1" applyAlignment="1">
      <alignment/>
    </xf>
    <xf numFmtId="0" fontId="13" fillId="0" borderId="121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7" borderId="137" xfId="0" applyNumberFormat="1" applyFont="1" applyFill="1" applyBorder="1" applyAlignment="1">
      <alignment horizontal="right"/>
    </xf>
    <xf numFmtId="0" fontId="19" fillId="34" borderId="76" xfId="0" applyFont="1" applyFill="1" applyBorder="1" applyAlignment="1">
      <alignment/>
    </xf>
    <xf numFmtId="0" fontId="13" fillId="36" borderId="84" xfId="0" applyFont="1" applyFill="1" applyBorder="1" applyAlignment="1">
      <alignment horizontal="center" vertical="center"/>
    </xf>
    <xf numFmtId="0" fontId="0" fillId="0" borderId="138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8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09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8" borderId="37" xfId="0" applyNumberFormat="1" applyFill="1" applyBorder="1" applyAlignment="1">
      <alignment horizontal="right" vertical="center"/>
    </xf>
    <xf numFmtId="3" fontId="0" fillId="38" borderId="30" xfId="0" applyNumberFormat="1" applyFill="1" applyBorder="1" applyAlignment="1">
      <alignment/>
    </xf>
    <xf numFmtId="3" fontId="0" fillId="38" borderId="97" xfId="0" applyNumberFormat="1" applyFill="1" applyBorder="1" applyAlignment="1">
      <alignment/>
    </xf>
    <xf numFmtId="3" fontId="0" fillId="38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8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49" fontId="11" fillId="0" borderId="131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0" fontId="62" fillId="0" borderId="21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 wrapText="1"/>
    </xf>
    <xf numFmtId="166" fontId="62" fillId="0" borderId="21" xfId="0" applyNumberFormat="1" applyFont="1" applyBorder="1" applyAlignment="1">
      <alignment vertical="center"/>
    </xf>
    <xf numFmtId="0" fontId="0" fillId="0" borderId="126" xfId="0" applyBorder="1" applyAlignment="1">
      <alignment horizontal="left"/>
    </xf>
    <xf numFmtId="3" fontId="19" fillId="38" borderId="96" xfId="0" applyNumberFormat="1" applyFont="1" applyFill="1" applyBorder="1" applyAlignment="1">
      <alignment/>
    </xf>
    <xf numFmtId="0" fontId="34" fillId="0" borderId="21" xfId="0" applyFont="1" applyBorder="1" applyAlignment="1">
      <alignment horizontal="left"/>
    </xf>
    <xf numFmtId="0" fontId="38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4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34" fillId="0" borderId="14" xfId="58" applyFont="1" applyBorder="1" applyAlignment="1">
      <alignment horizontal="left" wrapText="1"/>
      <protection/>
    </xf>
    <xf numFmtId="0" fontId="34" fillId="0" borderId="17" xfId="58" applyFont="1" applyBorder="1" applyAlignment="1">
      <alignment horizontal="left" wrapText="1"/>
      <protection/>
    </xf>
    <xf numFmtId="0" fontId="35" fillId="0" borderId="14" xfId="58" applyFont="1" applyBorder="1" applyAlignment="1">
      <alignment horizontal="left" wrapText="1"/>
      <protection/>
    </xf>
    <xf numFmtId="0" fontId="35" fillId="0" borderId="17" xfId="58" applyFont="1" applyBorder="1" applyAlignment="1">
      <alignment horizontal="left" wrapText="1"/>
      <protection/>
    </xf>
    <xf numFmtId="0" fontId="14" fillId="0" borderId="21" xfId="58" applyFont="1" applyBorder="1" applyAlignment="1">
      <alignment horizontal="left"/>
      <protection/>
    </xf>
    <xf numFmtId="0" fontId="34" fillId="0" borderId="14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13" fillId="0" borderId="0" xfId="58" applyFont="1" applyAlignment="1">
      <alignment horizontal="right" vertical="center"/>
      <protection/>
    </xf>
    <xf numFmtId="0" fontId="37" fillId="0" borderId="0" xfId="58" applyFont="1" applyFill="1" applyAlignment="1">
      <alignment horizontal="center" vertical="center"/>
      <protection/>
    </xf>
    <xf numFmtId="0" fontId="38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34" fillId="0" borderId="14" xfId="58" applyFont="1" applyBorder="1" applyAlignment="1">
      <alignment horizontal="left"/>
      <protection/>
    </xf>
    <xf numFmtId="0" fontId="34" fillId="0" borderId="16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3" fillId="0" borderId="0" xfId="0" applyFont="1" applyAlignment="1">
      <alignment horizontal="right"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5" fillId="0" borderId="28" xfId="0" applyNumberFormat="1" applyFont="1" applyFill="1" applyBorder="1" applyAlignment="1">
      <alignment horizontal="center" textRotation="90"/>
    </xf>
    <xf numFmtId="0" fontId="3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5" fillId="0" borderId="132" xfId="0" applyFont="1" applyFill="1" applyBorder="1" applyAlignment="1">
      <alignment horizontal="center" vertical="center" wrapText="1"/>
    </xf>
    <xf numFmtId="0" fontId="55" fillId="0" borderId="97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 wrapText="1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8" fillId="0" borderId="127" xfId="0" applyNumberFormat="1" applyFont="1" applyFill="1" applyBorder="1" applyAlignment="1">
      <alignment horizontal="left" vertical="center"/>
    </xf>
    <xf numFmtId="49" fontId="38" fillId="0" borderId="16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30" xfId="0" applyNumberFormat="1" applyFont="1" applyFill="1" applyBorder="1" applyAlignment="1">
      <alignment horizontal="left" vertical="center"/>
    </xf>
    <xf numFmtId="49" fontId="38" fillId="0" borderId="26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38" fillId="0" borderId="125" xfId="0" applyNumberFormat="1" applyFont="1" applyFill="1" applyBorder="1" applyAlignment="1">
      <alignment horizontal="left" vertical="center"/>
    </xf>
    <xf numFmtId="49" fontId="38" fillId="0" borderId="140" xfId="0" applyNumberFormat="1" applyFont="1" applyFill="1" applyBorder="1" applyAlignment="1">
      <alignment horizontal="left" vertical="center"/>
    </xf>
    <xf numFmtId="49" fontId="38" fillId="0" borderId="143" xfId="0" applyNumberFormat="1" applyFont="1" applyFill="1" applyBorder="1" applyAlignment="1">
      <alignment horizontal="left" vertical="center"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2" fillId="0" borderId="144" xfId="60" applyFont="1" applyFill="1" applyBorder="1" applyAlignment="1">
      <alignment horizontal="center" vertical="center" wrapText="1"/>
      <protection/>
    </xf>
    <xf numFmtId="0" fontId="12" fillId="0" borderId="117" xfId="60" applyFont="1" applyFill="1" applyBorder="1" applyAlignment="1">
      <alignment horizontal="center" vertical="center" wrapText="1"/>
      <protection/>
    </xf>
    <xf numFmtId="0" fontId="12" fillId="0" borderId="145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52" fillId="0" borderId="136" xfId="60" applyFont="1" applyFill="1" applyBorder="1" applyAlignment="1">
      <alignment horizontal="left" vertical="center"/>
      <protection/>
    </xf>
    <xf numFmtId="0" fontId="52" fillId="0" borderId="27" xfId="60" applyFont="1" applyFill="1" applyBorder="1" applyAlignment="1">
      <alignment horizontal="left" vertical="center"/>
      <protection/>
    </xf>
    <xf numFmtId="0" fontId="52" fillId="0" borderId="13" xfId="60" applyFont="1" applyFill="1" applyBorder="1" applyAlignment="1">
      <alignment horizontal="left" vertical="center"/>
      <protection/>
    </xf>
    <xf numFmtId="0" fontId="106" fillId="0" borderId="110" xfId="60" applyFont="1" applyFill="1" applyBorder="1" applyAlignment="1">
      <alignment horizontal="left" vertical="center"/>
      <protection/>
    </xf>
    <xf numFmtId="0" fontId="106" fillId="0" borderId="112" xfId="60" applyFont="1" applyFill="1" applyBorder="1" applyAlignment="1">
      <alignment horizontal="left" vertical="center"/>
      <protection/>
    </xf>
    <xf numFmtId="0" fontId="106" fillId="0" borderId="100" xfId="60" applyFont="1" applyFill="1" applyBorder="1" applyAlignment="1">
      <alignment horizontal="left" vertical="center"/>
      <protection/>
    </xf>
    <xf numFmtId="0" fontId="106" fillId="0" borderId="110" xfId="60" applyFont="1" applyFill="1" applyBorder="1" applyAlignment="1">
      <alignment horizontal="left" vertical="center" wrapText="1"/>
      <protection/>
    </xf>
    <xf numFmtId="0" fontId="106" fillId="0" borderId="112" xfId="60" applyFont="1" applyFill="1" applyBorder="1" applyAlignment="1">
      <alignment horizontal="left" vertical="center" wrapText="1"/>
      <protection/>
    </xf>
    <xf numFmtId="0" fontId="106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6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7" xfId="60" applyNumberFormat="1" applyFont="1" applyFill="1" applyBorder="1" applyAlignment="1">
      <alignment horizontal="center" vertical="center"/>
      <protection/>
    </xf>
    <xf numFmtId="0" fontId="10" fillId="0" borderId="112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5" fillId="0" borderId="40" xfId="60" applyNumberFormat="1" applyFont="1" applyFill="1" applyBorder="1" applyAlignment="1">
      <alignment horizontal="center" vertical="center"/>
      <protection/>
    </xf>
    <xf numFmtId="3" fontId="35" fillId="0" borderId="39" xfId="60" applyNumberFormat="1" applyFont="1" applyFill="1" applyBorder="1" applyAlignment="1">
      <alignment horizontal="center" vertical="center"/>
      <protection/>
    </xf>
    <xf numFmtId="3" fontId="10" fillId="0" borderId="144" xfId="59" applyNumberFormat="1" applyFont="1" applyBorder="1" applyAlignment="1">
      <alignment horizontal="right" vertical="center"/>
      <protection/>
    </xf>
    <xf numFmtId="3" fontId="10" fillId="0" borderId="66" xfId="59" applyNumberFormat="1" applyFont="1" applyBorder="1" applyAlignment="1">
      <alignment horizontal="right" vertical="center"/>
      <protection/>
    </xf>
    <xf numFmtId="0" fontId="10" fillId="35" borderId="91" xfId="59" applyFont="1" applyFill="1" applyBorder="1" applyAlignment="1">
      <alignment vertical="center"/>
      <protection/>
    </xf>
    <xf numFmtId="0" fontId="10" fillId="35" borderId="91" xfId="0" applyFont="1" applyFill="1" applyBorder="1" applyAlignment="1">
      <alignment vertical="center"/>
    </xf>
    <xf numFmtId="0" fontId="10" fillId="35" borderId="148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10" fillId="0" borderId="149" xfId="60" applyFont="1" applyFill="1" applyBorder="1" applyAlignment="1">
      <alignment horizontal="center" vertical="center" wrapText="1"/>
      <protection/>
    </xf>
    <xf numFmtId="0" fontId="13" fillId="0" borderId="150" xfId="0" applyFont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6" fillId="0" borderId="49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10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3" fontId="10" fillId="0" borderId="113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52" fillId="0" borderId="62" xfId="59" applyFont="1" applyBorder="1" applyAlignment="1">
      <alignment horizontal="center" vertical="center"/>
      <protection/>
    </xf>
    <xf numFmtId="0" fontId="13" fillId="0" borderId="46" xfId="0" applyFont="1" applyBorder="1" applyAlignment="1">
      <alignment/>
    </xf>
    <xf numFmtId="0" fontId="13" fillId="0" borderId="94" xfId="0" applyFont="1" applyBorder="1" applyAlignment="1">
      <alignment/>
    </xf>
    <xf numFmtId="0" fontId="13" fillId="0" borderId="87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5" xfId="0" applyFont="1" applyBorder="1" applyAlignment="1">
      <alignment/>
    </xf>
    <xf numFmtId="3" fontId="10" fillId="0" borderId="117" xfId="59" applyNumberFormat="1" applyFont="1" applyBorder="1" applyAlignment="1">
      <alignment horizontal="right" vertical="center"/>
      <protection/>
    </xf>
    <xf numFmtId="0" fontId="52" fillId="0" borderId="61" xfId="60" applyFont="1" applyFill="1" applyBorder="1" applyAlignment="1">
      <alignment horizontal="center" vertical="center" wrapText="1"/>
      <protection/>
    </xf>
    <xf numFmtId="0" fontId="13" fillId="0" borderId="152" xfId="0" applyFont="1" applyBorder="1" applyAlignment="1">
      <alignment/>
    </xf>
    <xf numFmtId="0" fontId="16" fillId="0" borderId="113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0" fontId="16" fillId="0" borderId="66" xfId="59" applyFont="1" applyBorder="1" applyAlignment="1">
      <alignment horizontal="left" wrapText="1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17" fillId="0" borderId="47" xfId="59" applyFont="1" applyBorder="1" applyAlignment="1">
      <alignment horizontal="right"/>
      <protection/>
    </xf>
    <xf numFmtId="0" fontId="17" fillId="0" borderId="112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0" fontId="52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0" fillId="0" borderId="68" xfId="60" applyFont="1" applyFill="1" applyBorder="1" applyAlignment="1">
      <alignment horizontal="center" vertical="center" wrapText="1"/>
      <protection/>
    </xf>
    <xf numFmtId="0" fontId="13" fillId="0" borderId="64" xfId="0" applyFont="1" applyBorder="1" applyAlignment="1">
      <alignment/>
    </xf>
    <xf numFmtId="0" fontId="52" fillId="35" borderId="91" xfId="59" applyFont="1" applyFill="1" applyBorder="1" applyAlignment="1">
      <alignment vertical="center"/>
      <protection/>
    </xf>
    <xf numFmtId="0" fontId="52" fillId="35" borderId="148" xfId="59" applyFont="1" applyFill="1" applyBorder="1" applyAlignment="1">
      <alignment vertical="center"/>
      <protection/>
    </xf>
    <xf numFmtId="0" fontId="17" fillId="0" borderId="49" xfId="59" applyFont="1" applyBorder="1" applyAlignment="1">
      <alignment horizontal="right"/>
      <protection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3" fontId="10" fillId="0" borderId="144" xfId="59" applyNumberFormat="1" applyFont="1" applyBorder="1" applyAlignment="1">
      <alignment horizontal="center" vertical="center"/>
      <protection/>
    </xf>
    <xf numFmtId="3" fontId="10" fillId="0" borderId="117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3" fontId="10" fillId="0" borderId="113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2" xfId="59" applyNumberFormat="1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0" fontId="16" fillId="0" borderId="113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52" fillId="0" borderId="46" xfId="60" applyFont="1" applyFill="1" applyBorder="1" applyAlignment="1">
      <alignment horizontal="center" vertical="center" wrapText="1"/>
      <protection/>
    </xf>
    <xf numFmtId="0" fontId="52" fillId="0" borderId="94" xfId="60" applyFont="1" applyFill="1" applyBorder="1" applyAlignment="1">
      <alignment horizontal="center" vertical="center" wrapText="1"/>
      <protection/>
    </xf>
    <xf numFmtId="0" fontId="52" fillId="0" borderId="152" xfId="60" applyFont="1" applyFill="1" applyBorder="1" applyAlignment="1">
      <alignment horizontal="center" vertical="center" wrapText="1"/>
      <protection/>
    </xf>
    <xf numFmtId="0" fontId="52" fillId="0" borderId="31" xfId="60" applyFont="1" applyFill="1" applyBorder="1" applyAlignment="1">
      <alignment horizontal="center" vertical="center" wrapText="1"/>
      <protection/>
    </xf>
    <xf numFmtId="0" fontId="52" fillId="0" borderId="45" xfId="60" applyFont="1" applyFill="1" applyBorder="1" applyAlignment="1">
      <alignment horizontal="center" vertical="center" wrapText="1"/>
      <protection/>
    </xf>
    <xf numFmtId="0" fontId="13" fillId="0" borderId="0" xfId="59" applyFont="1" applyAlignment="1">
      <alignment horizontal="center"/>
      <protection/>
    </xf>
    <xf numFmtId="0" fontId="52" fillId="0" borderId="73" xfId="59" applyFont="1" applyBorder="1" applyAlignment="1">
      <alignment/>
      <protection/>
    </xf>
    <xf numFmtId="0" fontId="52" fillId="0" borderId="102" xfId="59" applyFont="1" applyBorder="1" applyAlignment="1">
      <alignment/>
      <protection/>
    </xf>
    <xf numFmtId="0" fontId="52" fillId="0" borderId="64" xfId="60" applyFont="1" applyFill="1" applyBorder="1" applyAlignment="1">
      <alignment horizontal="center" vertical="center" wrapText="1"/>
      <protection/>
    </xf>
    <xf numFmtId="0" fontId="52" fillId="0" borderId="153" xfId="60" applyFont="1" applyFill="1" applyBorder="1" applyAlignment="1">
      <alignment horizontal="center" vertical="center" wrapText="1"/>
      <protection/>
    </xf>
    <xf numFmtId="0" fontId="16" fillId="0" borderId="54" xfId="59" applyFont="1" applyBorder="1" applyAlignment="1">
      <alignment horizontal="left" wrapText="1"/>
      <protection/>
    </xf>
    <xf numFmtId="0" fontId="53" fillId="0" borderId="66" xfId="59" applyFont="1" applyBorder="1" applyAlignment="1">
      <alignment horizontal="left" wrapText="1"/>
      <protection/>
    </xf>
    <xf numFmtId="0" fontId="53" fillId="0" borderId="0" xfId="59" applyFont="1" applyBorder="1" applyAlignment="1">
      <alignment horizontal="left" wrapText="1"/>
      <protection/>
    </xf>
    <xf numFmtId="0" fontId="38" fillId="0" borderId="154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8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52" fillId="35" borderId="104" xfId="59" applyFont="1" applyFill="1" applyBorder="1" applyAlignment="1">
      <alignment vertical="center" wrapText="1"/>
      <protection/>
    </xf>
    <xf numFmtId="0" fontId="9" fillId="35" borderId="91" xfId="0" applyFont="1" applyFill="1" applyBorder="1" applyAlignment="1">
      <alignment vertical="center" wrapText="1"/>
    </xf>
    <xf numFmtId="0" fontId="9" fillId="35" borderId="114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2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52" fillId="0" borderId="46" xfId="59" applyFont="1" applyBorder="1" applyAlignment="1">
      <alignment horizontal="center" vertical="center"/>
      <protection/>
    </xf>
    <xf numFmtId="0" fontId="52" fillId="0" borderId="94" xfId="59" applyFont="1" applyBorder="1" applyAlignment="1">
      <alignment horizontal="center" vertical="center"/>
      <protection/>
    </xf>
    <xf numFmtId="0" fontId="52" fillId="0" borderId="87" xfId="59" applyFont="1" applyBorder="1" applyAlignment="1">
      <alignment horizontal="center" vertical="center"/>
      <protection/>
    </xf>
    <xf numFmtId="0" fontId="52" fillId="0" borderId="31" xfId="59" applyFont="1" applyBorder="1" applyAlignment="1">
      <alignment horizontal="center" vertical="center"/>
      <protection/>
    </xf>
    <xf numFmtId="0" fontId="52" fillId="0" borderId="45" xfId="59" applyFont="1" applyBorder="1" applyAlignment="1">
      <alignment horizontal="center" vertical="center"/>
      <protection/>
    </xf>
    <xf numFmtId="0" fontId="10" fillId="35" borderId="104" xfId="59" applyFont="1" applyFill="1" applyBorder="1" applyAlignment="1">
      <alignment horizontal="right" vertical="center" wrapText="1"/>
      <protection/>
    </xf>
    <xf numFmtId="0" fontId="13" fillId="35" borderId="91" xfId="0" applyFont="1" applyFill="1" applyBorder="1" applyAlignment="1">
      <alignment horizontal="right" vertical="center" wrapText="1"/>
    </xf>
    <xf numFmtId="0" fontId="13" fillId="35" borderId="114" xfId="0" applyFont="1" applyFill="1" applyBorder="1" applyAlignment="1">
      <alignment horizontal="right" vertical="center" wrapText="1"/>
    </xf>
    <xf numFmtId="0" fontId="52" fillId="0" borderId="62" xfId="59" applyFont="1" applyBorder="1" applyAlignment="1">
      <alignment horizontal="center" wrapText="1"/>
      <protection/>
    </xf>
    <xf numFmtId="0" fontId="52" fillId="0" borderId="46" xfId="59" applyFont="1" applyBorder="1" applyAlignment="1">
      <alignment horizontal="center" wrapText="1"/>
      <protection/>
    </xf>
    <xf numFmtId="0" fontId="52" fillId="0" borderId="87" xfId="59" applyFont="1" applyBorder="1" applyAlignment="1">
      <alignment horizontal="center" wrapText="1"/>
      <protection/>
    </xf>
    <xf numFmtId="0" fontId="52" fillId="0" borderId="31" xfId="59" applyFont="1" applyBorder="1" applyAlignment="1">
      <alignment horizontal="center" wrapText="1"/>
      <protection/>
    </xf>
    <xf numFmtId="0" fontId="16" fillId="0" borderId="152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0" fontId="16" fillId="0" borderId="49" xfId="59" applyFont="1" applyBorder="1" applyAlignment="1">
      <alignment horizontal="left" vertical="center"/>
      <protection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3" fillId="0" borderId="153" xfId="0" applyFont="1" applyBorder="1" applyAlignment="1">
      <alignment/>
    </xf>
    <xf numFmtId="3" fontId="10" fillId="0" borderId="155" xfId="59" applyNumberFormat="1" applyFont="1" applyBorder="1" applyAlignment="1">
      <alignment horizontal="right" vertical="center"/>
      <protection/>
    </xf>
    <xf numFmtId="3" fontId="10" fillId="0" borderId="156" xfId="59" applyNumberFormat="1" applyFont="1" applyBorder="1" applyAlignment="1">
      <alignment horizontal="right" vertical="center"/>
      <protection/>
    </xf>
    <xf numFmtId="0" fontId="17" fillId="0" borderId="73" xfId="59" applyFont="1" applyBorder="1" applyAlignment="1">
      <alignment horizontal="right" vertical="center"/>
      <protection/>
    </xf>
    <xf numFmtId="0" fontId="17" fillId="0" borderId="157" xfId="59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2" xfId="59" applyNumberFormat="1" applyFont="1" applyBorder="1" applyAlignment="1">
      <alignment horizontal="right" vertical="center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3" fillId="0" borderId="72" xfId="59" applyFont="1" applyBorder="1" applyAlignment="1">
      <alignment horizontal="left" vertical="center"/>
      <protection/>
    </xf>
    <xf numFmtId="0" fontId="53" fillId="0" borderId="73" xfId="59" applyFont="1" applyBorder="1" applyAlignment="1">
      <alignment horizontal="left" vertical="center"/>
      <protection/>
    </xf>
    <xf numFmtId="3" fontId="10" fillId="0" borderId="158" xfId="59" applyNumberFormat="1" applyFont="1" applyBorder="1" applyAlignment="1">
      <alignment horizontal="right" vertical="center"/>
      <protection/>
    </xf>
    <xf numFmtId="3" fontId="10" fillId="0" borderId="145" xfId="59" applyNumberFormat="1" applyFont="1" applyBorder="1" applyAlignment="1">
      <alignment horizontal="righ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3" fontId="10" fillId="0" borderId="155" xfId="59" applyNumberFormat="1" applyFont="1" applyBorder="1" applyAlignment="1">
      <alignment horizontal="center" vertical="center"/>
      <protection/>
    </xf>
    <xf numFmtId="3" fontId="10" fillId="0" borderId="156" xfId="59" applyNumberFormat="1" applyFont="1" applyBorder="1" applyAlignment="1">
      <alignment horizontal="center" vertical="center"/>
      <protection/>
    </xf>
    <xf numFmtId="0" fontId="16" fillId="0" borderId="113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4" xfId="59" applyNumberFormat="1" applyFont="1" applyBorder="1" applyAlignment="1">
      <alignment horizontal="right" vertical="center" wrapText="1"/>
      <protection/>
    </xf>
    <xf numFmtId="3" fontId="10" fillId="0" borderId="117" xfId="59" applyNumberFormat="1" applyFont="1" applyBorder="1" applyAlignment="1">
      <alignment horizontal="right" vertical="center" wrapText="1"/>
      <protection/>
    </xf>
    <xf numFmtId="0" fontId="16" fillId="0" borderId="113" xfId="59" applyFont="1" applyBorder="1" applyAlignment="1">
      <alignment horizontal="left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/>
      <protection/>
    </xf>
    <xf numFmtId="0" fontId="11" fillId="0" borderId="0" xfId="0" applyFont="1" applyAlignment="1">
      <alignment/>
    </xf>
    <xf numFmtId="0" fontId="10" fillId="0" borderId="62" xfId="60" applyFont="1" applyFill="1" applyBorder="1" applyAlignment="1">
      <alignment horizontal="center" vertical="center" wrapText="1"/>
      <protection/>
    </xf>
    <xf numFmtId="0" fontId="37" fillId="0" borderId="0" xfId="60" applyFont="1" applyFill="1" applyAlignment="1">
      <alignment horizontal="center" vertical="center" wrapText="1"/>
      <protection/>
    </xf>
    <xf numFmtId="0" fontId="16" fillId="0" borderId="66" xfId="59" applyFont="1" applyBorder="1" applyAlignment="1">
      <alignment horizontal="left"/>
      <protection/>
    </xf>
    <xf numFmtId="0" fontId="16" fillId="0" borderId="110" xfId="59" applyFont="1" applyBorder="1" applyAlignment="1">
      <alignment horizontal="left" vertical="center"/>
      <protection/>
    </xf>
    <xf numFmtId="0" fontId="16" fillId="0" borderId="112" xfId="59" applyFont="1" applyBorder="1" applyAlignment="1">
      <alignment horizontal="left" vertical="center"/>
      <protection/>
    </xf>
    <xf numFmtId="3" fontId="10" fillId="0" borderId="159" xfId="59" applyNumberFormat="1" applyFont="1" applyBorder="1" applyAlignment="1">
      <alignment horizontal="center" vertical="center"/>
      <protection/>
    </xf>
    <xf numFmtId="0" fontId="16" fillId="0" borderId="113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57" fillId="0" borderId="113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13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139" xfId="0" applyFont="1" applyBorder="1" applyAlignment="1">
      <alignment horizontal="center" vertical="center" wrapText="1"/>
    </xf>
    <xf numFmtId="0" fontId="58" fillId="0" borderId="144" xfId="0" applyFont="1" applyBorder="1" applyAlignment="1">
      <alignment horizontal="center" vertical="center" wrapText="1"/>
    </xf>
    <xf numFmtId="0" fontId="58" fillId="0" borderId="117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9" fillId="39" borderId="83" xfId="0" applyFont="1" applyFill="1" applyBorder="1" applyAlignment="1">
      <alignment horizontal="center" vertical="center"/>
    </xf>
    <xf numFmtId="0" fontId="59" fillId="39" borderId="70" xfId="0" applyFont="1" applyFill="1" applyBorder="1" applyAlignment="1">
      <alignment horizontal="center" vertical="center"/>
    </xf>
    <xf numFmtId="0" fontId="59" fillId="39" borderId="16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60" fillId="0" borderId="161" xfId="0" applyFont="1" applyBorder="1" applyAlignment="1">
      <alignment horizontal="left" vertical="center" wrapText="1"/>
    </xf>
    <xf numFmtId="0" fontId="60" fillId="0" borderId="162" xfId="0" applyFont="1" applyBorder="1" applyAlignment="1">
      <alignment horizontal="left" vertical="center" wrapText="1"/>
    </xf>
    <xf numFmtId="0" fontId="60" fillId="0" borderId="163" xfId="0" applyFont="1" applyBorder="1" applyAlignment="1">
      <alignment horizontal="left" vertical="center" wrapText="1"/>
    </xf>
    <xf numFmtId="3" fontId="0" fillId="38" borderId="144" xfId="0" applyNumberFormat="1" applyFill="1" applyBorder="1" applyAlignment="1">
      <alignment horizontal="center"/>
    </xf>
    <xf numFmtId="3" fontId="0" fillId="38" borderId="117" xfId="0" applyNumberFormat="1" applyFill="1" applyBorder="1" applyAlignment="1">
      <alignment horizontal="center"/>
    </xf>
    <xf numFmtId="3" fontId="0" fillId="38" borderId="145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8" borderId="75" xfId="0" applyNumberFormat="1" applyFill="1" applyBorder="1" applyAlignment="1">
      <alignment horizontal="center"/>
    </xf>
    <xf numFmtId="0" fontId="60" fillId="0" borderId="161" xfId="0" applyFont="1" applyBorder="1" applyAlignment="1">
      <alignment horizontal="left" vertical="center"/>
    </xf>
    <xf numFmtId="0" fontId="60" fillId="0" borderId="162" xfId="0" applyFont="1" applyBorder="1" applyAlignment="1">
      <alignment horizontal="left" vertical="center"/>
    </xf>
    <xf numFmtId="0" fontId="60" fillId="0" borderId="163" xfId="0" applyFont="1" applyBorder="1" applyAlignment="1">
      <alignment horizontal="left" vertical="center"/>
    </xf>
    <xf numFmtId="3" fontId="0" fillId="38" borderId="58" xfId="0" applyNumberFormat="1" applyFill="1" applyBorder="1" applyAlignment="1">
      <alignment horizontal="center"/>
    </xf>
    <xf numFmtId="3" fontId="0" fillId="38" borderId="57" xfId="0" applyNumberFormat="1" applyFill="1" applyBorder="1" applyAlignment="1">
      <alignment horizontal="center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0" fillId="0" borderId="1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160" xfId="0" applyFill="1" applyBorder="1" applyAlignment="1">
      <alignment horizontal="center"/>
    </xf>
    <xf numFmtId="0" fontId="60" fillId="0" borderId="164" xfId="0" applyFont="1" applyBorder="1" applyAlignment="1">
      <alignment horizontal="left" vertical="center" wrapText="1"/>
    </xf>
    <xf numFmtId="0" fontId="60" fillId="0" borderId="150" xfId="0" applyFont="1" applyBorder="1" applyAlignment="1">
      <alignment horizontal="left" vertical="center" wrapText="1"/>
    </xf>
    <xf numFmtId="3" fontId="19" fillId="34" borderId="154" xfId="0" applyNumberFormat="1" applyFont="1" applyFill="1" applyBorder="1" applyAlignment="1">
      <alignment horizontal="center"/>
    </xf>
    <xf numFmtId="3" fontId="19" fillId="34" borderId="70" xfId="0" applyNumberFormat="1" applyFont="1" applyFill="1" applyBorder="1" applyAlignment="1">
      <alignment horizontal="center"/>
    </xf>
    <xf numFmtId="3" fontId="19" fillId="34" borderId="85" xfId="0" applyNumberFormat="1" applyFont="1" applyFill="1" applyBorder="1" applyAlignment="1">
      <alignment horizontal="center"/>
    </xf>
    <xf numFmtId="0" fontId="60" fillId="0" borderId="61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94" xfId="0" applyFont="1" applyBorder="1" applyAlignment="1">
      <alignment horizontal="left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1"/>
  <sheetViews>
    <sheetView zoomScale="120" zoomScaleNormal="120" zoomScalePageLayoutView="0" workbookViewId="0" topLeftCell="A1">
      <selection activeCell="A2" sqref="A2:J2"/>
    </sheetView>
  </sheetViews>
  <sheetFormatPr defaultColWidth="9.00390625" defaultRowHeight="12.75"/>
  <cols>
    <col min="1" max="1" width="5.125" style="123" customWidth="1"/>
    <col min="2" max="3" width="9.125" style="123" customWidth="1"/>
    <col min="4" max="4" width="5.875" style="123" customWidth="1"/>
    <col min="5" max="5" width="49.875" style="123" customWidth="1"/>
    <col min="6" max="6" width="16.125" style="123" bestFit="1" customWidth="1"/>
    <col min="7" max="7" width="13.625" style="123" customWidth="1"/>
    <col min="8" max="9" width="15.125" style="123" customWidth="1"/>
    <col min="10" max="10" width="15.875" style="123" bestFit="1" customWidth="1"/>
    <col min="11" max="11" width="9.125" style="253" customWidth="1"/>
    <col min="12" max="16384" width="9.125" style="123" customWidth="1"/>
  </cols>
  <sheetData>
    <row r="1" spans="1:10" ht="12.75">
      <c r="A1" s="70"/>
      <c r="B1" s="149"/>
      <c r="C1" s="149"/>
      <c r="D1" s="149"/>
      <c r="E1" s="150"/>
      <c r="F1" s="860" t="s">
        <v>1018</v>
      </c>
      <c r="G1" s="861"/>
      <c r="H1" s="861"/>
      <c r="I1" s="861"/>
      <c r="J1" s="861"/>
    </row>
    <row r="2" spans="1:10" ht="15.75">
      <c r="A2" s="865" t="s">
        <v>783</v>
      </c>
      <c r="B2" s="865"/>
      <c r="C2" s="865"/>
      <c r="D2" s="865"/>
      <c r="E2" s="865"/>
      <c r="F2" s="865"/>
      <c r="G2" s="865"/>
      <c r="H2" s="865"/>
      <c r="I2" s="865"/>
      <c r="J2" s="865"/>
    </row>
    <row r="3" spans="1:10" ht="12.75">
      <c r="A3" s="70"/>
      <c r="B3" s="70"/>
      <c r="C3" s="70"/>
      <c r="D3" s="70"/>
      <c r="E3" s="70"/>
      <c r="F3" s="149"/>
      <c r="G3" s="149"/>
      <c r="H3" s="149"/>
      <c r="I3" s="149"/>
      <c r="J3" s="149"/>
    </row>
    <row r="4" spans="1:10" ht="12.75">
      <c r="A4" s="70"/>
      <c r="B4" s="149"/>
      <c r="C4" s="149"/>
      <c r="D4" s="149"/>
      <c r="E4" s="149"/>
      <c r="F4" s="149"/>
      <c r="G4" s="149"/>
      <c r="H4" s="149"/>
      <c r="I4" s="149"/>
      <c r="J4" s="150" t="s">
        <v>568</v>
      </c>
    </row>
    <row r="5" spans="1:10" ht="60">
      <c r="A5" s="851" t="s">
        <v>0</v>
      </c>
      <c r="B5" s="852"/>
      <c r="C5" s="852"/>
      <c r="D5" s="852"/>
      <c r="E5" s="853"/>
      <c r="F5" s="130" t="s">
        <v>86</v>
      </c>
      <c r="G5" s="130" t="s">
        <v>362</v>
      </c>
      <c r="H5" s="130" t="s">
        <v>678</v>
      </c>
      <c r="I5" s="130" t="s">
        <v>715</v>
      </c>
      <c r="J5" s="130" t="s">
        <v>357</v>
      </c>
    </row>
    <row r="6" spans="1:11" s="134" customFormat="1" ht="15">
      <c r="A6" s="151" t="s">
        <v>417</v>
      </c>
      <c r="B6" s="862" t="s">
        <v>418</v>
      </c>
      <c r="C6" s="863"/>
      <c r="D6" s="863"/>
      <c r="E6" s="864"/>
      <c r="F6" s="152" t="s">
        <v>419</v>
      </c>
      <c r="G6" s="152" t="s">
        <v>420</v>
      </c>
      <c r="H6" s="152" t="s">
        <v>421</v>
      </c>
      <c r="I6" s="152" t="s">
        <v>422</v>
      </c>
      <c r="J6" s="152" t="s">
        <v>424</v>
      </c>
      <c r="K6" s="500"/>
    </row>
    <row r="7" spans="1:11" s="155" customFormat="1" ht="12.75">
      <c r="A7" s="153" t="s">
        <v>201</v>
      </c>
      <c r="B7" s="854" t="s">
        <v>202</v>
      </c>
      <c r="C7" s="854"/>
      <c r="D7" s="854"/>
      <c r="E7" s="854"/>
      <c r="F7" s="154">
        <f>SUM(F8+F16+F17+F18+F29+F30)</f>
        <v>775646926</v>
      </c>
      <c r="G7" s="154">
        <f>SUM(G8+G16+G17+G18+G29+G30)</f>
        <v>1484730</v>
      </c>
      <c r="H7" s="154">
        <f>SUM(H8+H16+H17+H18+H29+H30)</f>
        <v>7306741</v>
      </c>
      <c r="I7" s="154">
        <f>SUM(I8+I16+I17+I18+I29+I30)</f>
        <v>2854932</v>
      </c>
      <c r="J7" s="154">
        <f>SUM(F7:I7)</f>
        <v>787293329</v>
      </c>
      <c r="K7" s="501"/>
    </row>
    <row r="8" spans="1:11" ht="12.75">
      <c r="A8" s="156"/>
      <c r="B8" s="156" t="s">
        <v>203</v>
      </c>
      <c r="C8" s="850" t="s">
        <v>204</v>
      </c>
      <c r="D8" s="850"/>
      <c r="E8" s="850"/>
      <c r="F8" s="157">
        <f>SUM(F9:F15)</f>
        <v>525869524</v>
      </c>
      <c r="G8" s="157">
        <f>SUM(G9:G15)</f>
        <v>0</v>
      </c>
      <c r="H8" s="157">
        <f>SUM(H9:H15)</f>
        <v>0</v>
      </c>
      <c r="I8" s="157">
        <f>SUM(I9:I15)</f>
        <v>0</v>
      </c>
      <c r="J8" s="158">
        <f aca="true" t="shared" si="0" ref="J8:J73">SUM(F8:I8)</f>
        <v>525869524</v>
      </c>
      <c r="K8" s="502"/>
    </row>
    <row r="9" spans="1:11" ht="12.75">
      <c r="A9" s="159"/>
      <c r="B9" s="159"/>
      <c r="C9" s="159" t="s">
        <v>205</v>
      </c>
      <c r="D9" s="159"/>
      <c r="E9" s="159" t="s">
        <v>588</v>
      </c>
      <c r="F9" s="160">
        <f>186857281+22486700+426173</f>
        <v>209770154</v>
      </c>
      <c r="G9" s="160">
        <v>0</v>
      </c>
      <c r="H9" s="160">
        <v>0</v>
      </c>
      <c r="I9" s="160">
        <v>0</v>
      </c>
      <c r="J9" s="161">
        <f t="shared" si="0"/>
        <v>209770154</v>
      </c>
      <c r="K9" s="503"/>
    </row>
    <row r="10" spans="1:11" ht="12.75">
      <c r="A10" s="159"/>
      <c r="B10" s="162"/>
      <c r="C10" s="159" t="s">
        <v>206</v>
      </c>
      <c r="D10" s="159"/>
      <c r="E10" s="159" t="s">
        <v>594</v>
      </c>
      <c r="F10" s="160">
        <v>118098200</v>
      </c>
      <c r="G10" s="160">
        <v>0</v>
      </c>
      <c r="H10" s="160">
        <v>0</v>
      </c>
      <c r="I10" s="160">
        <v>0</v>
      </c>
      <c r="J10" s="161">
        <f t="shared" si="0"/>
        <v>118098200</v>
      </c>
      <c r="K10" s="503"/>
    </row>
    <row r="11" spans="1:11" ht="12.75">
      <c r="A11" s="159"/>
      <c r="B11" s="159"/>
      <c r="C11" s="159" t="s">
        <v>903</v>
      </c>
      <c r="D11" s="159"/>
      <c r="E11" s="159" t="s">
        <v>905</v>
      </c>
      <c r="F11" s="160">
        <f>90378059+1038000+10068391+8095006</f>
        <v>109579456</v>
      </c>
      <c r="G11" s="160">
        <v>0</v>
      </c>
      <c r="H11" s="160">
        <v>0</v>
      </c>
      <c r="I11" s="160">
        <v>0</v>
      </c>
      <c r="J11" s="161">
        <f t="shared" si="0"/>
        <v>109579456</v>
      </c>
      <c r="K11" s="503"/>
    </row>
    <row r="12" spans="1:11" ht="12.75">
      <c r="A12" s="159"/>
      <c r="B12" s="159"/>
      <c r="C12" s="159" t="s">
        <v>904</v>
      </c>
      <c r="D12" s="159"/>
      <c r="E12" s="159" t="s">
        <v>906</v>
      </c>
      <c r="F12" s="160">
        <v>76751744</v>
      </c>
      <c r="G12" s="160"/>
      <c r="H12" s="160"/>
      <c r="I12" s="160"/>
      <c r="J12" s="161">
        <f t="shared" si="0"/>
        <v>76751744</v>
      </c>
      <c r="K12" s="503"/>
    </row>
    <row r="13" spans="1:11" ht="12.75">
      <c r="A13" s="159"/>
      <c r="B13" s="159"/>
      <c r="C13" s="159" t="s">
        <v>207</v>
      </c>
      <c r="D13" s="159"/>
      <c r="E13" s="159" t="s">
        <v>595</v>
      </c>
      <c r="F13" s="160">
        <f>10821150+848820</f>
        <v>11669970</v>
      </c>
      <c r="G13" s="160">
        <v>0</v>
      </c>
      <c r="H13" s="160">
        <v>0</v>
      </c>
      <c r="I13" s="160">
        <v>0</v>
      </c>
      <c r="J13" s="161">
        <f t="shared" si="0"/>
        <v>11669970</v>
      </c>
      <c r="K13" s="503"/>
    </row>
    <row r="14" spans="1:11" ht="12.75">
      <c r="A14" s="159"/>
      <c r="B14" s="159"/>
      <c r="C14" s="159" t="s">
        <v>208</v>
      </c>
      <c r="D14" s="159"/>
      <c r="E14" s="159" t="s">
        <v>589</v>
      </c>
      <c r="F14" s="160">
        <f>383873+10959511-11343384</f>
        <v>0</v>
      </c>
      <c r="G14" s="160">
        <v>0</v>
      </c>
      <c r="H14" s="160">
        <v>0</v>
      </c>
      <c r="I14" s="160">
        <v>0</v>
      </c>
      <c r="J14" s="161">
        <f t="shared" si="0"/>
        <v>0</v>
      </c>
      <c r="K14" s="503"/>
    </row>
    <row r="15" spans="1:11" ht="0.75" customHeight="1">
      <c r="A15" s="163"/>
      <c r="B15" s="163"/>
      <c r="C15" s="159" t="s">
        <v>209</v>
      </c>
      <c r="D15" s="163"/>
      <c r="E15" s="159" t="s">
        <v>493</v>
      </c>
      <c r="F15" s="160">
        <v>0</v>
      </c>
      <c r="G15" s="160">
        <v>0</v>
      </c>
      <c r="H15" s="160">
        <v>0</v>
      </c>
      <c r="I15" s="160">
        <v>0</v>
      </c>
      <c r="J15" s="161">
        <f t="shared" si="0"/>
        <v>0</v>
      </c>
      <c r="K15" s="503"/>
    </row>
    <row r="16" spans="1:11" ht="12.75">
      <c r="A16" s="156"/>
      <c r="B16" s="156" t="s">
        <v>210</v>
      </c>
      <c r="C16" s="850" t="s">
        <v>211</v>
      </c>
      <c r="D16" s="850"/>
      <c r="E16" s="850"/>
      <c r="F16" s="157">
        <v>0</v>
      </c>
      <c r="G16" s="157">
        <v>0</v>
      </c>
      <c r="H16" s="157">
        <v>0</v>
      </c>
      <c r="I16" s="157">
        <v>0</v>
      </c>
      <c r="J16" s="158">
        <f t="shared" si="0"/>
        <v>0</v>
      </c>
      <c r="K16" s="502"/>
    </row>
    <row r="17" spans="1:11" ht="12.75">
      <c r="A17" s="156"/>
      <c r="B17" s="156" t="s">
        <v>212</v>
      </c>
      <c r="C17" s="850" t="s">
        <v>590</v>
      </c>
      <c r="D17" s="850"/>
      <c r="E17" s="850"/>
      <c r="F17" s="157">
        <v>0</v>
      </c>
      <c r="G17" s="157">
        <v>0</v>
      </c>
      <c r="H17" s="157">
        <v>0</v>
      </c>
      <c r="I17" s="157">
        <v>0</v>
      </c>
      <c r="J17" s="158">
        <f t="shared" si="0"/>
        <v>0</v>
      </c>
      <c r="K17" s="502"/>
    </row>
    <row r="18" spans="1:11" ht="12.75">
      <c r="A18" s="156"/>
      <c r="B18" s="156" t="s">
        <v>213</v>
      </c>
      <c r="C18" s="850" t="s">
        <v>591</v>
      </c>
      <c r="D18" s="850"/>
      <c r="E18" s="850"/>
      <c r="F18" s="157">
        <f>SUM(F19:F28)</f>
        <v>0</v>
      </c>
      <c r="G18" s="157">
        <f>SUM(G19:G28)</f>
        <v>0</v>
      </c>
      <c r="H18" s="157">
        <f>SUM(H19:H28)</f>
        <v>0</v>
      </c>
      <c r="I18" s="157">
        <f>SUM(I19:I28)</f>
        <v>0</v>
      </c>
      <c r="J18" s="158">
        <f t="shared" si="0"/>
        <v>0</v>
      </c>
      <c r="K18" s="502"/>
    </row>
    <row r="19" spans="1:11" ht="12.75" hidden="1">
      <c r="A19" s="164"/>
      <c r="B19" s="164"/>
      <c r="C19" s="165" t="s">
        <v>2</v>
      </c>
      <c r="D19" s="165" t="s">
        <v>139</v>
      </c>
      <c r="E19" s="165" t="s">
        <v>140</v>
      </c>
      <c r="F19" s="166">
        <v>0</v>
      </c>
      <c r="G19" s="166">
        <v>0</v>
      </c>
      <c r="H19" s="166">
        <v>0</v>
      </c>
      <c r="I19" s="166">
        <v>0</v>
      </c>
      <c r="J19" s="167">
        <f t="shared" si="0"/>
        <v>0</v>
      </c>
      <c r="K19" s="504"/>
    </row>
    <row r="20" spans="1:11" ht="12.75" hidden="1">
      <c r="A20" s="164"/>
      <c r="B20" s="164"/>
      <c r="C20" s="165"/>
      <c r="D20" s="165" t="s">
        <v>141</v>
      </c>
      <c r="E20" s="165" t="s">
        <v>142</v>
      </c>
      <c r="F20" s="166">
        <v>0</v>
      </c>
      <c r="G20" s="166">
        <v>0</v>
      </c>
      <c r="H20" s="166">
        <v>0</v>
      </c>
      <c r="I20" s="166">
        <v>0</v>
      </c>
      <c r="J20" s="167">
        <f t="shared" si="0"/>
        <v>0</v>
      </c>
      <c r="K20" s="504"/>
    </row>
    <row r="21" spans="1:11" ht="12.75" hidden="1">
      <c r="A21" s="164"/>
      <c r="B21" s="164"/>
      <c r="C21" s="165"/>
      <c r="D21" s="165" t="s">
        <v>143</v>
      </c>
      <c r="E21" s="165" t="s">
        <v>214</v>
      </c>
      <c r="F21" s="166">
        <v>0</v>
      </c>
      <c r="G21" s="166">
        <v>0</v>
      </c>
      <c r="H21" s="166">
        <v>0</v>
      </c>
      <c r="I21" s="166">
        <v>0</v>
      </c>
      <c r="J21" s="167">
        <f t="shared" si="0"/>
        <v>0</v>
      </c>
      <c r="K21" s="504"/>
    </row>
    <row r="22" spans="1:11" ht="12.75" hidden="1">
      <c r="A22" s="164"/>
      <c r="B22" s="164"/>
      <c r="C22" s="165"/>
      <c r="D22" s="165" t="s">
        <v>145</v>
      </c>
      <c r="E22" s="165" t="s">
        <v>146</v>
      </c>
      <c r="F22" s="166">
        <v>0</v>
      </c>
      <c r="G22" s="166">
        <v>0</v>
      </c>
      <c r="H22" s="166">
        <v>0</v>
      </c>
      <c r="I22" s="166">
        <v>0</v>
      </c>
      <c r="J22" s="167">
        <f t="shared" si="0"/>
        <v>0</v>
      </c>
      <c r="K22" s="504"/>
    </row>
    <row r="23" spans="1:11" ht="12.75" hidden="1">
      <c r="A23" s="164"/>
      <c r="B23" s="164"/>
      <c r="C23" s="165"/>
      <c r="D23" s="165" t="s">
        <v>147</v>
      </c>
      <c r="E23" s="165" t="s">
        <v>148</v>
      </c>
      <c r="F23" s="166">
        <v>0</v>
      </c>
      <c r="G23" s="166">
        <v>0</v>
      </c>
      <c r="H23" s="166">
        <v>0</v>
      </c>
      <c r="I23" s="166">
        <v>0</v>
      </c>
      <c r="J23" s="167">
        <f t="shared" si="0"/>
        <v>0</v>
      </c>
      <c r="K23" s="504"/>
    </row>
    <row r="24" spans="1:11" ht="12.75" hidden="1">
      <c r="A24" s="164"/>
      <c r="B24" s="164"/>
      <c r="C24" s="165"/>
      <c r="D24" s="165" t="s">
        <v>149</v>
      </c>
      <c r="E24" s="165" t="s">
        <v>150</v>
      </c>
      <c r="F24" s="166">
        <v>0</v>
      </c>
      <c r="G24" s="166">
        <v>0</v>
      </c>
      <c r="H24" s="166">
        <v>0</v>
      </c>
      <c r="I24" s="166">
        <v>0</v>
      </c>
      <c r="J24" s="167">
        <f t="shared" si="0"/>
        <v>0</v>
      </c>
      <c r="K24" s="504"/>
    </row>
    <row r="25" spans="1:11" ht="12.75" hidden="1">
      <c r="A25" s="164"/>
      <c r="B25" s="164"/>
      <c r="C25" s="165"/>
      <c r="D25" s="165" t="s">
        <v>151</v>
      </c>
      <c r="E25" s="165" t="s">
        <v>152</v>
      </c>
      <c r="F25" s="166">
        <v>0</v>
      </c>
      <c r="G25" s="166">
        <v>0</v>
      </c>
      <c r="H25" s="166">
        <v>0</v>
      </c>
      <c r="I25" s="166">
        <v>0</v>
      </c>
      <c r="J25" s="167">
        <f t="shared" si="0"/>
        <v>0</v>
      </c>
      <c r="K25" s="504"/>
    </row>
    <row r="26" spans="1:11" ht="12.75" hidden="1">
      <c r="A26" s="164"/>
      <c r="B26" s="164"/>
      <c r="C26" s="165"/>
      <c r="D26" s="165" t="s">
        <v>153</v>
      </c>
      <c r="E26" s="165" t="s">
        <v>154</v>
      </c>
      <c r="F26" s="166"/>
      <c r="G26" s="166">
        <v>0</v>
      </c>
      <c r="H26" s="166">
        <v>0</v>
      </c>
      <c r="I26" s="166">
        <v>0</v>
      </c>
      <c r="J26" s="167">
        <f t="shared" si="0"/>
        <v>0</v>
      </c>
      <c r="K26" s="504"/>
    </row>
    <row r="27" spans="1:11" ht="12.75" hidden="1">
      <c r="A27" s="164"/>
      <c r="B27" s="164"/>
      <c r="C27" s="165"/>
      <c r="D27" s="165" t="s">
        <v>155</v>
      </c>
      <c r="E27" s="165" t="s">
        <v>156</v>
      </c>
      <c r="F27" s="166">
        <v>0</v>
      </c>
      <c r="G27" s="166">
        <v>0</v>
      </c>
      <c r="H27" s="166">
        <v>0</v>
      </c>
      <c r="I27" s="166">
        <v>0</v>
      </c>
      <c r="J27" s="167">
        <f t="shared" si="0"/>
        <v>0</v>
      </c>
      <c r="K27" s="504"/>
    </row>
    <row r="28" spans="1:11" ht="12.75" hidden="1">
      <c r="A28" s="164"/>
      <c r="B28" s="164"/>
      <c r="C28" s="165"/>
      <c r="D28" s="165" t="s">
        <v>157</v>
      </c>
      <c r="E28" s="165" t="s">
        <v>158</v>
      </c>
      <c r="F28" s="166">
        <v>0</v>
      </c>
      <c r="G28" s="166">
        <v>0</v>
      </c>
      <c r="H28" s="166">
        <v>0</v>
      </c>
      <c r="I28" s="166">
        <v>0</v>
      </c>
      <c r="J28" s="167">
        <f t="shared" si="0"/>
        <v>0</v>
      </c>
      <c r="K28" s="504"/>
    </row>
    <row r="29" spans="1:11" ht="12.75">
      <c r="A29" s="156"/>
      <c r="B29" s="156" t="s">
        <v>215</v>
      </c>
      <c r="C29" s="850" t="s">
        <v>592</v>
      </c>
      <c r="D29" s="850"/>
      <c r="E29" s="850"/>
      <c r="F29" s="157">
        <v>0</v>
      </c>
      <c r="G29" s="157">
        <v>0</v>
      </c>
      <c r="H29" s="157">
        <v>0</v>
      </c>
      <c r="I29" s="157">
        <v>0</v>
      </c>
      <c r="J29" s="158">
        <f t="shared" si="0"/>
        <v>0</v>
      </c>
      <c r="K29" s="502"/>
    </row>
    <row r="30" spans="1:11" ht="12.75">
      <c r="A30" s="156"/>
      <c r="B30" s="156" t="s">
        <v>216</v>
      </c>
      <c r="C30" s="850" t="s">
        <v>593</v>
      </c>
      <c r="D30" s="850"/>
      <c r="E30" s="850"/>
      <c r="F30" s="157">
        <f>SUM(F31:F40)</f>
        <v>249777402</v>
      </c>
      <c r="G30" s="157">
        <f>SUM(G31:G40)</f>
        <v>1484730</v>
      </c>
      <c r="H30" s="157">
        <f>SUM(H31:H40)</f>
        <v>7306741</v>
      </c>
      <c r="I30" s="157">
        <f>SUM(I31:I40)</f>
        <v>2854932</v>
      </c>
      <c r="J30" s="158">
        <f t="shared" si="0"/>
        <v>261423805</v>
      </c>
      <c r="K30" s="502"/>
    </row>
    <row r="31" spans="1:11" ht="12.75" hidden="1">
      <c r="A31" s="164"/>
      <c r="B31" s="164"/>
      <c r="C31" s="165" t="s">
        <v>2</v>
      </c>
      <c r="D31" s="165" t="s">
        <v>139</v>
      </c>
      <c r="E31" s="165" t="s">
        <v>140</v>
      </c>
      <c r="F31" s="166">
        <v>0</v>
      </c>
      <c r="G31" s="166">
        <v>0</v>
      </c>
      <c r="H31" s="166">
        <v>0</v>
      </c>
      <c r="I31" s="166">
        <v>0</v>
      </c>
      <c r="J31" s="167">
        <f t="shared" si="0"/>
        <v>0</v>
      </c>
      <c r="K31" s="504"/>
    </row>
    <row r="32" spans="1:11" ht="12.75" hidden="1">
      <c r="A32" s="164"/>
      <c r="B32" s="164"/>
      <c r="C32" s="165"/>
      <c r="D32" s="165" t="s">
        <v>141</v>
      </c>
      <c r="E32" s="165" t="s">
        <v>142</v>
      </c>
      <c r="F32" s="166">
        <v>0</v>
      </c>
      <c r="G32" s="166">
        <v>0</v>
      </c>
      <c r="H32" s="166">
        <v>0</v>
      </c>
      <c r="I32" s="166">
        <v>0</v>
      </c>
      <c r="J32" s="167">
        <f t="shared" si="0"/>
        <v>0</v>
      </c>
      <c r="K32" s="504"/>
    </row>
    <row r="33" spans="1:11" ht="12.75">
      <c r="A33" s="168"/>
      <c r="B33" s="168"/>
      <c r="C33" s="165" t="s">
        <v>2</v>
      </c>
      <c r="D33" s="169"/>
      <c r="E33" s="169" t="s">
        <v>596</v>
      </c>
      <c r="F33" s="166">
        <f>2100000+40118910+5788759+1092680+13881090+60657486+23938936</f>
        <v>147577861</v>
      </c>
      <c r="G33" s="166">
        <v>0</v>
      </c>
      <c r="H33" s="166">
        <v>5354163</v>
      </c>
      <c r="I33" s="166"/>
      <c r="J33" s="167">
        <f t="shared" si="0"/>
        <v>152932024</v>
      </c>
      <c r="K33" s="504"/>
    </row>
    <row r="34" spans="1:11" ht="12.75">
      <c r="A34" s="164"/>
      <c r="B34" s="164"/>
      <c r="C34" s="165"/>
      <c r="D34" s="165"/>
      <c r="E34" s="165" t="s">
        <v>146</v>
      </c>
      <c r="F34" s="166">
        <f>7411115+571500</f>
        <v>7982615</v>
      </c>
      <c r="G34" s="166">
        <v>0</v>
      </c>
      <c r="H34" s="166">
        <v>0</v>
      </c>
      <c r="I34" s="166">
        <v>0</v>
      </c>
      <c r="J34" s="167">
        <f t="shared" si="0"/>
        <v>7982615</v>
      </c>
      <c r="K34" s="504"/>
    </row>
    <row r="35" spans="1:11" ht="12.75">
      <c r="A35" s="164"/>
      <c r="B35" s="164"/>
      <c r="C35" s="165"/>
      <c r="D35" s="165"/>
      <c r="E35" s="165" t="s">
        <v>148</v>
      </c>
      <c r="F35" s="166">
        <f>21600000+7959000+2626200+2887500</f>
        <v>35072700</v>
      </c>
      <c r="G35" s="166">
        <v>0</v>
      </c>
      <c r="H35" s="166">
        <v>0</v>
      </c>
      <c r="I35" s="166">
        <v>0</v>
      </c>
      <c r="J35" s="167">
        <f t="shared" si="0"/>
        <v>35072700</v>
      </c>
      <c r="K35" s="504"/>
    </row>
    <row r="36" spans="1:11" ht="12.75">
      <c r="A36" s="164"/>
      <c r="B36" s="164"/>
      <c r="C36" s="165"/>
      <c r="D36" s="165"/>
      <c r="E36" s="165" t="s">
        <v>150</v>
      </c>
      <c r="F36" s="166">
        <f>13227888+4016545+26537427+16490993-2702314-8864634+5586997+278932</f>
        <v>54571834</v>
      </c>
      <c r="G36" s="166">
        <v>1484730</v>
      </c>
      <c r="H36" s="166">
        <f>1952578</f>
        <v>1952578</v>
      </c>
      <c r="I36" s="166">
        <f>2576000+278932</f>
        <v>2854932</v>
      </c>
      <c r="J36" s="167">
        <f t="shared" si="0"/>
        <v>60864074</v>
      </c>
      <c r="K36" s="504"/>
    </row>
    <row r="37" spans="1:11" ht="12.75">
      <c r="A37" s="164"/>
      <c r="B37" s="164"/>
      <c r="C37" s="165"/>
      <c r="D37" s="165"/>
      <c r="E37" s="165" t="s">
        <v>152</v>
      </c>
      <c r="F37" s="166">
        <f>3386445+1185947</f>
        <v>4572392</v>
      </c>
      <c r="G37" s="166">
        <v>0</v>
      </c>
      <c r="H37" s="166">
        <v>0</v>
      </c>
      <c r="I37" s="166">
        <v>0</v>
      </c>
      <c r="J37" s="167">
        <f t="shared" si="0"/>
        <v>4572392</v>
      </c>
      <c r="K37" s="504"/>
    </row>
    <row r="38" spans="1:11" ht="12.75" hidden="1">
      <c r="A38" s="164"/>
      <c r="B38" s="164"/>
      <c r="C38" s="165"/>
      <c r="D38" s="165"/>
      <c r="E38" s="165" t="s">
        <v>154</v>
      </c>
      <c r="F38" s="166">
        <v>0</v>
      </c>
      <c r="G38" s="166">
        <v>0</v>
      </c>
      <c r="H38" s="166">
        <v>0</v>
      </c>
      <c r="I38" s="166">
        <v>0</v>
      </c>
      <c r="J38" s="167">
        <f t="shared" si="0"/>
        <v>0</v>
      </c>
      <c r="K38" s="504"/>
    </row>
    <row r="39" spans="1:11" ht="12.75" hidden="1">
      <c r="A39" s="164"/>
      <c r="B39" s="164"/>
      <c r="C39" s="165"/>
      <c r="D39" s="165"/>
      <c r="E39" s="165" t="s">
        <v>597</v>
      </c>
      <c r="F39" s="166">
        <v>0</v>
      </c>
      <c r="G39" s="166">
        <v>0</v>
      </c>
      <c r="H39" s="166">
        <v>0</v>
      </c>
      <c r="I39" s="166">
        <v>0</v>
      </c>
      <c r="J39" s="167">
        <f t="shared" si="0"/>
        <v>0</v>
      </c>
      <c r="K39" s="504"/>
    </row>
    <row r="40" spans="1:11" ht="12.75" hidden="1">
      <c r="A40" s="164"/>
      <c r="B40" s="164"/>
      <c r="C40" s="165"/>
      <c r="D40" s="165"/>
      <c r="E40" s="165" t="s">
        <v>598</v>
      </c>
      <c r="F40" s="166">
        <v>0</v>
      </c>
      <c r="G40" s="166">
        <v>0</v>
      </c>
      <c r="H40" s="166">
        <v>0</v>
      </c>
      <c r="I40" s="166">
        <v>0</v>
      </c>
      <c r="J40" s="167">
        <f t="shared" si="0"/>
        <v>0</v>
      </c>
      <c r="K40" s="504"/>
    </row>
    <row r="41" spans="1:11" s="155" customFormat="1" ht="12.75">
      <c r="A41" s="153" t="s">
        <v>217</v>
      </c>
      <c r="B41" s="854" t="s">
        <v>604</v>
      </c>
      <c r="C41" s="854"/>
      <c r="D41" s="854"/>
      <c r="E41" s="854"/>
      <c r="F41" s="154">
        <f>SUM(F42:F46)</f>
        <v>6264795</v>
      </c>
      <c r="G41" s="154">
        <f>SUM(G42:G46)</f>
        <v>0</v>
      </c>
      <c r="H41" s="154">
        <f>SUM(H42:H46)</f>
        <v>0</v>
      </c>
      <c r="I41" s="154">
        <f>SUM(I42:I46)</f>
        <v>0</v>
      </c>
      <c r="J41" s="154">
        <f t="shared" si="0"/>
        <v>6264795</v>
      </c>
      <c r="K41" s="501"/>
    </row>
    <row r="42" spans="1:11" ht="12.75" hidden="1">
      <c r="A42" s="156"/>
      <c r="B42" s="156" t="s">
        <v>218</v>
      </c>
      <c r="C42" s="850" t="s">
        <v>599</v>
      </c>
      <c r="D42" s="850"/>
      <c r="E42" s="850"/>
      <c r="F42" s="157">
        <v>0</v>
      </c>
      <c r="G42" s="157">
        <v>0</v>
      </c>
      <c r="H42" s="157">
        <v>0</v>
      </c>
      <c r="I42" s="157">
        <v>0</v>
      </c>
      <c r="J42" s="158">
        <f t="shared" si="0"/>
        <v>0</v>
      </c>
      <c r="K42" s="502"/>
    </row>
    <row r="43" spans="1:11" ht="12.75" hidden="1">
      <c r="A43" s="156"/>
      <c r="B43" s="156" t="s">
        <v>219</v>
      </c>
      <c r="C43" s="850" t="s">
        <v>600</v>
      </c>
      <c r="D43" s="850"/>
      <c r="E43" s="850"/>
      <c r="F43" s="157">
        <v>0</v>
      </c>
      <c r="G43" s="157">
        <v>0</v>
      </c>
      <c r="H43" s="157">
        <v>0</v>
      </c>
      <c r="I43" s="157">
        <v>0</v>
      </c>
      <c r="J43" s="158">
        <f t="shared" si="0"/>
        <v>0</v>
      </c>
      <c r="K43" s="502"/>
    </row>
    <row r="44" spans="1:11" ht="12.75" hidden="1">
      <c r="A44" s="156"/>
      <c r="B44" s="156" t="s">
        <v>220</v>
      </c>
      <c r="C44" s="850" t="s">
        <v>601</v>
      </c>
      <c r="D44" s="850"/>
      <c r="E44" s="850"/>
      <c r="F44" s="157">
        <v>0</v>
      </c>
      <c r="G44" s="157">
        <v>0</v>
      </c>
      <c r="H44" s="157">
        <v>0</v>
      </c>
      <c r="I44" s="157">
        <v>0</v>
      </c>
      <c r="J44" s="158">
        <f t="shared" si="0"/>
        <v>0</v>
      </c>
      <c r="K44" s="502"/>
    </row>
    <row r="45" spans="1:11" ht="12.75" hidden="1">
      <c r="A45" s="156"/>
      <c r="B45" s="156" t="s">
        <v>221</v>
      </c>
      <c r="C45" s="850" t="s">
        <v>602</v>
      </c>
      <c r="D45" s="850"/>
      <c r="E45" s="850"/>
      <c r="F45" s="157">
        <v>0</v>
      </c>
      <c r="G45" s="157">
        <v>0</v>
      </c>
      <c r="H45" s="157">
        <v>0</v>
      </c>
      <c r="I45" s="157">
        <v>0</v>
      </c>
      <c r="J45" s="158">
        <f t="shared" si="0"/>
        <v>0</v>
      </c>
      <c r="K45" s="502"/>
    </row>
    <row r="46" spans="1:11" ht="12.75">
      <c r="A46" s="156"/>
      <c r="B46" s="156" t="s">
        <v>222</v>
      </c>
      <c r="C46" s="850" t="s">
        <v>603</v>
      </c>
      <c r="D46" s="850"/>
      <c r="E46" s="850"/>
      <c r="F46" s="157">
        <f>SUM(F47:F57)</f>
        <v>6264795</v>
      </c>
      <c r="G46" s="157">
        <f>SUM(G47:G57)</f>
        <v>0</v>
      </c>
      <c r="H46" s="157">
        <f>SUM(H47:H57)</f>
        <v>0</v>
      </c>
      <c r="I46" s="157">
        <f>SUM(I47:I57)</f>
        <v>0</v>
      </c>
      <c r="J46" s="158">
        <f t="shared" si="0"/>
        <v>6264795</v>
      </c>
      <c r="K46" s="502"/>
    </row>
    <row r="47" spans="1:11" ht="12.75" hidden="1">
      <c r="A47" s="164"/>
      <c r="B47" s="164"/>
      <c r="C47" s="165" t="s">
        <v>2</v>
      </c>
      <c r="D47" s="165" t="s">
        <v>139</v>
      </c>
      <c r="E47" s="165" t="s">
        <v>140</v>
      </c>
      <c r="F47" s="166">
        <v>0</v>
      </c>
      <c r="G47" s="166">
        <v>0</v>
      </c>
      <c r="H47" s="166">
        <v>0</v>
      </c>
      <c r="I47" s="166">
        <v>0</v>
      </c>
      <c r="J47" s="167">
        <f t="shared" si="0"/>
        <v>0</v>
      </c>
      <c r="K47" s="504"/>
    </row>
    <row r="48" spans="1:11" ht="12.75" hidden="1">
      <c r="A48" s="164"/>
      <c r="B48" s="164"/>
      <c r="C48" s="165"/>
      <c r="D48" s="165" t="s">
        <v>141</v>
      </c>
      <c r="E48" s="165" t="s">
        <v>142</v>
      </c>
      <c r="F48" s="166">
        <v>0</v>
      </c>
      <c r="G48" s="166">
        <v>0</v>
      </c>
      <c r="H48" s="166">
        <v>0</v>
      </c>
      <c r="I48" s="166">
        <v>0</v>
      </c>
      <c r="J48" s="167">
        <f t="shared" si="0"/>
        <v>0</v>
      </c>
      <c r="K48" s="504"/>
    </row>
    <row r="49" spans="1:11" ht="12" customHeight="1">
      <c r="A49" s="168"/>
      <c r="B49" s="168"/>
      <c r="C49" s="165" t="s">
        <v>2</v>
      </c>
      <c r="D49" s="169"/>
      <c r="E49" s="169" t="s">
        <v>214</v>
      </c>
      <c r="F49" s="166">
        <f>6000000-6000000+6000000</f>
        <v>6000000</v>
      </c>
      <c r="G49" s="166">
        <v>0</v>
      </c>
      <c r="H49" s="166">
        <v>0</v>
      </c>
      <c r="I49" s="166"/>
      <c r="J49" s="167">
        <f t="shared" si="0"/>
        <v>6000000</v>
      </c>
      <c r="K49" s="504"/>
    </row>
    <row r="50" spans="1:11" ht="12.75" hidden="1">
      <c r="A50" s="164"/>
      <c r="B50" s="164"/>
      <c r="C50" s="165"/>
      <c r="D50" s="165" t="s">
        <v>145</v>
      </c>
      <c r="E50" s="165" t="s">
        <v>146</v>
      </c>
      <c r="F50" s="166"/>
      <c r="G50" s="166">
        <v>0</v>
      </c>
      <c r="H50" s="166">
        <v>0</v>
      </c>
      <c r="I50" s="166">
        <v>0</v>
      </c>
      <c r="J50" s="167">
        <f t="shared" si="0"/>
        <v>0</v>
      </c>
      <c r="K50" s="504"/>
    </row>
    <row r="51" spans="1:11" ht="12.75" hidden="1">
      <c r="A51" s="164"/>
      <c r="B51" s="164"/>
      <c r="C51" s="165"/>
      <c r="D51" s="165" t="s">
        <v>147</v>
      </c>
      <c r="E51" s="165" t="s">
        <v>148</v>
      </c>
      <c r="F51" s="166"/>
      <c r="G51" s="166">
        <v>0</v>
      </c>
      <c r="H51" s="166">
        <v>0</v>
      </c>
      <c r="I51" s="166">
        <v>0</v>
      </c>
      <c r="J51" s="167">
        <f t="shared" si="0"/>
        <v>0</v>
      </c>
      <c r="K51" s="504"/>
    </row>
    <row r="52" spans="1:11" ht="12.75" hidden="1">
      <c r="A52" s="164"/>
      <c r="B52" s="164"/>
      <c r="C52" s="165"/>
      <c r="D52" s="165" t="s">
        <v>149</v>
      </c>
      <c r="E52" s="165" t="s">
        <v>150</v>
      </c>
      <c r="F52" s="166"/>
      <c r="G52" s="166">
        <v>0</v>
      </c>
      <c r="H52" s="166">
        <v>0</v>
      </c>
      <c r="I52" s="166">
        <v>0</v>
      </c>
      <c r="J52" s="167">
        <f t="shared" si="0"/>
        <v>0</v>
      </c>
      <c r="K52" s="504"/>
    </row>
    <row r="53" spans="1:11" ht="12.75" hidden="1">
      <c r="A53" s="164"/>
      <c r="B53" s="164"/>
      <c r="C53" s="165"/>
      <c r="D53" s="165" t="s">
        <v>151</v>
      </c>
      <c r="E53" s="165" t="s">
        <v>152</v>
      </c>
      <c r="F53" s="166"/>
      <c r="G53" s="166">
        <v>0</v>
      </c>
      <c r="H53" s="166">
        <v>0</v>
      </c>
      <c r="I53" s="166">
        <v>0</v>
      </c>
      <c r="J53" s="167">
        <f t="shared" si="0"/>
        <v>0</v>
      </c>
      <c r="K53" s="504"/>
    </row>
    <row r="54" spans="1:11" ht="12.75" hidden="1">
      <c r="A54" s="164"/>
      <c r="B54" s="164"/>
      <c r="C54" s="165"/>
      <c r="D54" s="165" t="s">
        <v>153</v>
      </c>
      <c r="E54" s="165" t="s">
        <v>154</v>
      </c>
      <c r="F54" s="166"/>
      <c r="G54" s="166">
        <v>0</v>
      </c>
      <c r="H54" s="166">
        <v>0</v>
      </c>
      <c r="I54" s="166">
        <v>0</v>
      </c>
      <c r="J54" s="167">
        <f t="shared" si="0"/>
        <v>0</v>
      </c>
      <c r="K54" s="504"/>
    </row>
    <row r="55" spans="1:11" ht="12.75" hidden="1">
      <c r="A55" s="164"/>
      <c r="B55" s="164"/>
      <c r="C55" s="165"/>
      <c r="D55" s="165" t="s">
        <v>155</v>
      </c>
      <c r="E55" s="165" t="s">
        <v>156</v>
      </c>
      <c r="F55" s="166"/>
      <c r="G55" s="166">
        <v>0</v>
      </c>
      <c r="H55" s="166">
        <v>0</v>
      </c>
      <c r="I55" s="166">
        <v>0</v>
      </c>
      <c r="J55" s="167">
        <f t="shared" si="0"/>
        <v>0</v>
      </c>
      <c r="K55" s="504"/>
    </row>
    <row r="56" spans="1:11" ht="12.75" hidden="1">
      <c r="A56" s="164"/>
      <c r="B56" s="164"/>
      <c r="C56" s="165"/>
      <c r="D56" s="165" t="s">
        <v>157</v>
      </c>
      <c r="E56" s="165" t="s">
        <v>158</v>
      </c>
      <c r="F56" s="166"/>
      <c r="G56" s="166">
        <v>0</v>
      </c>
      <c r="H56" s="166">
        <v>0</v>
      </c>
      <c r="I56" s="166">
        <v>0</v>
      </c>
      <c r="J56" s="167">
        <f t="shared" si="0"/>
        <v>0</v>
      </c>
      <c r="K56" s="504"/>
    </row>
    <row r="57" spans="1:11" ht="12.75">
      <c r="A57" s="164"/>
      <c r="B57" s="164"/>
      <c r="C57" s="165"/>
      <c r="D57" s="165"/>
      <c r="E57" s="165" t="s">
        <v>150</v>
      </c>
      <c r="F57" s="166">
        <f>74295+190500</f>
        <v>264795</v>
      </c>
      <c r="G57" s="166">
        <v>0</v>
      </c>
      <c r="H57" s="166">
        <v>0</v>
      </c>
      <c r="I57" s="166">
        <v>0</v>
      </c>
      <c r="J57" s="167">
        <f t="shared" si="0"/>
        <v>264795</v>
      </c>
      <c r="K57" s="504"/>
    </row>
    <row r="58" spans="1:11" s="155" customFormat="1" ht="12.75">
      <c r="A58" s="153" t="s">
        <v>223</v>
      </c>
      <c r="B58" s="854" t="s">
        <v>224</v>
      </c>
      <c r="C58" s="854"/>
      <c r="D58" s="854"/>
      <c r="E58" s="854"/>
      <c r="F58" s="154">
        <f>SUM(F59+F60+F61+F62+F65+F76)</f>
        <v>239700000</v>
      </c>
      <c r="G58" s="154">
        <f>SUM(G59+G60+G61+G62+G65+G76)</f>
        <v>0</v>
      </c>
      <c r="H58" s="154">
        <f>SUM(H59+H60+H61+H62+H65+H76)</f>
        <v>0</v>
      </c>
      <c r="I58" s="154">
        <f>SUM(I59+I60+I61+I62+I65+I76)</f>
        <v>0</v>
      </c>
      <c r="J58" s="154">
        <f t="shared" si="0"/>
        <v>239700000</v>
      </c>
      <c r="K58" s="501"/>
    </row>
    <row r="59" spans="1:11" ht="12.75">
      <c r="A59" s="156"/>
      <c r="B59" s="156" t="s">
        <v>225</v>
      </c>
      <c r="C59" s="850" t="s">
        <v>226</v>
      </c>
      <c r="D59" s="850"/>
      <c r="E59" s="850"/>
      <c r="F59" s="157">
        <v>50000</v>
      </c>
      <c r="G59" s="157">
        <v>0</v>
      </c>
      <c r="H59" s="157">
        <v>0</v>
      </c>
      <c r="I59" s="157">
        <v>0</v>
      </c>
      <c r="J59" s="158">
        <f t="shared" si="0"/>
        <v>50000</v>
      </c>
      <c r="K59" s="502"/>
    </row>
    <row r="60" spans="1:11" ht="12.75">
      <c r="A60" s="156"/>
      <c r="B60" s="156" t="s">
        <v>227</v>
      </c>
      <c r="C60" s="850" t="s">
        <v>228</v>
      </c>
      <c r="D60" s="850"/>
      <c r="E60" s="850"/>
      <c r="F60" s="157">
        <v>0</v>
      </c>
      <c r="G60" s="157">
        <v>0</v>
      </c>
      <c r="H60" s="157">
        <v>0</v>
      </c>
      <c r="I60" s="157">
        <v>0</v>
      </c>
      <c r="J60" s="158">
        <f t="shared" si="0"/>
        <v>0</v>
      </c>
      <c r="K60" s="502"/>
    </row>
    <row r="61" spans="1:11" ht="12.75">
      <c r="A61" s="156"/>
      <c r="B61" s="156" t="s">
        <v>229</v>
      </c>
      <c r="C61" s="850" t="s">
        <v>230</v>
      </c>
      <c r="D61" s="850"/>
      <c r="E61" s="850"/>
      <c r="F61" s="157">
        <v>0</v>
      </c>
      <c r="G61" s="157">
        <v>0</v>
      </c>
      <c r="H61" s="157">
        <v>0</v>
      </c>
      <c r="I61" s="157">
        <v>0</v>
      </c>
      <c r="J61" s="158">
        <f t="shared" si="0"/>
        <v>0</v>
      </c>
      <c r="K61" s="502"/>
    </row>
    <row r="62" spans="1:11" ht="12.75">
      <c r="A62" s="156"/>
      <c r="B62" s="156" t="s">
        <v>231</v>
      </c>
      <c r="C62" s="850" t="s">
        <v>232</v>
      </c>
      <c r="D62" s="850"/>
      <c r="E62" s="850"/>
      <c r="F62" s="157">
        <f>SUM(F63:F64)</f>
        <v>38850000</v>
      </c>
      <c r="G62" s="157">
        <f>SUM(G63:G64)</f>
        <v>0</v>
      </c>
      <c r="H62" s="157">
        <v>0</v>
      </c>
      <c r="I62" s="157">
        <v>0</v>
      </c>
      <c r="J62" s="158">
        <f t="shared" si="0"/>
        <v>38850000</v>
      </c>
      <c r="K62" s="502"/>
    </row>
    <row r="63" spans="1:11" ht="12.75">
      <c r="A63" s="164"/>
      <c r="B63" s="164"/>
      <c r="C63" s="165"/>
      <c r="D63" s="165"/>
      <c r="E63" s="165" t="s">
        <v>233</v>
      </c>
      <c r="F63" s="166">
        <v>38000000</v>
      </c>
      <c r="G63" s="166">
        <v>0</v>
      </c>
      <c r="H63" s="166">
        <v>0</v>
      </c>
      <c r="I63" s="166">
        <v>0</v>
      </c>
      <c r="J63" s="167">
        <f t="shared" si="0"/>
        <v>38000000</v>
      </c>
      <c r="K63" s="504"/>
    </row>
    <row r="64" spans="1:11" ht="12.75">
      <c r="A64" s="164"/>
      <c r="B64" s="164"/>
      <c r="C64" s="165"/>
      <c r="D64" s="165"/>
      <c r="E64" s="165" t="s">
        <v>234</v>
      </c>
      <c r="F64" s="166">
        <v>850000</v>
      </c>
      <c r="G64" s="166">
        <v>0</v>
      </c>
      <c r="H64" s="166">
        <v>0</v>
      </c>
      <c r="I64" s="166">
        <v>0</v>
      </c>
      <c r="J64" s="167">
        <f t="shared" si="0"/>
        <v>850000</v>
      </c>
      <c r="K64" s="504"/>
    </row>
    <row r="65" spans="1:11" ht="12.75">
      <c r="A65" s="156"/>
      <c r="B65" s="156" t="s">
        <v>235</v>
      </c>
      <c r="C65" s="850" t="s">
        <v>236</v>
      </c>
      <c r="D65" s="850"/>
      <c r="E65" s="850"/>
      <c r="F65" s="157">
        <f>SUM(F66+F69+F71+F72+F74)</f>
        <v>200150000</v>
      </c>
      <c r="G65" s="157">
        <f>SUM(G66+G69+G71+G72+G74)</f>
        <v>0</v>
      </c>
      <c r="H65" s="157">
        <v>0</v>
      </c>
      <c r="I65" s="157">
        <v>0</v>
      </c>
      <c r="J65" s="158">
        <f t="shared" si="0"/>
        <v>200150000</v>
      </c>
      <c r="K65" s="502"/>
    </row>
    <row r="66" spans="1:11" ht="12.75">
      <c r="A66" s="159"/>
      <c r="B66" s="159"/>
      <c r="C66" s="159" t="s">
        <v>237</v>
      </c>
      <c r="D66" s="159" t="s">
        <v>238</v>
      </c>
      <c r="E66" s="159"/>
      <c r="F66" s="160">
        <f>SUM(F67:F68)</f>
        <v>200150000</v>
      </c>
      <c r="G66" s="160">
        <f>SUM(G67:G68)</f>
        <v>0</v>
      </c>
      <c r="H66" s="160">
        <v>0</v>
      </c>
      <c r="I66" s="160">
        <v>0</v>
      </c>
      <c r="J66" s="161">
        <f t="shared" si="0"/>
        <v>200150000</v>
      </c>
      <c r="K66" s="503"/>
    </row>
    <row r="67" spans="1:11" ht="12.75">
      <c r="A67" s="164"/>
      <c r="B67" s="164"/>
      <c r="C67" s="165"/>
      <c r="D67" s="165"/>
      <c r="E67" s="165" t="s">
        <v>605</v>
      </c>
      <c r="F67" s="166">
        <v>200000000</v>
      </c>
      <c r="G67" s="166">
        <v>0</v>
      </c>
      <c r="H67" s="166">
        <v>0</v>
      </c>
      <c r="I67" s="166">
        <v>0</v>
      </c>
      <c r="J67" s="167">
        <f t="shared" si="0"/>
        <v>200000000</v>
      </c>
      <c r="K67" s="504"/>
    </row>
    <row r="68" spans="1:11" ht="12.75">
      <c r="A68" s="164"/>
      <c r="B68" s="164"/>
      <c r="C68" s="165"/>
      <c r="D68" s="165"/>
      <c r="E68" s="165" t="s">
        <v>606</v>
      </c>
      <c r="F68" s="166">
        <v>150000</v>
      </c>
      <c r="G68" s="166">
        <v>0</v>
      </c>
      <c r="H68" s="166">
        <v>0</v>
      </c>
      <c r="I68" s="166">
        <v>0</v>
      </c>
      <c r="J68" s="167">
        <f t="shared" si="0"/>
        <v>150000</v>
      </c>
      <c r="K68" s="504"/>
    </row>
    <row r="69" spans="1:11" ht="12.75">
      <c r="A69" s="159"/>
      <c r="B69" s="159"/>
      <c r="C69" s="159" t="s">
        <v>239</v>
      </c>
      <c r="D69" s="159" t="s">
        <v>531</v>
      </c>
      <c r="E69" s="159"/>
      <c r="F69" s="160">
        <f>SUM(F70)</f>
        <v>0</v>
      </c>
      <c r="G69" s="160">
        <f>SUM(G70)</f>
        <v>0</v>
      </c>
      <c r="H69" s="160">
        <f>SUM(H70)</f>
        <v>0</v>
      </c>
      <c r="I69" s="160">
        <f>SUM(I70)</f>
        <v>0</v>
      </c>
      <c r="J69" s="161">
        <f t="shared" si="0"/>
        <v>0</v>
      </c>
      <c r="K69" s="503"/>
    </row>
    <row r="70" spans="1:11" ht="12.75" hidden="1">
      <c r="A70" s="159"/>
      <c r="B70" s="159"/>
      <c r="C70" s="159"/>
      <c r="D70" s="159"/>
      <c r="E70" s="165" t="s">
        <v>532</v>
      </c>
      <c r="F70" s="160">
        <v>0</v>
      </c>
      <c r="G70" s="160">
        <v>0</v>
      </c>
      <c r="H70" s="160">
        <v>0</v>
      </c>
      <c r="I70" s="160">
        <v>0</v>
      </c>
      <c r="J70" s="161">
        <f t="shared" si="0"/>
        <v>0</v>
      </c>
      <c r="K70" s="503"/>
    </row>
    <row r="71" spans="1:11" ht="12.75">
      <c r="A71" s="159"/>
      <c r="B71" s="159"/>
      <c r="C71" s="159" t="s">
        <v>240</v>
      </c>
      <c r="D71" s="159" t="s">
        <v>241</v>
      </c>
      <c r="E71" s="159"/>
      <c r="F71" s="160">
        <v>0</v>
      </c>
      <c r="G71" s="160">
        <v>0</v>
      </c>
      <c r="H71" s="160">
        <v>0</v>
      </c>
      <c r="I71" s="160">
        <v>0</v>
      </c>
      <c r="J71" s="161">
        <f t="shared" si="0"/>
        <v>0</v>
      </c>
      <c r="K71" s="503"/>
    </row>
    <row r="72" spans="1:11" ht="12.75">
      <c r="A72" s="159"/>
      <c r="B72" s="159"/>
      <c r="C72" s="159" t="s">
        <v>242</v>
      </c>
      <c r="D72" s="159" t="s">
        <v>243</v>
      </c>
      <c r="E72" s="159"/>
      <c r="F72" s="160">
        <f>SUM(F73)</f>
        <v>0</v>
      </c>
      <c r="G72" s="160">
        <f>SUM(G73:G73)</f>
        <v>0</v>
      </c>
      <c r="H72" s="160">
        <v>0</v>
      </c>
      <c r="I72" s="160">
        <v>0</v>
      </c>
      <c r="J72" s="161">
        <f t="shared" si="0"/>
        <v>0</v>
      </c>
      <c r="K72" s="503"/>
    </row>
    <row r="73" spans="1:11" ht="12.75">
      <c r="A73" s="164"/>
      <c r="B73" s="164"/>
      <c r="C73" s="164"/>
      <c r="D73" s="165"/>
      <c r="E73" s="165" t="s">
        <v>607</v>
      </c>
      <c r="F73" s="166">
        <f>22000000-10269500-11730500</f>
        <v>0</v>
      </c>
      <c r="G73" s="166">
        <v>0</v>
      </c>
      <c r="H73" s="166">
        <v>0</v>
      </c>
      <c r="I73" s="166">
        <v>0</v>
      </c>
      <c r="J73" s="167">
        <f t="shared" si="0"/>
        <v>0</v>
      </c>
      <c r="K73" s="504"/>
    </row>
    <row r="74" spans="1:11" ht="12.75">
      <c r="A74" s="159"/>
      <c r="B74" s="159"/>
      <c r="C74" s="159" t="s">
        <v>244</v>
      </c>
      <c r="D74" s="159" t="s">
        <v>245</v>
      </c>
      <c r="E74" s="159"/>
      <c r="F74" s="160">
        <f>SUM(F75:F75)</f>
        <v>0</v>
      </c>
      <c r="G74" s="160">
        <v>0</v>
      </c>
      <c r="H74" s="160">
        <v>0</v>
      </c>
      <c r="I74" s="160">
        <v>0</v>
      </c>
      <c r="J74" s="161">
        <f aca="true" t="shared" si="1" ref="J74:J137">SUM(F74:I74)</f>
        <v>0</v>
      </c>
      <c r="K74" s="503"/>
    </row>
    <row r="75" spans="1:11" ht="12.75" hidden="1">
      <c r="A75" s="164"/>
      <c r="B75" s="164"/>
      <c r="C75" s="164"/>
      <c r="D75" s="165"/>
      <c r="E75" s="165" t="s">
        <v>247</v>
      </c>
      <c r="F75" s="166">
        <v>0</v>
      </c>
      <c r="G75" s="166">
        <v>0</v>
      </c>
      <c r="H75" s="166">
        <v>0</v>
      </c>
      <c r="I75" s="166">
        <v>0</v>
      </c>
      <c r="J75" s="167">
        <f t="shared" si="1"/>
        <v>0</v>
      </c>
      <c r="K75" s="504"/>
    </row>
    <row r="76" spans="1:11" ht="12.75">
      <c r="A76" s="156"/>
      <c r="B76" s="156" t="s">
        <v>248</v>
      </c>
      <c r="C76" s="850" t="s">
        <v>249</v>
      </c>
      <c r="D76" s="850"/>
      <c r="E76" s="850"/>
      <c r="F76" s="157">
        <f>SUM(F77:F86)</f>
        <v>650000</v>
      </c>
      <c r="G76" s="157">
        <f>SUM(G77:G86)</f>
        <v>0</v>
      </c>
      <c r="H76" s="157">
        <f>SUM(H77:H86)</f>
        <v>0</v>
      </c>
      <c r="I76" s="157">
        <f>SUM(I77:I86)</f>
        <v>0</v>
      </c>
      <c r="J76" s="158">
        <f t="shared" si="1"/>
        <v>650000</v>
      </c>
      <c r="K76" s="502"/>
    </row>
    <row r="77" spans="1:11" ht="12.75" hidden="1">
      <c r="A77" s="170"/>
      <c r="B77" s="170"/>
      <c r="C77" s="170"/>
      <c r="D77" s="165"/>
      <c r="E77" s="165" t="s">
        <v>250</v>
      </c>
      <c r="F77" s="166">
        <v>0</v>
      </c>
      <c r="G77" s="166">
        <v>0</v>
      </c>
      <c r="H77" s="166">
        <v>0</v>
      </c>
      <c r="I77" s="166">
        <v>0</v>
      </c>
      <c r="J77" s="167">
        <f t="shared" si="1"/>
        <v>0</v>
      </c>
      <c r="K77" s="504"/>
    </row>
    <row r="78" spans="1:11" ht="12.75" hidden="1">
      <c r="A78" s="164"/>
      <c r="B78" s="164"/>
      <c r="C78" s="164"/>
      <c r="D78" s="165"/>
      <c r="E78" s="165" t="s">
        <v>251</v>
      </c>
      <c r="F78" s="166">
        <v>0</v>
      </c>
      <c r="G78" s="166"/>
      <c r="H78" s="166">
        <v>0</v>
      </c>
      <c r="I78" s="166">
        <v>0</v>
      </c>
      <c r="J78" s="167">
        <f t="shared" si="1"/>
        <v>0</v>
      </c>
      <c r="K78" s="504"/>
    </row>
    <row r="79" spans="1:11" ht="12.75" hidden="1">
      <c r="A79" s="170"/>
      <c r="B79" s="170"/>
      <c r="C79" s="170"/>
      <c r="D79" s="165"/>
      <c r="E79" s="165" t="s">
        <v>252</v>
      </c>
      <c r="F79" s="166">
        <v>0</v>
      </c>
      <c r="G79" s="166">
        <v>0</v>
      </c>
      <c r="H79" s="166">
        <v>0</v>
      </c>
      <c r="I79" s="166">
        <v>0</v>
      </c>
      <c r="J79" s="167">
        <f t="shared" si="1"/>
        <v>0</v>
      </c>
      <c r="K79" s="504"/>
    </row>
    <row r="80" spans="1:11" ht="12.75" customHeight="1">
      <c r="A80" s="170"/>
      <c r="B80" s="170"/>
      <c r="C80" s="170"/>
      <c r="D80" s="165"/>
      <c r="E80" s="165" t="s">
        <v>246</v>
      </c>
      <c r="F80" s="166">
        <v>350000</v>
      </c>
      <c r="G80" s="166">
        <v>0</v>
      </c>
      <c r="H80" s="166">
        <v>0</v>
      </c>
      <c r="I80" s="166">
        <v>0</v>
      </c>
      <c r="J80" s="167">
        <f t="shared" si="1"/>
        <v>350000</v>
      </c>
      <c r="K80" s="504"/>
    </row>
    <row r="81" spans="1:11" ht="0.75" customHeight="1" hidden="1">
      <c r="A81" s="170"/>
      <c r="B81" s="170"/>
      <c r="C81" s="170"/>
      <c r="D81" s="165"/>
      <c r="E81" s="165" t="s">
        <v>253</v>
      </c>
      <c r="F81" s="166"/>
      <c r="G81" s="166">
        <v>0</v>
      </c>
      <c r="H81" s="166">
        <v>0</v>
      </c>
      <c r="I81" s="166">
        <v>0</v>
      </c>
      <c r="J81" s="167">
        <f t="shared" si="1"/>
        <v>0</v>
      </c>
      <c r="K81" s="504"/>
    </row>
    <row r="82" spans="1:11" ht="12.75" hidden="1">
      <c r="A82" s="170"/>
      <c r="B82" s="170"/>
      <c r="C82" s="170"/>
      <c r="D82" s="165"/>
      <c r="E82" s="165" t="s">
        <v>254</v>
      </c>
      <c r="F82" s="166"/>
      <c r="G82" s="166">
        <v>0</v>
      </c>
      <c r="H82" s="166">
        <v>0</v>
      </c>
      <c r="I82" s="166">
        <v>0</v>
      </c>
      <c r="J82" s="167">
        <f t="shared" si="1"/>
        <v>0</v>
      </c>
      <c r="K82" s="504"/>
    </row>
    <row r="83" spans="1:11" ht="12.75" hidden="1">
      <c r="A83" s="170"/>
      <c r="B83" s="170"/>
      <c r="C83" s="170"/>
      <c r="D83" s="165"/>
      <c r="E83" s="165" t="s">
        <v>569</v>
      </c>
      <c r="F83" s="166"/>
      <c r="G83" s="166">
        <v>0</v>
      </c>
      <c r="H83" s="166">
        <v>0</v>
      </c>
      <c r="I83" s="166">
        <v>0</v>
      </c>
      <c r="J83" s="167">
        <f t="shared" si="1"/>
        <v>0</v>
      </c>
      <c r="K83" s="504"/>
    </row>
    <row r="84" spans="1:11" ht="30" customHeight="1" hidden="1">
      <c r="A84" s="164"/>
      <c r="B84" s="164"/>
      <c r="C84" s="164"/>
      <c r="D84" s="164"/>
      <c r="E84" s="171" t="s">
        <v>608</v>
      </c>
      <c r="F84" s="166"/>
      <c r="G84" s="166">
        <v>0</v>
      </c>
      <c r="H84" s="166">
        <v>0</v>
      </c>
      <c r="I84" s="166">
        <v>0</v>
      </c>
      <c r="J84" s="167">
        <f t="shared" si="1"/>
        <v>0</v>
      </c>
      <c r="K84" s="504"/>
    </row>
    <row r="85" spans="1:11" ht="12.75" hidden="1">
      <c r="A85" s="170"/>
      <c r="B85" s="170"/>
      <c r="C85" s="170"/>
      <c r="D85" s="170"/>
      <c r="E85" s="165" t="s">
        <v>255</v>
      </c>
      <c r="F85" s="166"/>
      <c r="G85" s="166">
        <v>0</v>
      </c>
      <c r="H85" s="166">
        <v>0</v>
      </c>
      <c r="I85" s="166">
        <v>0</v>
      </c>
      <c r="J85" s="167">
        <f t="shared" si="1"/>
        <v>0</v>
      </c>
      <c r="K85" s="504"/>
    </row>
    <row r="86" spans="1:11" ht="12.75">
      <c r="A86" s="164"/>
      <c r="B86" s="164"/>
      <c r="C86" s="164"/>
      <c r="D86" s="164"/>
      <c r="E86" s="169" t="s">
        <v>256</v>
      </c>
      <c r="F86" s="166">
        <v>300000</v>
      </c>
      <c r="G86" s="166">
        <v>0</v>
      </c>
      <c r="H86" s="166">
        <v>0</v>
      </c>
      <c r="I86" s="166">
        <v>0</v>
      </c>
      <c r="J86" s="167">
        <f t="shared" si="1"/>
        <v>300000</v>
      </c>
      <c r="K86" s="504"/>
    </row>
    <row r="87" spans="1:11" s="155" customFormat="1" ht="12.75">
      <c r="A87" s="153" t="s">
        <v>257</v>
      </c>
      <c r="B87" s="854" t="s">
        <v>258</v>
      </c>
      <c r="C87" s="854"/>
      <c r="D87" s="854"/>
      <c r="E87" s="854"/>
      <c r="F87" s="154">
        <f>SUM(F88+F89+F92+F94+F101+F102+F103+F104+F111+F119+F120)</f>
        <v>55039920</v>
      </c>
      <c r="G87" s="154">
        <f>SUM(G88+G89+G92+G94+G101+G102+G103+G104+G111+G119+G120)</f>
        <v>5787349</v>
      </c>
      <c r="H87" s="154">
        <f>SUM(H88+H89+H92+H94+H101+H102+H103+H104+H111+H119+H120)</f>
        <v>1411725</v>
      </c>
      <c r="I87" s="154">
        <f>SUM(I88+I89+I92+I94+I101+I102+I103+I104+I111+I119+I120)</f>
        <v>14786105</v>
      </c>
      <c r="J87" s="154">
        <f t="shared" si="1"/>
        <v>77025099</v>
      </c>
      <c r="K87" s="501"/>
    </row>
    <row r="88" spans="1:11" ht="12.75">
      <c r="A88" s="159"/>
      <c r="B88" s="159"/>
      <c r="C88" s="159" t="s">
        <v>259</v>
      </c>
      <c r="D88" s="159" t="s">
        <v>494</v>
      </c>
      <c r="E88" s="159"/>
      <c r="F88" s="160">
        <f>9000000+500000+1370149</f>
        <v>10870149</v>
      </c>
      <c r="G88" s="160">
        <v>0</v>
      </c>
      <c r="H88" s="160">
        <v>0</v>
      </c>
      <c r="I88" s="160">
        <v>0</v>
      </c>
      <c r="J88" s="161">
        <f t="shared" si="1"/>
        <v>10870149</v>
      </c>
      <c r="K88" s="503"/>
    </row>
    <row r="89" spans="1:11" ht="12.75">
      <c r="A89" s="159"/>
      <c r="B89" s="159"/>
      <c r="C89" s="159" t="s">
        <v>260</v>
      </c>
      <c r="D89" s="159" t="s">
        <v>332</v>
      </c>
      <c r="E89" s="159"/>
      <c r="F89" s="160">
        <f>6000000+10142978+342137</f>
        <v>16485115</v>
      </c>
      <c r="G89" s="160">
        <v>250000</v>
      </c>
      <c r="H89" s="160">
        <v>0</v>
      </c>
      <c r="I89" s="160">
        <f>90000+4520000+536221+3402559+3306421</f>
        <v>11855201</v>
      </c>
      <c r="J89" s="161">
        <f t="shared" si="1"/>
        <v>28590316</v>
      </c>
      <c r="K89" s="503"/>
    </row>
    <row r="90" spans="1:11" ht="12.75">
      <c r="A90" s="164"/>
      <c r="B90" s="164"/>
      <c r="C90" s="165" t="s">
        <v>2</v>
      </c>
      <c r="D90" s="165"/>
      <c r="E90" s="165" t="s">
        <v>261</v>
      </c>
      <c r="F90" s="172">
        <v>10142978</v>
      </c>
      <c r="G90" s="172">
        <v>0</v>
      </c>
      <c r="H90" s="166">
        <v>0</v>
      </c>
      <c r="I90" s="166">
        <v>320000</v>
      </c>
      <c r="J90" s="167">
        <f t="shared" si="1"/>
        <v>10462978</v>
      </c>
      <c r="K90" s="504"/>
    </row>
    <row r="91" spans="1:11" ht="12.75" hidden="1">
      <c r="A91" s="164"/>
      <c r="B91" s="164"/>
      <c r="C91" s="165"/>
      <c r="D91" s="165"/>
      <c r="E91" s="165" t="s">
        <v>782</v>
      </c>
      <c r="F91" s="166"/>
      <c r="G91" s="166">
        <v>0</v>
      </c>
      <c r="H91" s="166">
        <v>0</v>
      </c>
      <c r="I91" s="166">
        <v>0</v>
      </c>
      <c r="J91" s="167">
        <f t="shared" si="1"/>
        <v>0</v>
      </c>
      <c r="K91" s="504"/>
    </row>
    <row r="92" spans="1:11" ht="12.75">
      <c r="A92" s="159"/>
      <c r="B92" s="159"/>
      <c r="C92" s="159" t="s">
        <v>262</v>
      </c>
      <c r="D92" s="159" t="s">
        <v>263</v>
      </c>
      <c r="E92" s="159"/>
      <c r="F92" s="160">
        <f>472000+2666578</f>
        <v>3138578</v>
      </c>
      <c r="G92" s="160">
        <v>4549259</v>
      </c>
      <c r="H92" s="160">
        <v>0</v>
      </c>
      <c r="I92" s="160">
        <v>0</v>
      </c>
      <c r="J92" s="161">
        <f t="shared" si="1"/>
        <v>7687837</v>
      </c>
      <c r="K92" s="503"/>
    </row>
    <row r="93" spans="1:11" ht="12.75">
      <c r="A93" s="164"/>
      <c r="B93" s="164"/>
      <c r="C93" s="165" t="s">
        <v>2</v>
      </c>
      <c r="D93" s="165"/>
      <c r="E93" s="165" t="s">
        <v>7</v>
      </c>
      <c r="F93" s="166">
        <f>370000+1528712</f>
        <v>1898712</v>
      </c>
      <c r="G93" s="166">
        <v>688235</v>
      </c>
      <c r="H93" s="166">
        <v>0</v>
      </c>
      <c r="I93" s="166">
        <v>0</v>
      </c>
      <c r="J93" s="167">
        <f t="shared" si="1"/>
        <v>2586947</v>
      </c>
      <c r="K93" s="504"/>
    </row>
    <row r="94" spans="1:11" ht="12.75">
      <c r="A94" s="159"/>
      <c r="B94" s="159"/>
      <c r="C94" s="159" t="s">
        <v>264</v>
      </c>
      <c r="D94" s="159" t="s">
        <v>265</v>
      </c>
      <c r="E94" s="159"/>
      <c r="F94" s="160">
        <f>15000+731000</f>
        <v>746000</v>
      </c>
      <c r="G94" s="160">
        <v>0</v>
      </c>
      <c r="H94" s="160">
        <v>0</v>
      </c>
      <c r="I94" s="160">
        <v>0</v>
      </c>
      <c r="J94" s="161">
        <f t="shared" si="1"/>
        <v>746000</v>
      </c>
      <c r="K94" s="503"/>
    </row>
    <row r="95" spans="1:11" ht="12.75" hidden="1">
      <c r="A95" s="164"/>
      <c r="B95" s="164"/>
      <c r="C95" s="165" t="s">
        <v>2</v>
      </c>
      <c r="D95" s="165"/>
      <c r="E95" s="165" t="s">
        <v>266</v>
      </c>
      <c r="F95" s="166"/>
      <c r="G95" s="166">
        <v>0</v>
      </c>
      <c r="H95" s="166">
        <v>0</v>
      </c>
      <c r="I95" s="166">
        <v>0</v>
      </c>
      <c r="J95" s="167">
        <f t="shared" si="1"/>
        <v>0</v>
      </c>
      <c r="K95" s="504"/>
    </row>
    <row r="96" spans="1:11" ht="12.75" hidden="1">
      <c r="A96" s="164"/>
      <c r="B96" s="164"/>
      <c r="C96" s="165"/>
      <c r="D96" s="165"/>
      <c r="E96" s="165" t="s">
        <v>609</v>
      </c>
      <c r="F96" s="166"/>
      <c r="G96" s="166">
        <v>0</v>
      </c>
      <c r="H96" s="166">
        <v>0</v>
      </c>
      <c r="I96" s="166">
        <v>0</v>
      </c>
      <c r="J96" s="167">
        <f t="shared" si="1"/>
        <v>0</v>
      </c>
      <c r="K96" s="504"/>
    </row>
    <row r="97" spans="1:11" ht="12" customHeight="1">
      <c r="A97" s="164"/>
      <c r="B97" s="164"/>
      <c r="C97" s="165" t="s">
        <v>2</v>
      </c>
      <c r="D97" s="165"/>
      <c r="E97" s="165" t="s">
        <v>610</v>
      </c>
      <c r="F97" s="166">
        <f>15000+481000</f>
        <v>496000</v>
      </c>
      <c r="G97" s="166">
        <v>0</v>
      </c>
      <c r="H97" s="166">
        <v>0</v>
      </c>
      <c r="I97" s="166">
        <v>0</v>
      </c>
      <c r="J97" s="167">
        <f t="shared" si="1"/>
        <v>496000</v>
      </c>
      <c r="K97" s="504"/>
    </row>
    <row r="98" spans="1:11" ht="12.75" hidden="1">
      <c r="A98" s="164"/>
      <c r="B98" s="164"/>
      <c r="C98" s="165"/>
      <c r="D98" s="165"/>
      <c r="E98" s="165" t="s">
        <v>611</v>
      </c>
      <c r="F98" s="166"/>
      <c r="G98" s="166">
        <v>0</v>
      </c>
      <c r="H98" s="166">
        <v>0</v>
      </c>
      <c r="I98" s="166">
        <v>0</v>
      </c>
      <c r="J98" s="167">
        <f t="shared" si="1"/>
        <v>0</v>
      </c>
      <c r="K98" s="504"/>
    </row>
    <row r="99" spans="1:11" ht="12.75" hidden="1">
      <c r="A99" s="164"/>
      <c r="B99" s="164"/>
      <c r="C99" s="165"/>
      <c r="D99" s="165"/>
      <c r="E99" s="165" t="s">
        <v>612</v>
      </c>
      <c r="F99" s="166"/>
      <c r="G99" s="166">
        <v>0</v>
      </c>
      <c r="H99" s="166">
        <v>0</v>
      </c>
      <c r="I99" s="166">
        <v>0</v>
      </c>
      <c r="J99" s="167">
        <f t="shared" si="1"/>
        <v>0</v>
      </c>
      <c r="K99" s="504"/>
    </row>
    <row r="100" spans="1:11" ht="12.75" hidden="1">
      <c r="A100" s="164"/>
      <c r="B100" s="164"/>
      <c r="C100" s="165"/>
      <c r="D100" s="165"/>
      <c r="E100" s="165" t="s">
        <v>495</v>
      </c>
      <c r="F100" s="166"/>
      <c r="G100" s="166">
        <v>0</v>
      </c>
      <c r="H100" s="166">
        <v>0</v>
      </c>
      <c r="I100" s="166">
        <v>0</v>
      </c>
      <c r="J100" s="167">
        <f t="shared" si="1"/>
        <v>0</v>
      </c>
      <c r="K100" s="504"/>
    </row>
    <row r="101" spans="1:11" ht="12.75">
      <c r="A101" s="159"/>
      <c r="B101" s="159"/>
      <c r="C101" s="159" t="s">
        <v>267</v>
      </c>
      <c r="D101" s="159" t="s">
        <v>268</v>
      </c>
      <c r="E101" s="159"/>
      <c r="F101" s="160">
        <f>5925110+12898200+635625</f>
        <v>19458935</v>
      </c>
      <c r="G101" s="160">
        <v>0</v>
      </c>
      <c r="H101" s="160">
        <v>1111594</v>
      </c>
      <c r="I101" s="160">
        <v>0</v>
      </c>
      <c r="J101" s="161">
        <f t="shared" si="1"/>
        <v>20570529</v>
      </c>
      <c r="K101" s="503"/>
    </row>
    <row r="102" spans="1:11" ht="12.75">
      <c r="A102" s="159"/>
      <c r="B102" s="159"/>
      <c r="C102" s="159" t="s">
        <v>269</v>
      </c>
      <c r="D102" s="159" t="s">
        <v>270</v>
      </c>
      <c r="E102" s="159"/>
      <c r="F102" s="160">
        <f>1599780+1755000+127440+686046+92377</f>
        <v>4260643</v>
      </c>
      <c r="G102" s="160">
        <v>988090</v>
      </c>
      <c r="H102" s="160">
        <v>300131</v>
      </c>
      <c r="I102" s="160">
        <f>24300+950400+144779+918691+892734</f>
        <v>2930904</v>
      </c>
      <c r="J102" s="161">
        <f t="shared" si="1"/>
        <v>8479768</v>
      </c>
      <c r="K102" s="503"/>
    </row>
    <row r="103" spans="1:11" ht="12.75">
      <c r="A103" s="159"/>
      <c r="B103" s="159"/>
      <c r="C103" s="159" t="s">
        <v>271</v>
      </c>
      <c r="D103" s="159" t="s">
        <v>272</v>
      </c>
      <c r="E103" s="159"/>
      <c r="F103" s="160">
        <v>0</v>
      </c>
      <c r="G103" s="160">
        <v>0</v>
      </c>
      <c r="H103" s="160">
        <v>0</v>
      </c>
      <c r="I103" s="160">
        <v>0</v>
      </c>
      <c r="J103" s="161">
        <f t="shared" si="1"/>
        <v>0</v>
      </c>
      <c r="K103" s="503"/>
    </row>
    <row r="104" spans="1:11" ht="12" customHeight="1">
      <c r="A104" s="159"/>
      <c r="B104" s="159"/>
      <c r="C104" s="159" t="s">
        <v>273</v>
      </c>
      <c r="D104" s="159" t="s">
        <v>533</v>
      </c>
      <c r="E104" s="159"/>
      <c r="F104" s="160">
        <v>500</v>
      </c>
      <c r="G104" s="160">
        <f>SUM(G105+G108)</f>
        <v>0</v>
      </c>
      <c r="H104" s="160">
        <f>SUM(H105+H108)</f>
        <v>0</v>
      </c>
      <c r="I104" s="160">
        <f>SUM(I105+I108)</f>
        <v>0</v>
      </c>
      <c r="J104" s="161">
        <f t="shared" si="1"/>
        <v>500</v>
      </c>
      <c r="K104" s="503"/>
    </row>
    <row r="105" spans="1:11" ht="12.75" hidden="1">
      <c r="A105" s="159"/>
      <c r="B105" s="159"/>
      <c r="C105" s="165"/>
      <c r="D105" s="855" t="s">
        <v>613</v>
      </c>
      <c r="E105" s="856"/>
      <c r="F105" s="166"/>
      <c r="G105" s="166">
        <v>0</v>
      </c>
      <c r="H105" s="166">
        <v>0</v>
      </c>
      <c r="I105" s="166">
        <v>0</v>
      </c>
      <c r="J105" s="167">
        <f t="shared" si="1"/>
        <v>0</v>
      </c>
      <c r="K105" s="504"/>
    </row>
    <row r="106" spans="1:11" ht="12.75" hidden="1">
      <c r="A106" s="159"/>
      <c r="B106" s="159"/>
      <c r="C106" s="159" t="s">
        <v>2</v>
      </c>
      <c r="D106" s="159"/>
      <c r="E106" s="165" t="s">
        <v>7</v>
      </c>
      <c r="F106" s="166"/>
      <c r="G106" s="166">
        <v>0</v>
      </c>
      <c r="H106" s="166">
        <v>0</v>
      </c>
      <c r="I106" s="166">
        <v>0</v>
      </c>
      <c r="J106" s="167">
        <f t="shared" si="1"/>
        <v>0</v>
      </c>
      <c r="K106" s="504"/>
    </row>
    <row r="107" spans="1:11" ht="12.75" hidden="1">
      <c r="A107" s="159"/>
      <c r="B107" s="159"/>
      <c r="C107" s="159"/>
      <c r="D107" s="159"/>
      <c r="E107" s="165" t="s">
        <v>614</v>
      </c>
      <c r="F107" s="166"/>
      <c r="G107" s="166">
        <v>0</v>
      </c>
      <c r="H107" s="166">
        <v>0</v>
      </c>
      <c r="I107" s="166">
        <v>0</v>
      </c>
      <c r="J107" s="167">
        <f t="shared" si="1"/>
        <v>0</v>
      </c>
      <c r="K107" s="504"/>
    </row>
    <row r="108" spans="1:11" ht="12.75">
      <c r="A108" s="159"/>
      <c r="B108" s="159"/>
      <c r="C108" s="159" t="s">
        <v>2</v>
      </c>
      <c r="D108" s="855" t="s">
        <v>535</v>
      </c>
      <c r="E108" s="856"/>
      <c r="F108" s="166">
        <v>0</v>
      </c>
      <c r="G108" s="166">
        <v>0</v>
      </c>
      <c r="H108" s="166">
        <v>0</v>
      </c>
      <c r="I108" s="166">
        <v>0</v>
      </c>
      <c r="J108" s="167">
        <f t="shared" si="1"/>
        <v>0</v>
      </c>
      <c r="K108" s="504"/>
    </row>
    <row r="109" spans="1:11" ht="12.75" hidden="1">
      <c r="A109" s="159"/>
      <c r="B109" s="159"/>
      <c r="C109" s="159"/>
      <c r="D109" s="159"/>
      <c r="E109" s="165" t="s">
        <v>7</v>
      </c>
      <c r="F109" s="166"/>
      <c r="G109" s="166">
        <v>0</v>
      </c>
      <c r="H109" s="166">
        <v>0</v>
      </c>
      <c r="I109" s="166">
        <v>0</v>
      </c>
      <c r="J109" s="167">
        <f t="shared" si="1"/>
        <v>0</v>
      </c>
      <c r="K109" s="504"/>
    </row>
    <row r="110" spans="1:11" ht="12.75" hidden="1">
      <c r="A110" s="159"/>
      <c r="B110" s="159"/>
      <c r="C110" s="159"/>
      <c r="D110" s="159"/>
      <c r="E110" s="165" t="s">
        <v>496</v>
      </c>
      <c r="F110" s="166"/>
      <c r="G110" s="166">
        <v>0</v>
      </c>
      <c r="H110" s="166">
        <v>0</v>
      </c>
      <c r="I110" s="166">
        <v>0</v>
      </c>
      <c r="J110" s="167">
        <f t="shared" si="1"/>
        <v>0</v>
      </c>
      <c r="K110" s="504"/>
    </row>
    <row r="111" spans="1:11" ht="12.75">
      <c r="A111" s="159"/>
      <c r="B111" s="159"/>
      <c r="C111" s="159" t="s">
        <v>274</v>
      </c>
      <c r="D111" s="159" t="s">
        <v>538</v>
      </c>
      <c r="E111" s="159"/>
      <c r="F111" s="160">
        <v>0</v>
      </c>
      <c r="G111" s="160">
        <f>SUM(G112:G113)</f>
        <v>0</v>
      </c>
      <c r="H111" s="160">
        <f>SUM(H112:H113)</f>
        <v>0</v>
      </c>
      <c r="I111" s="160">
        <f>SUM(I112:I113)</f>
        <v>0</v>
      </c>
      <c r="J111" s="161">
        <f t="shared" si="1"/>
        <v>0</v>
      </c>
      <c r="K111" s="503"/>
    </row>
    <row r="112" spans="1:11" ht="12.75" hidden="1">
      <c r="A112" s="159"/>
      <c r="B112" s="159"/>
      <c r="C112" s="159"/>
      <c r="D112" s="855" t="s">
        <v>536</v>
      </c>
      <c r="E112" s="856"/>
      <c r="F112" s="160"/>
      <c r="G112" s="160">
        <v>0</v>
      </c>
      <c r="H112" s="160">
        <v>0</v>
      </c>
      <c r="I112" s="160">
        <v>0</v>
      </c>
      <c r="J112" s="161">
        <f t="shared" si="1"/>
        <v>0</v>
      </c>
      <c r="K112" s="503"/>
    </row>
    <row r="113" spans="1:11" ht="12.75" hidden="1">
      <c r="A113" s="159"/>
      <c r="B113" s="159"/>
      <c r="C113" s="159"/>
      <c r="D113" s="855" t="s">
        <v>537</v>
      </c>
      <c r="E113" s="856"/>
      <c r="F113" s="160"/>
      <c r="G113" s="160">
        <v>0</v>
      </c>
      <c r="H113" s="160">
        <v>0</v>
      </c>
      <c r="I113" s="160">
        <v>0</v>
      </c>
      <c r="J113" s="161">
        <f t="shared" si="1"/>
        <v>0</v>
      </c>
      <c r="K113" s="503"/>
    </row>
    <row r="114" spans="1:11" ht="12.75" hidden="1">
      <c r="A114" s="159"/>
      <c r="B114" s="159"/>
      <c r="C114" s="159" t="s">
        <v>2</v>
      </c>
      <c r="D114" s="159"/>
      <c r="E114" s="165" t="s">
        <v>539</v>
      </c>
      <c r="F114" s="160"/>
      <c r="G114" s="160">
        <v>0</v>
      </c>
      <c r="H114" s="160">
        <v>0</v>
      </c>
      <c r="I114" s="160">
        <v>0</v>
      </c>
      <c r="J114" s="161">
        <f t="shared" si="1"/>
        <v>0</v>
      </c>
      <c r="K114" s="503"/>
    </row>
    <row r="115" spans="1:11" ht="12.75" hidden="1">
      <c r="A115" s="159"/>
      <c r="B115" s="159"/>
      <c r="C115" s="159"/>
      <c r="D115" s="159"/>
      <c r="E115" s="165" t="s">
        <v>534</v>
      </c>
      <c r="F115" s="160"/>
      <c r="G115" s="160">
        <v>0</v>
      </c>
      <c r="H115" s="160">
        <v>0</v>
      </c>
      <c r="I115" s="160">
        <v>0</v>
      </c>
      <c r="J115" s="161">
        <f t="shared" si="1"/>
        <v>0</v>
      </c>
      <c r="K115" s="503"/>
    </row>
    <row r="116" spans="1:11" ht="12.75" hidden="1">
      <c r="A116" s="159"/>
      <c r="B116" s="159"/>
      <c r="C116" s="159"/>
      <c r="D116" s="159"/>
      <c r="E116" s="165" t="s">
        <v>540</v>
      </c>
      <c r="F116" s="160"/>
      <c r="G116" s="160">
        <v>0</v>
      </c>
      <c r="H116" s="160">
        <v>0</v>
      </c>
      <c r="I116" s="160">
        <v>0</v>
      </c>
      <c r="J116" s="161">
        <f t="shared" si="1"/>
        <v>0</v>
      </c>
      <c r="K116" s="503"/>
    </row>
    <row r="117" spans="1:11" ht="12.75" hidden="1">
      <c r="A117" s="159"/>
      <c r="B117" s="159"/>
      <c r="C117" s="159"/>
      <c r="D117" s="159"/>
      <c r="E117" s="165" t="s">
        <v>541</v>
      </c>
      <c r="F117" s="160"/>
      <c r="G117" s="160">
        <v>0</v>
      </c>
      <c r="H117" s="160">
        <v>0</v>
      </c>
      <c r="I117" s="160">
        <v>0</v>
      </c>
      <c r="J117" s="161">
        <f t="shared" si="1"/>
        <v>0</v>
      </c>
      <c r="K117" s="503"/>
    </row>
    <row r="118" spans="1:11" ht="12.75" hidden="1">
      <c r="A118" s="159"/>
      <c r="B118" s="159"/>
      <c r="C118" s="159"/>
      <c r="D118" s="159"/>
      <c r="E118" s="165" t="s">
        <v>542</v>
      </c>
      <c r="F118" s="160"/>
      <c r="G118" s="160">
        <v>0</v>
      </c>
      <c r="H118" s="160">
        <v>0</v>
      </c>
      <c r="I118" s="160">
        <v>0</v>
      </c>
      <c r="J118" s="161">
        <f t="shared" si="1"/>
        <v>0</v>
      </c>
      <c r="K118" s="503"/>
    </row>
    <row r="119" spans="1:11" ht="12.75">
      <c r="A119" s="159"/>
      <c r="B119" s="159"/>
      <c r="C119" s="159" t="s">
        <v>275</v>
      </c>
      <c r="D119" s="159" t="s">
        <v>497</v>
      </c>
      <c r="E119" s="159"/>
      <c r="F119" s="160">
        <v>0</v>
      </c>
      <c r="G119" s="160">
        <v>0</v>
      </c>
      <c r="H119" s="160">
        <v>0</v>
      </c>
      <c r="I119" s="160">
        <v>0</v>
      </c>
      <c r="J119" s="161">
        <f t="shared" si="1"/>
        <v>0</v>
      </c>
      <c r="K119" s="503"/>
    </row>
    <row r="120" spans="1:11" ht="22.5" customHeight="1">
      <c r="A120" s="159"/>
      <c r="B120" s="159"/>
      <c r="C120" s="624" t="s">
        <v>498</v>
      </c>
      <c r="D120" s="858" t="s">
        <v>499</v>
      </c>
      <c r="E120" s="858"/>
      <c r="F120" s="639">
        <f>80000+10959511-10959511</f>
        <v>80000</v>
      </c>
      <c r="G120" s="639">
        <v>0</v>
      </c>
      <c r="H120" s="639">
        <v>0</v>
      </c>
      <c r="I120" s="639">
        <v>0</v>
      </c>
      <c r="J120" s="640">
        <f t="shared" si="1"/>
        <v>80000</v>
      </c>
      <c r="K120" s="503"/>
    </row>
    <row r="121" spans="1:11" ht="45.75" customHeight="1" hidden="1">
      <c r="A121" s="163"/>
      <c r="B121" s="163"/>
      <c r="C121" s="173" t="s">
        <v>2</v>
      </c>
      <c r="D121" s="171" t="s">
        <v>431</v>
      </c>
      <c r="E121" s="171" t="s">
        <v>521</v>
      </c>
      <c r="F121" s="166">
        <v>0</v>
      </c>
      <c r="G121" s="166">
        <v>0</v>
      </c>
      <c r="H121" s="166">
        <v>0</v>
      </c>
      <c r="I121" s="166">
        <v>0</v>
      </c>
      <c r="J121" s="167">
        <f t="shared" si="1"/>
        <v>0</v>
      </c>
      <c r="K121" s="504"/>
    </row>
    <row r="122" spans="1:11" ht="13.5" customHeight="1" hidden="1">
      <c r="A122" s="164"/>
      <c r="B122" s="164"/>
      <c r="C122" s="164"/>
      <c r="D122" s="165" t="s">
        <v>431</v>
      </c>
      <c r="E122" s="174" t="s">
        <v>543</v>
      </c>
      <c r="F122" s="166"/>
      <c r="G122" s="166">
        <v>0</v>
      </c>
      <c r="H122" s="166">
        <v>0</v>
      </c>
      <c r="I122" s="166">
        <v>0</v>
      </c>
      <c r="J122" s="167">
        <f t="shared" si="1"/>
        <v>0</v>
      </c>
      <c r="K122" s="504"/>
    </row>
    <row r="123" spans="1:11" s="155" customFormat="1" ht="12.75">
      <c r="A123" s="153" t="s">
        <v>276</v>
      </c>
      <c r="B123" s="854" t="s">
        <v>277</v>
      </c>
      <c r="C123" s="854"/>
      <c r="D123" s="854"/>
      <c r="E123" s="854"/>
      <c r="F123" s="154">
        <f>SUM(F124+F126+F128+F129+F130)</f>
        <v>49666198</v>
      </c>
      <c r="G123" s="154">
        <f>SUM(G124+G126+G128+G129+G130)</f>
        <v>0</v>
      </c>
      <c r="H123" s="154">
        <f>SUM(H124+H126+H128+H129+H130)</f>
        <v>0</v>
      </c>
      <c r="I123" s="154">
        <f>SUM(I124+I126+I128+I129+I130)</f>
        <v>0</v>
      </c>
      <c r="J123" s="154">
        <f t="shared" si="1"/>
        <v>49666198</v>
      </c>
      <c r="K123" s="501"/>
    </row>
    <row r="124" spans="1:11" ht="12.75">
      <c r="A124" s="156"/>
      <c r="B124" s="156" t="s">
        <v>278</v>
      </c>
      <c r="C124" s="850" t="s">
        <v>333</v>
      </c>
      <c r="D124" s="850"/>
      <c r="E124" s="850"/>
      <c r="F124" s="157">
        <v>0</v>
      </c>
      <c r="G124" s="157">
        <v>0</v>
      </c>
      <c r="H124" s="157">
        <v>0</v>
      </c>
      <c r="I124" s="157">
        <v>0</v>
      </c>
      <c r="J124" s="158">
        <f t="shared" si="1"/>
        <v>0</v>
      </c>
      <c r="K124" s="502"/>
    </row>
    <row r="125" spans="1:11" ht="12.75" hidden="1">
      <c r="A125" s="164"/>
      <c r="B125" s="164"/>
      <c r="C125" s="165" t="s">
        <v>2</v>
      </c>
      <c r="D125" s="165" t="s">
        <v>431</v>
      </c>
      <c r="E125" s="165" t="s">
        <v>586</v>
      </c>
      <c r="F125" s="166">
        <v>0</v>
      </c>
      <c r="G125" s="166">
        <v>0</v>
      </c>
      <c r="H125" s="166">
        <v>0</v>
      </c>
      <c r="I125" s="166">
        <v>0</v>
      </c>
      <c r="J125" s="167">
        <f t="shared" si="1"/>
        <v>0</v>
      </c>
      <c r="K125" s="504"/>
    </row>
    <row r="126" spans="1:11" ht="12.75">
      <c r="A126" s="156"/>
      <c r="B126" s="156" t="s">
        <v>279</v>
      </c>
      <c r="C126" s="850" t="s">
        <v>280</v>
      </c>
      <c r="D126" s="850"/>
      <c r="E126" s="850"/>
      <c r="F126" s="157">
        <f>44406964+1500000+1000000+11730500-1038000-7422766-510500</f>
        <v>49666198</v>
      </c>
      <c r="G126" s="157">
        <v>0</v>
      </c>
      <c r="H126" s="157">
        <v>0</v>
      </c>
      <c r="I126" s="157">
        <v>0</v>
      </c>
      <c r="J126" s="158">
        <f t="shared" si="1"/>
        <v>49666198</v>
      </c>
      <c r="K126" s="502"/>
    </row>
    <row r="127" spans="1:11" ht="12.75" hidden="1">
      <c r="A127" s="164"/>
      <c r="B127" s="164"/>
      <c r="C127" s="165" t="s">
        <v>2</v>
      </c>
      <c r="D127" s="165" t="s">
        <v>431</v>
      </c>
      <c r="E127" s="165" t="s">
        <v>281</v>
      </c>
      <c r="F127" s="166">
        <v>0</v>
      </c>
      <c r="G127" s="166">
        <v>0</v>
      </c>
      <c r="H127" s="166">
        <v>0</v>
      </c>
      <c r="I127" s="166">
        <v>0</v>
      </c>
      <c r="J127" s="167">
        <f t="shared" si="1"/>
        <v>0</v>
      </c>
      <c r="K127" s="504"/>
    </row>
    <row r="128" spans="1:11" ht="12.75" hidden="1">
      <c r="A128" s="156"/>
      <c r="B128" s="156" t="s">
        <v>282</v>
      </c>
      <c r="C128" s="850" t="s">
        <v>283</v>
      </c>
      <c r="D128" s="850"/>
      <c r="E128" s="850"/>
      <c r="F128" s="157">
        <v>0</v>
      </c>
      <c r="G128" s="157">
        <v>0</v>
      </c>
      <c r="H128" s="157">
        <v>0</v>
      </c>
      <c r="I128" s="157">
        <v>0</v>
      </c>
      <c r="J128" s="158">
        <f t="shared" si="1"/>
        <v>0</v>
      </c>
      <c r="K128" s="502"/>
    </row>
    <row r="129" spans="1:11" ht="12.75" hidden="1">
      <c r="A129" s="156"/>
      <c r="B129" s="156" t="s">
        <v>284</v>
      </c>
      <c r="C129" s="850" t="s">
        <v>285</v>
      </c>
      <c r="D129" s="850"/>
      <c r="E129" s="850"/>
      <c r="F129" s="157">
        <v>0</v>
      </c>
      <c r="G129" s="157">
        <v>0</v>
      </c>
      <c r="H129" s="157">
        <v>0</v>
      </c>
      <c r="I129" s="157">
        <v>0</v>
      </c>
      <c r="J129" s="158">
        <f t="shared" si="1"/>
        <v>0</v>
      </c>
      <c r="K129" s="502"/>
    </row>
    <row r="130" spans="1:11" ht="12.75" hidden="1">
      <c r="A130" s="156"/>
      <c r="B130" s="156" t="s">
        <v>286</v>
      </c>
      <c r="C130" s="850" t="s">
        <v>287</v>
      </c>
      <c r="D130" s="850"/>
      <c r="E130" s="850"/>
      <c r="F130" s="157">
        <v>0</v>
      </c>
      <c r="G130" s="157">
        <v>0</v>
      </c>
      <c r="H130" s="157">
        <v>0</v>
      </c>
      <c r="I130" s="157">
        <v>0</v>
      </c>
      <c r="J130" s="158">
        <f t="shared" si="1"/>
        <v>0</v>
      </c>
      <c r="K130" s="502"/>
    </row>
    <row r="131" spans="1:11" s="155" customFormat="1" ht="12" customHeight="1">
      <c r="A131" s="153" t="s">
        <v>288</v>
      </c>
      <c r="B131" s="854" t="s">
        <v>289</v>
      </c>
      <c r="C131" s="854"/>
      <c r="D131" s="854"/>
      <c r="E131" s="854"/>
      <c r="F131" s="154">
        <f>SUM(F132+F133+F134+F135+F145)</f>
        <v>375000</v>
      </c>
      <c r="G131" s="154">
        <f>SUM(G132+G133+G134+G135+G145)</f>
        <v>0</v>
      </c>
      <c r="H131" s="154">
        <f>SUM(H132+H133+H134+H135+H145)</f>
        <v>0</v>
      </c>
      <c r="I131" s="154">
        <f>SUM(I132+I133+I134+I135+I145)</f>
        <v>0</v>
      </c>
      <c r="J131" s="154">
        <f t="shared" si="1"/>
        <v>375000</v>
      </c>
      <c r="K131" s="501"/>
    </row>
    <row r="132" spans="1:11" ht="12.75" hidden="1">
      <c r="A132" s="156"/>
      <c r="B132" s="156" t="s">
        <v>290</v>
      </c>
      <c r="C132" s="850" t="s">
        <v>615</v>
      </c>
      <c r="D132" s="850"/>
      <c r="E132" s="850"/>
      <c r="F132" s="157">
        <v>0</v>
      </c>
      <c r="G132" s="157">
        <v>0</v>
      </c>
      <c r="H132" s="157">
        <v>0</v>
      </c>
      <c r="I132" s="157">
        <v>0</v>
      </c>
      <c r="J132" s="158">
        <f t="shared" si="1"/>
        <v>0</v>
      </c>
      <c r="K132" s="502"/>
    </row>
    <row r="133" spans="1:11" ht="12.75" hidden="1">
      <c r="A133" s="156"/>
      <c r="B133" s="156" t="s">
        <v>291</v>
      </c>
      <c r="C133" s="850" t="s">
        <v>616</v>
      </c>
      <c r="D133" s="850"/>
      <c r="E133" s="850"/>
      <c r="F133" s="157">
        <v>0</v>
      </c>
      <c r="G133" s="157">
        <v>0</v>
      </c>
      <c r="H133" s="157">
        <v>0</v>
      </c>
      <c r="I133" s="157">
        <v>0</v>
      </c>
      <c r="J133" s="158">
        <f t="shared" si="1"/>
        <v>0</v>
      </c>
      <c r="K133" s="502"/>
    </row>
    <row r="134" spans="1:11" ht="26.25" customHeight="1" hidden="1">
      <c r="A134" s="156"/>
      <c r="B134" s="156" t="s">
        <v>293</v>
      </c>
      <c r="C134" s="857" t="s">
        <v>617</v>
      </c>
      <c r="D134" s="857"/>
      <c r="E134" s="857"/>
      <c r="F134" s="157">
        <v>0</v>
      </c>
      <c r="G134" s="157">
        <v>0</v>
      </c>
      <c r="H134" s="157">
        <v>0</v>
      </c>
      <c r="I134" s="157">
        <v>0</v>
      </c>
      <c r="J134" s="158">
        <f t="shared" si="1"/>
        <v>0</v>
      </c>
      <c r="K134" s="502"/>
    </row>
    <row r="135" spans="1:11" ht="12.75" hidden="1">
      <c r="A135" s="156"/>
      <c r="B135" s="156" t="s">
        <v>500</v>
      </c>
      <c r="C135" s="850" t="s">
        <v>618</v>
      </c>
      <c r="D135" s="850"/>
      <c r="E135" s="850"/>
      <c r="F135" s="157">
        <f>SUM(F136:F144)</f>
        <v>0</v>
      </c>
      <c r="G135" s="157">
        <v>0</v>
      </c>
      <c r="H135" s="157">
        <v>0</v>
      </c>
      <c r="I135" s="157">
        <v>0</v>
      </c>
      <c r="J135" s="158">
        <f t="shared" si="1"/>
        <v>0</v>
      </c>
      <c r="K135" s="502"/>
    </row>
    <row r="136" spans="1:11" ht="12.75" hidden="1">
      <c r="A136" s="163"/>
      <c r="B136" s="163"/>
      <c r="C136" s="165" t="s">
        <v>2</v>
      </c>
      <c r="D136" s="165" t="s">
        <v>139</v>
      </c>
      <c r="E136" s="165" t="s">
        <v>166</v>
      </c>
      <c r="F136" s="166">
        <v>0</v>
      </c>
      <c r="G136" s="166">
        <v>0</v>
      </c>
      <c r="H136" s="166">
        <v>0</v>
      </c>
      <c r="I136" s="166">
        <v>0</v>
      </c>
      <c r="J136" s="167">
        <f t="shared" si="1"/>
        <v>0</v>
      </c>
      <c r="K136" s="504"/>
    </row>
    <row r="137" spans="1:11" ht="12.75" hidden="1">
      <c r="A137" s="163"/>
      <c r="B137" s="163"/>
      <c r="C137" s="165"/>
      <c r="D137" s="165" t="s">
        <v>141</v>
      </c>
      <c r="E137" s="165" t="s">
        <v>522</v>
      </c>
      <c r="F137" s="166">
        <v>0</v>
      </c>
      <c r="G137" s="166">
        <v>0</v>
      </c>
      <c r="H137" s="166">
        <v>0</v>
      </c>
      <c r="I137" s="166">
        <v>0</v>
      </c>
      <c r="J137" s="167">
        <f t="shared" si="1"/>
        <v>0</v>
      </c>
      <c r="K137" s="504"/>
    </row>
    <row r="138" spans="1:11" ht="12.75" hidden="1">
      <c r="A138" s="163"/>
      <c r="B138" s="163"/>
      <c r="C138" s="165"/>
      <c r="D138" s="165" t="s">
        <v>143</v>
      </c>
      <c r="E138" s="165" t="s">
        <v>167</v>
      </c>
      <c r="F138" s="166">
        <v>0</v>
      </c>
      <c r="G138" s="166">
        <v>0</v>
      </c>
      <c r="H138" s="166">
        <v>0</v>
      </c>
      <c r="I138" s="166">
        <v>0</v>
      </c>
      <c r="J138" s="167">
        <f aca="true" t="shared" si="2" ref="J138:J201">SUM(F138:I138)</f>
        <v>0</v>
      </c>
      <c r="K138" s="504"/>
    </row>
    <row r="139" spans="1:11" ht="12.75" hidden="1">
      <c r="A139" s="163"/>
      <c r="B139" s="163"/>
      <c r="C139" s="165"/>
      <c r="D139" s="165" t="s">
        <v>145</v>
      </c>
      <c r="E139" s="165" t="s">
        <v>168</v>
      </c>
      <c r="F139" s="166">
        <v>0</v>
      </c>
      <c r="G139" s="166">
        <v>0</v>
      </c>
      <c r="H139" s="166">
        <v>0</v>
      </c>
      <c r="I139" s="166">
        <v>0</v>
      </c>
      <c r="J139" s="167">
        <f t="shared" si="2"/>
        <v>0</v>
      </c>
      <c r="K139" s="504"/>
    </row>
    <row r="140" spans="1:11" ht="12.75" hidden="1">
      <c r="A140" s="163"/>
      <c r="B140" s="163"/>
      <c r="C140" s="165"/>
      <c r="D140" s="165" t="s">
        <v>147</v>
      </c>
      <c r="E140" s="165" t="s">
        <v>169</v>
      </c>
      <c r="F140" s="166">
        <v>0</v>
      </c>
      <c r="G140" s="166">
        <v>0</v>
      </c>
      <c r="H140" s="166">
        <v>0</v>
      </c>
      <c r="I140" s="166">
        <v>0</v>
      </c>
      <c r="J140" s="167">
        <f t="shared" si="2"/>
        <v>0</v>
      </c>
      <c r="K140" s="504"/>
    </row>
    <row r="141" spans="1:11" ht="12.75" hidden="1">
      <c r="A141" s="163"/>
      <c r="B141" s="163"/>
      <c r="C141" s="165"/>
      <c r="D141" s="165" t="s">
        <v>149</v>
      </c>
      <c r="E141" s="165" t="s">
        <v>483</v>
      </c>
      <c r="F141" s="166">
        <v>0</v>
      </c>
      <c r="G141" s="166">
        <v>0</v>
      </c>
      <c r="H141" s="166">
        <v>0</v>
      </c>
      <c r="I141" s="166">
        <v>0</v>
      </c>
      <c r="J141" s="167">
        <f t="shared" si="2"/>
        <v>0</v>
      </c>
      <c r="K141" s="504"/>
    </row>
    <row r="142" spans="1:11" ht="12.75" hidden="1">
      <c r="A142" s="163"/>
      <c r="B142" s="163"/>
      <c r="C142" s="165"/>
      <c r="D142" s="165" t="s">
        <v>151</v>
      </c>
      <c r="E142" s="165" t="s">
        <v>482</v>
      </c>
      <c r="F142" s="175">
        <v>0</v>
      </c>
      <c r="G142" s="166">
        <v>0</v>
      </c>
      <c r="H142" s="166">
        <v>0</v>
      </c>
      <c r="I142" s="166">
        <v>0</v>
      </c>
      <c r="J142" s="167">
        <f t="shared" si="2"/>
        <v>0</v>
      </c>
      <c r="K142" s="504"/>
    </row>
    <row r="143" spans="1:11" ht="12.75" hidden="1">
      <c r="A143" s="163"/>
      <c r="B143" s="163"/>
      <c r="C143" s="165"/>
      <c r="D143" s="165" t="s">
        <v>153</v>
      </c>
      <c r="E143" s="165" t="s">
        <v>172</v>
      </c>
      <c r="F143" s="166"/>
      <c r="G143" s="166">
        <v>0</v>
      </c>
      <c r="H143" s="166">
        <v>0</v>
      </c>
      <c r="I143" s="166">
        <v>0</v>
      </c>
      <c r="J143" s="167">
        <f t="shared" si="2"/>
        <v>0</v>
      </c>
      <c r="K143" s="504"/>
    </row>
    <row r="144" spans="1:11" ht="12.75" hidden="1">
      <c r="A144" s="163"/>
      <c r="B144" s="163"/>
      <c r="C144" s="165"/>
      <c r="D144" s="165" t="s">
        <v>155</v>
      </c>
      <c r="E144" s="165" t="s">
        <v>523</v>
      </c>
      <c r="F144" s="166">
        <v>0</v>
      </c>
      <c r="G144" s="166">
        <v>0</v>
      </c>
      <c r="H144" s="166">
        <v>0</v>
      </c>
      <c r="I144" s="166">
        <v>0</v>
      </c>
      <c r="J144" s="167">
        <f t="shared" si="2"/>
        <v>0</v>
      </c>
      <c r="K144" s="504"/>
    </row>
    <row r="145" spans="1:11" ht="12.75">
      <c r="A145" s="156"/>
      <c r="B145" s="156" t="s">
        <v>501</v>
      </c>
      <c r="C145" s="850" t="s">
        <v>587</v>
      </c>
      <c r="D145" s="850"/>
      <c r="E145" s="850"/>
      <c r="F145" s="157">
        <f>SUM(F146)</f>
        <v>375000</v>
      </c>
      <c r="G145" s="157">
        <v>0</v>
      </c>
      <c r="H145" s="157">
        <v>0</v>
      </c>
      <c r="I145" s="157">
        <v>0</v>
      </c>
      <c r="J145" s="158">
        <f t="shared" si="2"/>
        <v>375000</v>
      </c>
      <c r="K145" s="502"/>
    </row>
    <row r="146" spans="1:11" ht="12.75">
      <c r="A146" s="156"/>
      <c r="B146" s="156"/>
      <c r="C146" s="165" t="s">
        <v>2</v>
      </c>
      <c r="D146" s="495"/>
      <c r="E146" s="165" t="s">
        <v>168</v>
      </c>
      <c r="F146" s="166">
        <v>375000</v>
      </c>
      <c r="G146" s="166">
        <v>0</v>
      </c>
      <c r="H146" s="166">
        <v>0</v>
      </c>
      <c r="I146" s="166">
        <v>0</v>
      </c>
      <c r="J146" s="167">
        <f>SUM(F146:I146)</f>
        <v>375000</v>
      </c>
      <c r="K146" s="502"/>
    </row>
    <row r="147" spans="1:11" s="155" customFormat="1" ht="12.75">
      <c r="A147" s="153" t="s">
        <v>294</v>
      </c>
      <c r="B147" s="854" t="s">
        <v>295</v>
      </c>
      <c r="C147" s="854"/>
      <c r="D147" s="854"/>
      <c r="E147" s="854"/>
      <c r="F147" s="154">
        <f>SUM(F148+F149+F150+F151+F161)</f>
        <v>267460</v>
      </c>
      <c r="G147" s="154">
        <f>SUM(G148+G149+G150+G151+G161)</f>
        <v>0</v>
      </c>
      <c r="H147" s="154">
        <f>SUM(H148+H149+H150+H151+H161)</f>
        <v>0</v>
      </c>
      <c r="I147" s="154">
        <f>SUM(I148+I149+I150+I151+I161)</f>
        <v>0</v>
      </c>
      <c r="J147" s="154">
        <f t="shared" si="2"/>
        <v>267460</v>
      </c>
      <c r="K147" s="501"/>
    </row>
    <row r="148" spans="1:11" ht="12.75" hidden="1">
      <c r="A148" s="156"/>
      <c r="B148" s="156" t="s">
        <v>296</v>
      </c>
      <c r="C148" s="850" t="s">
        <v>619</v>
      </c>
      <c r="D148" s="850"/>
      <c r="E148" s="850"/>
      <c r="F148" s="157">
        <v>0</v>
      </c>
      <c r="G148" s="157">
        <v>0</v>
      </c>
      <c r="H148" s="157">
        <v>0</v>
      </c>
      <c r="I148" s="157">
        <v>0</v>
      </c>
      <c r="J148" s="158">
        <f t="shared" si="2"/>
        <v>0</v>
      </c>
      <c r="K148" s="502"/>
    </row>
    <row r="149" spans="1:11" ht="12.75" hidden="1">
      <c r="A149" s="156"/>
      <c r="B149" s="156" t="s">
        <v>297</v>
      </c>
      <c r="C149" s="850" t="s">
        <v>620</v>
      </c>
      <c r="D149" s="850"/>
      <c r="E149" s="850"/>
      <c r="F149" s="157">
        <v>0</v>
      </c>
      <c r="G149" s="157">
        <v>0</v>
      </c>
      <c r="H149" s="157">
        <v>0</v>
      </c>
      <c r="I149" s="157">
        <v>0</v>
      </c>
      <c r="J149" s="158">
        <f t="shared" si="2"/>
        <v>0</v>
      </c>
      <c r="K149" s="502"/>
    </row>
    <row r="150" spans="1:11" ht="25.5" customHeight="1" hidden="1">
      <c r="A150" s="156"/>
      <c r="B150" s="156" t="s">
        <v>298</v>
      </c>
      <c r="C150" s="857" t="s">
        <v>621</v>
      </c>
      <c r="D150" s="857"/>
      <c r="E150" s="857"/>
      <c r="F150" s="157">
        <v>0</v>
      </c>
      <c r="G150" s="157">
        <v>0</v>
      </c>
      <c r="H150" s="157">
        <v>0</v>
      </c>
      <c r="I150" s="157">
        <v>0</v>
      </c>
      <c r="J150" s="158">
        <f t="shared" si="2"/>
        <v>0</v>
      </c>
      <c r="K150" s="502"/>
    </row>
    <row r="151" spans="1:11" ht="12.75" hidden="1">
      <c r="A151" s="163"/>
      <c r="B151" s="156" t="s">
        <v>502</v>
      </c>
      <c r="C151" s="850" t="s">
        <v>622</v>
      </c>
      <c r="D151" s="850"/>
      <c r="E151" s="850"/>
      <c r="F151" s="157">
        <f>SUM(F152:F160)</f>
        <v>0</v>
      </c>
      <c r="G151" s="157">
        <f>SUM(G152:G160)</f>
        <v>0</v>
      </c>
      <c r="H151" s="157">
        <f>SUM(H152:H160)</f>
        <v>0</v>
      </c>
      <c r="I151" s="157">
        <f>SUM(I152:I160)</f>
        <v>0</v>
      </c>
      <c r="J151" s="158">
        <f t="shared" si="2"/>
        <v>0</v>
      </c>
      <c r="K151" s="502"/>
    </row>
    <row r="152" spans="1:11" ht="12.75" hidden="1">
      <c r="A152" s="163"/>
      <c r="B152" s="163"/>
      <c r="C152" s="165" t="s">
        <v>2</v>
      </c>
      <c r="D152" s="165" t="s">
        <v>139</v>
      </c>
      <c r="E152" s="165" t="s">
        <v>166</v>
      </c>
      <c r="F152" s="166">
        <v>0</v>
      </c>
      <c r="G152" s="166">
        <v>0</v>
      </c>
      <c r="H152" s="166">
        <v>0</v>
      </c>
      <c r="I152" s="166">
        <v>0</v>
      </c>
      <c r="J152" s="167">
        <f t="shared" si="2"/>
        <v>0</v>
      </c>
      <c r="K152" s="504"/>
    </row>
    <row r="153" spans="1:11" ht="12.75" hidden="1">
      <c r="A153" s="163"/>
      <c r="B153" s="163"/>
      <c r="C153" s="165"/>
      <c r="D153" s="165" t="s">
        <v>141</v>
      </c>
      <c r="E153" s="165" t="s">
        <v>522</v>
      </c>
      <c r="F153" s="166">
        <v>0</v>
      </c>
      <c r="G153" s="166">
        <v>0</v>
      </c>
      <c r="H153" s="166">
        <v>0</v>
      </c>
      <c r="I153" s="166">
        <v>0</v>
      </c>
      <c r="J153" s="167">
        <f t="shared" si="2"/>
        <v>0</v>
      </c>
      <c r="K153" s="504"/>
    </row>
    <row r="154" spans="1:11" ht="12.75" hidden="1">
      <c r="A154" s="163"/>
      <c r="B154" s="163"/>
      <c r="C154" s="165"/>
      <c r="D154" s="165" t="s">
        <v>143</v>
      </c>
      <c r="E154" s="165" t="s">
        <v>167</v>
      </c>
      <c r="F154" s="166">
        <v>0</v>
      </c>
      <c r="G154" s="166">
        <v>0</v>
      </c>
      <c r="H154" s="166">
        <v>0</v>
      </c>
      <c r="I154" s="166">
        <v>0</v>
      </c>
      <c r="J154" s="167">
        <f t="shared" si="2"/>
        <v>0</v>
      </c>
      <c r="K154" s="504"/>
    </row>
    <row r="155" spans="1:11" ht="12.75" hidden="1">
      <c r="A155" s="163"/>
      <c r="B155" s="163"/>
      <c r="C155" s="165"/>
      <c r="D155" s="165" t="s">
        <v>145</v>
      </c>
      <c r="E155" s="165" t="s">
        <v>168</v>
      </c>
      <c r="F155" s="166">
        <v>0</v>
      </c>
      <c r="G155" s="166">
        <v>0</v>
      </c>
      <c r="H155" s="166">
        <v>0</v>
      </c>
      <c r="I155" s="166">
        <v>0</v>
      </c>
      <c r="J155" s="167">
        <f t="shared" si="2"/>
        <v>0</v>
      </c>
      <c r="K155" s="504"/>
    </row>
    <row r="156" spans="1:11" ht="12.75" hidden="1">
      <c r="A156" s="163"/>
      <c r="B156" s="163"/>
      <c r="C156" s="165"/>
      <c r="D156" s="165" t="s">
        <v>147</v>
      </c>
      <c r="E156" s="165" t="s">
        <v>169</v>
      </c>
      <c r="F156" s="166">
        <v>0</v>
      </c>
      <c r="G156" s="166">
        <v>0</v>
      </c>
      <c r="H156" s="166">
        <v>0</v>
      </c>
      <c r="I156" s="166">
        <v>0</v>
      </c>
      <c r="J156" s="167">
        <f t="shared" si="2"/>
        <v>0</v>
      </c>
      <c r="K156" s="504"/>
    </row>
    <row r="157" spans="1:11" ht="12.75" hidden="1">
      <c r="A157" s="163"/>
      <c r="B157" s="163"/>
      <c r="C157" s="165"/>
      <c r="D157" s="165" t="s">
        <v>149</v>
      </c>
      <c r="E157" s="165" t="s">
        <v>483</v>
      </c>
      <c r="F157" s="166">
        <v>0</v>
      </c>
      <c r="G157" s="166">
        <v>0</v>
      </c>
      <c r="H157" s="166">
        <v>0</v>
      </c>
      <c r="I157" s="166">
        <v>0</v>
      </c>
      <c r="J157" s="167">
        <f t="shared" si="2"/>
        <v>0</v>
      </c>
      <c r="K157" s="504"/>
    </row>
    <row r="158" spans="1:11" ht="12.75" hidden="1">
      <c r="A158" s="163"/>
      <c r="B158" s="163"/>
      <c r="C158" s="165"/>
      <c r="D158" s="165" t="s">
        <v>151</v>
      </c>
      <c r="E158" s="165" t="s">
        <v>482</v>
      </c>
      <c r="F158" s="175">
        <v>0</v>
      </c>
      <c r="G158" s="166">
        <v>0</v>
      </c>
      <c r="H158" s="166">
        <v>0</v>
      </c>
      <c r="I158" s="166">
        <v>0</v>
      </c>
      <c r="J158" s="167">
        <f t="shared" si="2"/>
        <v>0</v>
      </c>
      <c r="K158" s="504"/>
    </row>
    <row r="159" spans="1:11" ht="12.75" hidden="1">
      <c r="A159" s="163"/>
      <c r="B159" s="163"/>
      <c r="C159" s="165"/>
      <c r="D159" s="165" t="s">
        <v>153</v>
      </c>
      <c r="E159" s="165" t="s">
        <v>172</v>
      </c>
      <c r="F159" s="166">
        <v>0</v>
      </c>
      <c r="G159" s="166">
        <v>0</v>
      </c>
      <c r="H159" s="166">
        <v>0</v>
      </c>
      <c r="I159" s="166">
        <v>0</v>
      </c>
      <c r="J159" s="167">
        <f t="shared" si="2"/>
        <v>0</v>
      </c>
      <c r="K159" s="504"/>
    </row>
    <row r="160" spans="1:11" ht="12.75" hidden="1">
      <c r="A160" s="163"/>
      <c r="B160" s="163"/>
      <c r="C160" s="165"/>
      <c r="D160" s="165" t="s">
        <v>155</v>
      </c>
      <c r="E160" s="165" t="s">
        <v>523</v>
      </c>
      <c r="F160" s="166">
        <v>0</v>
      </c>
      <c r="G160" s="166">
        <v>0</v>
      </c>
      <c r="H160" s="166">
        <v>0</v>
      </c>
      <c r="I160" s="166">
        <v>0</v>
      </c>
      <c r="J160" s="167">
        <f t="shared" si="2"/>
        <v>0</v>
      </c>
      <c r="K160" s="504"/>
    </row>
    <row r="161" spans="1:11" ht="12" customHeight="1">
      <c r="A161" s="163"/>
      <c r="B161" s="156" t="s">
        <v>503</v>
      </c>
      <c r="C161" s="850" t="s">
        <v>570</v>
      </c>
      <c r="D161" s="850"/>
      <c r="E161" s="850"/>
      <c r="F161" s="157">
        <f>SUM(F162:F172)</f>
        <v>267460</v>
      </c>
      <c r="G161" s="157">
        <f>SUM(G162:G172)</f>
        <v>0</v>
      </c>
      <c r="H161" s="157">
        <f>SUM(H162:H172)</f>
        <v>0</v>
      </c>
      <c r="I161" s="157">
        <f>SUM(I162:I172)</f>
        <v>0</v>
      </c>
      <c r="J161" s="158">
        <f t="shared" si="2"/>
        <v>267460</v>
      </c>
      <c r="K161" s="502"/>
    </row>
    <row r="162" spans="1:11" ht="12.75" hidden="1">
      <c r="A162" s="163"/>
      <c r="B162" s="163"/>
      <c r="C162" s="165" t="s">
        <v>2</v>
      </c>
      <c r="D162" s="165" t="s">
        <v>139</v>
      </c>
      <c r="E162" s="165" t="s">
        <v>166</v>
      </c>
      <c r="F162" s="166"/>
      <c r="G162" s="166">
        <v>0</v>
      </c>
      <c r="H162" s="166">
        <v>0</v>
      </c>
      <c r="I162" s="166">
        <v>0</v>
      </c>
      <c r="J162" s="167">
        <f t="shared" si="2"/>
        <v>0</v>
      </c>
      <c r="K162" s="504"/>
    </row>
    <row r="163" spans="1:11" ht="12.75" hidden="1">
      <c r="A163" s="163"/>
      <c r="B163" s="163"/>
      <c r="C163" s="165"/>
      <c r="D163" s="165" t="s">
        <v>141</v>
      </c>
      <c r="E163" s="165" t="s">
        <v>522</v>
      </c>
      <c r="F163" s="166">
        <v>0</v>
      </c>
      <c r="G163" s="166">
        <v>0</v>
      </c>
      <c r="H163" s="166">
        <v>0</v>
      </c>
      <c r="I163" s="166">
        <v>0</v>
      </c>
      <c r="J163" s="167">
        <f t="shared" si="2"/>
        <v>0</v>
      </c>
      <c r="K163" s="504"/>
    </row>
    <row r="164" spans="1:11" ht="12.75" hidden="1">
      <c r="A164" s="163"/>
      <c r="B164" s="163"/>
      <c r="C164" s="165"/>
      <c r="D164" s="165" t="s">
        <v>143</v>
      </c>
      <c r="E164" s="165" t="s">
        <v>167</v>
      </c>
      <c r="F164" s="166">
        <v>0</v>
      </c>
      <c r="G164" s="166">
        <v>0</v>
      </c>
      <c r="H164" s="166">
        <v>0</v>
      </c>
      <c r="I164" s="166">
        <v>0</v>
      </c>
      <c r="J164" s="167">
        <f t="shared" si="2"/>
        <v>0</v>
      </c>
      <c r="K164" s="504"/>
    </row>
    <row r="165" spans="1:11" ht="13.5" customHeight="1">
      <c r="A165" s="163"/>
      <c r="B165" s="163"/>
      <c r="C165" s="165"/>
      <c r="D165" s="165" t="s">
        <v>145</v>
      </c>
      <c r="E165" s="165" t="s">
        <v>168</v>
      </c>
      <c r="F165" s="166">
        <v>267460</v>
      </c>
      <c r="G165" s="166">
        <v>0</v>
      </c>
      <c r="H165" s="166">
        <v>0</v>
      </c>
      <c r="I165" s="166">
        <v>0</v>
      </c>
      <c r="J165" s="167">
        <f t="shared" si="2"/>
        <v>267460</v>
      </c>
      <c r="K165" s="504"/>
    </row>
    <row r="166" spans="1:11" ht="0.75" customHeight="1" hidden="1">
      <c r="A166" s="163"/>
      <c r="B166" s="163"/>
      <c r="C166" s="165"/>
      <c r="D166" s="165" t="s">
        <v>147</v>
      </c>
      <c r="E166" s="165" t="s">
        <v>169</v>
      </c>
      <c r="F166" s="166">
        <v>0</v>
      </c>
      <c r="G166" s="166">
        <v>0</v>
      </c>
      <c r="H166" s="166">
        <v>0</v>
      </c>
      <c r="I166" s="166">
        <v>0</v>
      </c>
      <c r="J166" s="167">
        <f t="shared" si="2"/>
        <v>0</v>
      </c>
      <c r="K166" s="504"/>
    </row>
    <row r="167" spans="1:11" ht="12.75" hidden="1">
      <c r="A167" s="163"/>
      <c r="B167" s="163"/>
      <c r="C167" s="165"/>
      <c r="D167" s="165" t="s">
        <v>149</v>
      </c>
      <c r="E167" s="165" t="s">
        <v>483</v>
      </c>
      <c r="F167" s="166">
        <v>0</v>
      </c>
      <c r="G167" s="166">
        <v>0</v>
      </c>
      <c r="H167" s="166">
        <v>0</v>
      </c>
      <c r="I167" s="166">
        <v>0</v>
      </c>
      <c r="J167" s="167">
        <f t="shared" si="2"/>
        <v>0</v>
      </c>
      <c r="K167" s="504"/>
    </row>
    <row r="168" spans="1:11" ht="12.75" hidden="1">
      <c r="A168" s="163"/>
      <c r="B168" s="163"/>
      <c r="C168" s="165"/>
      <c r="D168" s="165" t="s">
        <v>151</v>
      </c>
      <c r="E168" s="165" t="s">
        <v>482</v>
      </c>
      <c r="F168" s="175">
        <v>0</v>
      </c>
      <c r="G168" s="166">
        <v>0</v>
      </c>
      <c r="H168" s="166">
        <v>0</v>
      </c>
      <c r="I168" s="166">
        <v>0</v>
      </c>
      <c r="J168" s="167">
        <f t="shared" si="2"/>
        <v>0</v>
      </c>
      <c r="K168" s="504"/>
    </row>
    <row r="169" spans="1:11" ht="12.75" hidden="1">
      <c r="A169" s="163"/>
      <c r="B169" s="163"/>
      <c r="C169" s="165"/>
      <c r="D169" s="165" t="s">
        <v>153</v>
      </c>
      <c r="E169" s="165" t="s">
        <v>172</v>
      </c>
      <c r="F169" s="166">
        <v>0</v>
      </c>
      <c r="G169" s="166">
        <v>0</v>
      </c>
      <c r="H169" s="166">
        <v>0</v>
      </c>
      <c r="I169" s="166">
        <v>0</v>
      </c>
      <c r="J169" s="167">
        <f t="shared" si="2"/>
        <v>0</v>
      </c>
      <c r="K169" s="504"/>
    </row>
    <row r="170" spans="1:11" ht="12.75" hidden="1">
      <c r="A170" s="163"/>
      <c r="B170" s="163"/>
      <c r="C170" s="165"/>
      <c r="D170" s="165" t="s">
        <v>155</v>
      </c>
      <c r="E170" s="165" t="s">
        <v>173</v>
      </c>
      <c r="F170" s="166">
        <v>0</v>
      </c>
      <c r="G170" s="166">
        <v>0</v>
      </c>
      <c r="H170" s="166">
        <v>0</v>
      </c>
      <c r="I170" s="166">
        <v>0</v>
      </c>
      <c r="J170" s="167">
        <f t="shared" si="2"/>
        <v>0</v>
      </c>
      <c r="K170" s="504"/>
    </row>
    <row r="171" spans="1:11" ht="12.75" hidden="1">
      <c r="A171" s="163"/>
      <c r="B171" s="163"/>
      <c r="C171" s="165"/>
      <c r="D171" s="165" t="s">
        <v>157</v>
      </c>
      <c r="E171" s="165" t="s">
        <v>174</v>
      </c>
      <c r="F171" s="166">
        <v>0</v>
      </c>
      <c r="G171" s="166">
        <v>0</v>
      </c>
      <c r="H171" s="166">
        <v>0</v>
      </c>
      <c r="I171" s="166">
        <v>0</v>
      </c>
      <c r="J171" s="167">
        <f t="shared" si="2"/>
        <v>0</v>
      </c>
      <c r="K171" s="504"/>
    </row>
    <row r="172" spans="1:11" ht="12.75" hidden="1">
      <c r="A172" s="163"/>
      <c r="B172" s="163"/>
      <c r="C172" s="165"/>
      <c r="D172" s="165" t="s">
        <v>524</v>
      </c>
      <c r="E172" s="165" t="s">
        <v>175</v>
      </c>
      <c r="F172" s="166">
        <v>0</v>
      </c>
      <c r="G172" s="166">
        <v>0</v>
      </c>
      <c r="H172" s="166">
        <v>0</v>
      </c>
      <c r="I172" s="166">
        <v>0</v>
      </c>
      <c r="J172" s="167">
        <f t="shared" si="2"/>
        <v>0</v>
      </c>
      <c r="K172" s="504"/>
    </row>
    <row r="173" spans="1:11" s="155" customFormat="1" ht="12.75">
      <c r="A173" s="153" t="s">
        <v>299</v>
      </c>
      <c r="B173" s="854" t="s">
        <v>300</v>
      </c>
      <c r="C173" s="854"/>
      <c r="D173" s="854"/>
      <c r="E173" s="854"/>
      <c r="F173" s="154">
        <f>SUM(F174+F197+F198+F199)</f>
        <v>1155810806</v>
      </c>
      <c r="G173" s="154">
        <f>SUM(G174+G197+G198+G199)</f>
        <v>1125836</v>
      </c>
      <c r="H173" s="154">
        <f>SUM(H174+H197+H198+H199)</f>
        <v>20829102</v>
      </c>
      <c r="I173" s="154">
        <f>SUM(I174+I197+I198+I199)</f>
        <v>1443526</v>
      </c>
      <c r="J173" s="154">
        <f t="shared" si="2"/>
        <v>1179209270</v>
      </c>
      <c r="K173" s="501"/>
    </row>
    <row r="174" spans="1:11" ht="12.75">
      <c r="A174" s="163"/>
      <c r="B174" s="156" t="s">
        <v>301</v>
      </c>
      <c r="C174" s="850" t="s">
        <v>302</v>
      </c>
      <c r="D174" s="850"/>
      <c r="E174" s="850"/>
      <c r="F174" s="157">
        <f>SUM(F175+F179+F184+F189+F190+F191+F192+F193+F194)</f>
        <v>1155810806</v>
      </c>
      <c r="G174" s="157">
        <f>SUM(G175+G179+G184+G189+G190+G191+G192+G193+G194)</f>
        <v>1125836</v>
      </c>
      <c r="H174" s="157">
        <f>SUM(H175+H179+H184+H189+H190+H191+H192+H193+H194)</f>
        <v>20829102</v>
      </c>
      <c r="I174" s="157">
        <f>SUM(I175+I179+I184+I189+I190+I191+I192+I193+I194)</f>
        <v>1443526</v>
      </c>
      <c r="J174" s="158">
        <f t="shared" si="2"/>
        <v>1179209270</v>
      </c>
      <c r="K174" s="502"/>
    </row>
    <row r="175" spans="1:11" ht="12.75">
      <c r="A175" s="159"/>
      <c r="B175" s="159"/>
      <c r="C175" s="159" t="s">
        <v>303</v>
      </c>
      <c r="D175" s="159" t="s">
        <v>544</v>
      </c>
      <c r="E175" s="159"/>
      <c r="F175" s="160">
        <f>SUM(F176:F178)</f>
        <v>0</v>
      </c>
      <c r="G175" s="160">
        <f>SUM(G176:G178)</f>
        <v>0</v>
      </c>
      <c r="H175" s="160">
        <f>SUM(H176:H178)</f>
        <v>0</v>
      </c>
      <c r="I175" s="160">
        <f>SUM(I176:I178)</f>
        <v>0</v>
      </c>
      <c r="J175" s="161">
        <f t="shared" si="2"/>
        <v>0</v>
      </c>
      <c r="K175" s="503"/>
    </row>
    <row r="176" spans="1:11" ht="12.75" hidden="1">
      <c r="A176" s="176"/>
      <c r="B176" s="176"/>
      <c r="C176" s="176"/>
      <c r="D176" s="176" t="s">
        <v>304</v>
      </c>
      <c r="E176" s="176" t="s">
        <v>623</v>
      </c>
      <c r="F176" s="177">
        <v>0</v>
      </c>
      <c r="G176" s="177">
        <v>0</v>
      </c>
      <c r="H176" s="177">
        <v>0</v>
      </c>
      <c r="I176" s="177">
        <v>0</v>
      </c>
      <c r="J176" s="178">
        <f t="shared" si="2"/>
        <v>0</v>
      </c>
      <c r="K176" s="505"/>
    </row>
    <row r="177" spans="1:11" ht="12.75" hidden="1">
      <c r="A177" s="176"/>
      <c r="B177" s="176"/>
      <c r="C177" s="176"/>
      <c r="D177" s="176" t="s">
        <v>305</v>
      </c>
      <c r="E177" s="176" t="s">
        <v>624</v>
      </c>
      <c r="F177" s="177">
        <v>0</v>
      </c>
      <c r="G177" s="177">
        <v>0</v>
      </c>
      <c r="H177" s="177">
        <v>0</v>
      </c>
      <c r="I177" s="177">
        <v>0</v>
      </c>
      <c r="J177" s="178">
        <f t="shared" si="2"/>
        <v>0</v>
      </c>
      <c r="K177" s="505"/>
    </row>
    <row r="178" spans="1:11" ht="12.75" hidden="1">
      <c r="A178" s="176"/>
      <c r="B178" s="176"/>
      <c r="C178" s="176"/>
      <c r="D178" s="176" t="s">
        <v>306</v>
      </c>
      <c r="E178" s="176" t="s">
        <v>625</v>
      </c>
      <c r="F178" s="177">
        <v>0</v>
      </c>
      <c r="G178" s="177">
        <v>0</v>
      </c>
      <c r="H178" s="177">
        <v>0</v>
      </c>
      <c r="I178" s="177">
        <v>0</v>
      </c>
      <c r="J178" s="178">
        <f t="shared" si="2"/>
        <v>0</v>
      </c>
      <c r="K178" s="505"/>
    </row>
    <row r="179" spans="1:11" ht="12.75">
      <c r="A179" s="159"/>
      <c r="B179" s="159"/>
      <c r="C179" s="159" t="s">
        <v>307</v>
      </c>
      <c r="D179" s="159" t="s">
        <v>308</v>
      </c>
      <c r="E179" s="159"/>
      <c r="F179" s="160">
        <f>SUM(F180:F183)</f>
        <v>0</v>
      </c>
      <c r="G179" s="160">
        <f>SUM(G180:G183)</f>
        <v>0</v>
      </c>
      <c r="H179" s="160">
        <f>SUM(H180:H183)</f>
        <v>0</v>
      </c>
      <c r="I179" s="160">
        <f>SUM(I180:I183)</f>
        <v>0</v>
      </c>
      <c r="J179" s="161">
        <f t="shared" si="2"/>
        <v>0</v>
      </c>
      <c r="K179" s="503"/>
    </row>
    <row r="180" spans="1:11" ht="12.75" hidden="1">
      <c r="A180" s="159"/>
      <c r="B180" s="159"/>
      <c r="C180" s="159"/>
      <c r="D180" s="176" t="s">
        <v>504</v>
      </c>
      <c r="E180" s="176" t="s">
        <v>505</v>
      </c>
      <c r="F180" s="160">
        <v>0</v>
      </c>
      <c r="G180" s="160">
        <v>0</v>
      </c>
      <c r="H180" s="160">
        <v>0</v>
      </c>
      <c r="I180" s="160">
        <v>0</v>
      </c>
      <c r="J180" s="161">
        <f t="shared" si="2"/>
        <v>0</v>
      </c>
      <c r="K180" s="503"/>
    </row>
    <row r="181" spans="1:11" ht="12.75" hidden="1">
      <c r="A181" s="159"/>
      <c r="B181" s="159"/>
      <c r="C181" s="159"/>
      <c r="D181" s="176" t="s">
        <v>506</v>
      </c>
      <c r="E181" s="176" t="s">
        <v>507</v>
      </c>
      <c r="F181" s="160">
        <v>0</v>
      </c>
      <c r="G181" s="160">
        <v>0</v>
      </c>
      <c r="H181" s="160">
        <v>0</v>
      </c>
      <c r="I181" s="160">
        <v>0</v>
      </c>
      <c r="J181" s="161">
        <f t="shared" si="2"/>
        <v>0</v>
      </c>
      <c r="K181" s="503"/>
    </row>
    <row r="182" spans="1:11" ht="12.75" hidden="1">
      <c r="A182" s="159"/>
      <c r="B182" s="159"/>
      <c r="C182" s="159"/>
      <c r="D182" s="176" t="s">
        <v>508</v>
      </c>
      <c r="E182" s="176" t="s">
        <v>509</v>
      </c>
      <c r="F182" s="160">
        <v>0</v>
      </c>
      <c r="G182" s="160">
        <v>0</v>
      </c>
      <c r="H182" s="160">
        <v>0</v>
      </c>
      <c r="I182" s="160">
        <v>0</v>
      </c>
      <c r="J182" s="161">
        <f t="shared" si="2"/>
        <v>0</v>
      </c>
      <c r="K182" s="503"/>
    </row>
    <row r="183" spans="1:11" ht="12.75" hidden="1">
      <c r="A183" s="159"/>
      <c r="B183" s="159"/>
      <c r="C183" s="159"/>
      <c r="D183" s="176" t="s">
        <v>510</v>
      </c>
      <c r="E183" s="176" t="s">
        <v>511</v>
      </c>
      <c r="F183" s="160">
        <v>0</v>
      </c>
      <c r="G183" s="160">
        <v>0</v>
      </c>
      <c r="H183" s="160">
        <v>0</v>
      </c>
      <c r="I183" s="160">
        <v>0</v>
      </c>
      <c r="J183" s="161">
        <f t="shared" si="2"/>
        <v>0</v>
      </c>
      <c r="K183" s="503"/>
    </row>
    <row r="184" spans="1:11" ht="12.75">
      <c r="A184" s="159"/>
      <c r="B184" s="159"/>
      <c r="C184" s="159" t="s">
        <v>309</v>
      </c>
      <c r="D184" s="159" t="s">
        <v>310</v>
      </c>
      <c r="E184" s="159"/>
      <c r="F184" s="160">
        <f>SUM(F185,F188)</f>
        <v>1155810806</v>
      </c>
      <c r="G184" s="160">
        <f>SUM(G185,G188)</f>
        <v>1125836</v>
      </c>
      <c r="H184" s="160">
        <f>SUM(H185,H188)</f>
        <v>20829102</v>
      </c>
      <c r="I184" s="160">
        <f>SUM(I185,I188)</f>
        <v>1443526</v>
      </c>
      <c r="J184" s="161">
        <f t="shared" si="2"/>
        <v>1179209270</v>
      </c>
      <c r="K184" s="503"/>
    </row>
    <row r="185" spans="1:11" ht="12.75">
      <c r="A185" s="176"/>
      <c r="B185" s="176"/>
      <c r="C185" s="176"/>
      <c r="D185" s="176" t="s">
        <v>311</v>
      </c>
      <c r="E185" s="176" t="s">
        <v>312</v>
      </c>
      <c r="F185" s="177">
        <f>SUM(F186:F187)</f>
        <v>1157180955</v>
      </c>
      <c r="G185" s="177">
        <f>SUM(G186:G187)</f>
        <v>1125836</v>
      </c>
      <c r="H185" s="177">
        <f>SUM(H186:H187)</f>
        <v>20829102</v>
      </c>
      <c r="I185" s="177">
        <f>SUM(I186:I187)</f>
        <v>1443526</v>
      </c>
      <c r="J185" s="178">
        <f t="shared" si="2"/>
        <v>1180579419</v>
      </c>
      <c r="K185" s="505"/>
    </row>
    <row r="186" spans="1:11" s="183" customFormat="1" ht="12.75">
      <c r="A186" s="179"/>
      <c r="B186" s="179"/>
      <c r="C186" s="179"/>
      <c r="D186" s="179"/>
      <c r="E186" s="180" t="s">
        <v>36</v>
      </c>
      <c r="F186" s="181">
        <f>139338070+75829006</f>
        <v>215167076</v>
      </c>
      <c r="G186" s="181">
        <f>789210+334626+2000</f>
        <v>1125836</v>
      </c>
      <c r="H186" s="181">
        <f>7760424+13068678</f>
        <v>20829102</v>
      </c>
      <c r="I186" s="181">
        <f>5642681-4199155</f>
        <v>1443526</v>
      </c>
      <c r="J186" s="182">
        <f t="shared" si="2"/>
        <v>238565540</v>
      </c>
      <c r="K186" s="506"/>
    </row>
    <row r="187" spans="1:11" s="183" customFormat="1" ht="12.75">
      <c r="A187" s="179"/>
      <c r="B187" s="179"/>
      <c r="C187" s="179"/>
      <c r="D187" s="179"/>
      <c r="E187" s="180" t="s">
        <v>37</v>
      </c>
      <c r="F187" s="181">
        <f>896617876-510500+45906503</f>
        <v>942013879</v>
      </c>
      <c r="G187" s="181">
        <v>0</v>
      </c>
      <c r="H187" s="181">
        <v>0</v>
      </c>
      <c r="I187" s="181">
        <v>0</v>
      </c>
      <c r="J187" s="182">
        <f t="shared" si="2"/>
        <v>942013879</v>
      </c>
      <c r="K187" s="506"/>
    </row>
    <row r="188" spans="1:11" ht="12.75">
      <c r="A188" s="176"/>
      <c r="B188" s="176"/>
      <c r="C188" s="176"/>
      <c r="D188" s="176" t="s">
        <v>313</v>
      </c>
      <c r="E188" s="176" t="s">
        <v>314</v>
      </c>
      <c r="F188" s="177">
        <f>-1370149</f>
        <v>-1370149</v>
      </c>
      <c r="G188" s="177">
        <v>0</v>
      </c>
      <c r="H188" s="177">
        <v>0</v>
      </c>
      <c r="I188" s="177">
        <v>0</v>
      </c>
      <c r="J188" s="178">
        <f t="shared" si="2"/>
        <v>-1370149</v>
      </c>
      <c r="K188" s="505"/>
    </row>
    <row r="189" spans="1:11" ht="12.75" hidden="1">
      <c r="A189" s="159"/>
      <c r="B189" s="159"/>
      <c r="C189" s="159" t="s">
        <v>315</v>
      </c>
      <c r="D189" s="159" t="s">
        <v>545</v>
      </c>
      <c r="E189" s="159"/>
      <c r="F189" s="160">
        <v>0</v>
      </c>
      <c r="G189" s="160">
        <v>0</v>
      </c>
      <c r="H189" s="160">
        <v>0</v>
      </c>
      <c r="I189" s="160">
        <v>0</v>
      </c>
      <c r="J189" s="161">
        <f t="shared" si="2"/>
        <v>0</v>
      </c>
      <c r="K189" s="503"/>
    </row>
    <row r="190" spans="1:11" ht="12.75" hidden="1">
      <c r="A190" s="159"/>
      <c r="B190" s="159"/>
      <c r="C190" s="159" t="s">
        <v>316</v>
      </c>
      <c r="D190" s="159" t="s">
        <v>546</v>
      </c>
      <c r="E190" s="159"/>
      <c r="F190" s="160">
        <v>0</v>
      </c>
      <c r="G190" s="160">
        <v>0</v>
      </c>
      <c r="H190" s="160">
        <v>0</v>
      </c>
      <c r="I190" s="160">
        <v>0</v>
      </c>
      <c r="J190" s="161">
        <f t="shared" si="2"/>
        <v>0</v>
      </c>
      <c r="K190" s="503"/>
    </row>
    <row r="191" spans="1:11" ht="12.75" hidden="1">
      <c r="A191" s="159"/>
      <c r="B191" s="159"/>
      <c r="C191" s="159" t="s">
        <v>317</v>
      </c>
      <c r="D191" s="159" t="s">
        <v>318</v>
      </c>
      <c r="E191" s="159"/>
      <c r="F191" s="160">
        <v>0</v>
      </c>
      <c r="G191" s="160">
        <v>0</v>
      </c>
      <c r="H191" s="160">
        <v>0</v>
      </c>
      <c r="I191" s="160">
        <v>0</v>
      </c>
      <c r="J191" s="161">
        <f t="shared" si="2"/>
        <v>0</v>
      </c>
      <c r="K191" s="503"/>
    </row>
    <row r="192" spans="1:11" ht="12.75" hidden="1">
      <c r="A192" s="159"/>
      <c r="B192" s="159"/>
      <c r="C192" s="159" t="s">
        <v>319</v>
      </c>
      <c r="D192" s="159" t="s">
        <v>512</v>
      </c>
      <c r="E192" s="159"/>
      <c r="F192" s="160">
        <v>0</v>
      </c>
      <c r="G192" s="160">
        <v>0</v>
      </c>
      <c r="H192" s="160">
        <v>0</v>
      </c>
      <c r="I192" s="160">
        <v>0</v>
      </c>
      <c r="J192" s="161">
        <f t="shared" si="2"/>
        <v>0</v>
      </c>
      <c r="K192" s="503"/>
    </row>
    <row r="193" spans="1:11" ht="12.75" hidden="1">
      <c r="A193" s="159"/>
      <c r="B193" s="159"/>
      <c r="C193" s="159" t="s">
        <v>320</v>
      </c>
      <c r="D193" s="159" t="s">
        <v>321</v>
      </c>
      <c r="E193" s="159"/>
      <c r="F193" s="160">
        <v>0</v>
      </c>
      <c r="G193" s="160">
        <v>0</v>
      </c>
      <c r="H193" s="160">
        <v>0</v>
      </c>
      <c r="I193" s="160">
        <v>0</v>
      </c>
      <c r="J193" s="161">
        <f t="shared" si="2"/>
        <v>0</v>
      </c>
      <c r="K193" s="503"/>
    </row>
    <row r="194" spans="1:11" ht="12.75" hidden="1">
      <c r="A194" s="159"/>
      <c r="B194" s="159"/>
      <c r="C194" s="159" t="s">
        <v>513</v>
      </c>
      <c r="D194" s="159" t="s">
        <v>514</v>
      </c>
      <c r="E194" s="159"/>
      <c r="F194" s="160">
        <v>0</v>
      </c>
      <c r="G194" s="160">
        <v>0</v>
      </c>
      <c r="H194" s="160">
        <v>0</v>
      </c>
      <c r="I194" s="160">
        <v>0</v>
      </c>
      <c r="J194" s="161">
        <f t="shared" si="2"/>
        <v>0</v>
      </c>
      <c r="K194" s="503"/>
    </row>
    <row r="195" spans="1:11" ht="12.75" hidden="1">
      <c r="A195" s="159"/>
      <c r="B195" s="159"/>
      <c r="C195" s="159"/>
      <c r="D195" s="176" t="s">
        <v>515</v>
      </c>
      <c r="E195" s="176" t="s">
        <v>516</v>
      </c>
      <c r="F195" s="181">
        <v>0</v>
      </c>
      <c r="G195" s="181">
        <v>0</v>
      </c>
      <c r="H195" s="181">
        <v>0</v>
      </c>
      <c r="I195" s="181">
        <v>0</v>
      </c>
      <c r="J195" s="161">
        <f t="shared" si="2"/>
        <v>0</v>
      </c>
      <c r="K195" s="503"/>
    </row>
    <row r="196" spans="1:11" ht="12.75" hidden="1">
      <c r="A196" s="159"/>
      <c r="B196" s="159"/>
      <c r="C196" s="159"/>
      <c r="D196" s="176" t="s">
        <v>517</v>
      </c>
      <c r="E196" s="176" t="s">
        <v>518</v>
      </c>
      <c r="F196" s="181">
        <v>0</v>
      </c>
      <c r="G196" s="181">
        <v>0</v>
      </c>
      <c r="H196" s="181">
        <v>0</v>
      </c>
      <c r="I196" s="181">
        <v>0</v>
      </c>
      <c r="J196" s="161">
        <f t="shared" si="2"/>
        <v>0</v>
      </c>
      <c r="K196" s="503"/>
    </row>
    <row r="197" spans="1:11" ht="12.75">
      <c r="A197" s="163"/>
      <c r="B197" s="156" t="s">
        <v>322</v>
      </c>
      <c r="C197" s="850" t="s">
        <v>323</v>
      </c>
      <c r="D197" s="850"/>
      <c r="E197" s="850"/>
      <c r="F197" s="157">
        <v>0</v>
      </c>
      <c r="G197" s="157">
        <v>0</v>
      </c>
      <c r="H197" s="157">
        <v>0</v>
      </c>
      <c r="I197" s="157">
        <v>0</v>
      </c>
      <c r="J197" s="158">
        <f t="shared" si="2"/>
        <v>0</v>
      </c>
      <c r="K197" s="502"/>
    </row>
    <row r="198" spans="1:11" ht="12.75">
      <c r="A198" s="163"/>
      <c r="B198" s="156" t="s">
        <v>324</v>
      </c>
      <c r="C198" s="850" t="s">
        <v>325</v>
      </c>
      <c r="D198" s="850"/>
      <c r="E198" s="850"/>
      <c r="F198" s="157">
        <v>0</v>
      </c>
      <c r="G198" s="157">
        <v>0</v>
      </c>
      <c r="H198" s="157">
        <v>0</v>
      </c>
      <c r="I198" s="157">
        <v>0</v>
      </c>
      <c r="J198" s="158">
        <f t="shared" si="2"/>
        <v>0</v>
      </c>
      <c r="K198" s="502"/>
    </row>
    <row r="199" spans="1:11" ht="12.75">
      <c r="A199" s="163"/>
      <c r="B199" s="156" t="s">
        <v>519</v>
      </c>
      <c r="C199" s="850" t="s">
        <v>520</v>
      </c>
      <c r="D199" s="850"/>
      <c r="E199" s="850"/>
      <c r="F199" s="157">
        <v>0</v>
      </c>
      <c r="G199" s="157">
        <v>0</v>
      </c>
      <c r="H199" s="157">
        <v>0</v>
      </c>
      <c r="I199" s="157">
        <v>0</v>
      </c>
      <c r="J199" s="158">
        <f t="shared" si="2"/>
        <v>0</v>
      </c>
      <c r="K199" s="502"/>
    </row>
    <row r="200" spans="1:11" ht="12.75">
      <c r="A200" s="163"/>
      <c r="B200" s="163"/>
      <c r="C200" s="641"/>
      <c r="D200" s="643"/>
      <c r="E200" s="642"/>
      <c r="F200" s="184"/>
      <c r="G200" s="185"/>
      <c r="H200" s="185"/>
      <c r="I200" s="185"/>
      <c r="J200" s="184">
        <f t="shared" si="2"/>
        <v>0</v>
      </c>
      <c r="K200" s="507"/>
    </row>
    <row r="201" spans="1:11" s="187" customFormat="1" ht="15.75">
      <c r="A201" s="859" t="s">
        <v>430</v>
      </c>
      <c r="B201" s="859"/>
      <c r="C201" s="859"/>
      <c r="D201" s="859"/>
      <c r="E201" s="859"/>
      <c r="F201" s="186">
        <f>SUM(F173+F147+F131+F123+F87+F58+F41+F7)</f>
        <v>2282771105</v>
      </c>
      <c r="G201" s="186">
        <f>SUM(G173+G147+G131+G123+G87+G58+G41+G7)</f>
        <v>8397915</v>
      </c>
      <c r="H201" s="186">
        <f>SUM(H173+H147+H131+H123+H87+H58+H41+H7)</f>
        <v>29547568</v>
      </c>
      <c r="I201" s="186">
        <f>SUM(I173+I147+I131+I123+I87+I58+I41+I7)</f>
        <v>19084563</v>
      </c>
      <c r="J201" s="625">
        <f t="shared" si="2"/>
        <v>2339801151</v>
      </c>
      <c r="K201" s="508"/>
    </row>
  </sheetData>
  <sheetProtection/>
  <mergeCells count="54"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B58:E58"/>
    <mergeCell ref="D108:E108"/>
    <mergeCell ref="C61:E61"/>
    <mergeCell ref="D105:E105"/>
    <mergeCell ref="C59:E59"/>
    <mergeCell ref="C76:E76"/>
    <mergeCell ref="B87:E87"/>
    <mergeCell ref="C60:E60"/>
    <mergeCell ref="B131:E131"/>
    <mergeCell ref="C126:E126"/>
    <mergeCell ref="C128:E128"/>
    <mergeCell ref="D112:E112"/>
    <mergeCell ref="C130:E130"/>
    <mergeCell ref="C124:E124"/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38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70" bestFit="1" customWidth="1"/>
    <col min="2" max="2" width="2.375" style="815" customWidth="1"/>
    <col min="3" max="3" width="59.25390625" style="815" customWidth="1"/>
    <col min="4" max="4" width="14.125" style="815" bestFit="1" customWidth="1"/>
    <col min="5" max="16384" width="8.875" style="815" customWidth="1"/>
  </cols>
  <sheetData>
    <row r="1" spans="3:5" ht="15">
      <c r="C1" s="894" t="s">
        <v>1027</v>
      </c>
      <c r="D1" s="1134"/>
      <c r="E1" s="66"/>
    </row>
    <row r="2" spans="3:5" ht="15">
      <c r="C2" s="2"/>
      <c r="D2" s="66"/>
      <c r="E2" s="66"/>
    </row>
    <row r="3" spans="2:4" ht="15">
      <c r="B3" s="1140" t="s">
        <v>959</v>
      </c>
      <c r="C3" s="1140"/>
      <c r="D3" s="1140"/>
    </row>
    <row r="4" spans="2:4" ht="15">
      <c r="B4" s="1140" t="s">
        <v>433</v>
      </c>
      <c r="C4" s="1140"/>
      <c r="D4" s="1140"/>
    </row>
    <row r="5" spans="2:4" ht="15">
      <c r="B5" s="816"/>
      <c r="C5" s="816"/>
      <c r="D5" s="816"/>
    </row>
    <row r="6" ht="15">
      <c r="D6" s="817"/>
    </row>
    <row r="7" spans="1:4" s="819" customFormat="1" ht="21" customHeight="1">
      <c r="A7" s="1141" t="s">
        <v>423</v>
      </c>
      <c r="B7" s="1143" t="s">
        <v>353</v>
      </c>
      <c r="C7" s="1143"/>
      <c r="D7" s="818" t="s">
        <v>364</v>
      </c>
    </row>
    <row r="8" spans="1:4" s="821" customFormat="1" ht="12">
      <c r="A8" s="1142"/>
      <c r="B8" s="1144" t="s">
        <v>417</v>
      </c>
      <c r="C8" s="1145"/>
      <c r="D8" s="820" t="s">
        <v>418</v>
      </c>
    </row>
    <row r="9" spans="1:4" s="819" customFormat="1" ht="25.5" customHeight="1">
      <c r="A9" s="820">
        <v>1</v>
      </c>
      <c r="B9" s="822" t="s">
        <v>960</v>
      </c>
      <c r="C9" s="823"/>
      <c r="D9" s="824"/>
    </row>
    <row r="10" spans="1:4" ht="15">
      <c r="A10" s="820">
        <v>2</v>
      </c>
      <c r="B10" s="825"/>
      <c r="C10" s="826" t="s">
        <v>416</v>
      </c>
      <c r="D10" s="827">
        <v>1000000</v>
      </c>
    </row>
    <row r="11" spans="1:4" ht="15">
      <c r="A11" s="820">
        <v>3</v>
      </c>
      <c r="B11" s="825"/>
      <c r="C11" s="826" t="s">
        <v>970</v>
      </c>
      <c r="D11" s="831">
        <v>-1000000</v>
      </c>
    </row>
    <row r="12" spans="1:4" s="819" customFormat="1" ht="15.75" customHeight="1">
      <c r="A12" s="820">
        <v>4</v>
      </c>
      <c r="B12" s="822" t="s">
        <v>356</v>
      </c>
      <c r="C12" s="822"/>
      <c r="D12" s="828">
        <f>SUM(D10:D11)</f>
        <v>0</v>
      </c>
    </row>
    <row r="13" spans="1:4" s="819" customFormat="1" ht="6" customHeight="1">
      <c r="A13" s="829"/>
      <c r="B13" s="830"/>
      <c r="C13" s="830"/>
      <c r="D13" s="824"/>
    </row>
    <row r="14" spans="1:4" s="819" customFormat="1" ht="25.5" customHeight="1">
      <c r="A14" s="820">
        <v>5</v>
      </c>
      <c r="B14" s="1139" t="s">
        <v>961</v>
      </c>
      <c r="C14" s="1139"/>
      <c r="D14" s="1139"/>
    </row>
    <row r="15" spans="1:4" s="819" customFormat="1" ht="30">
      <c r="A15" s="820">
        <v>6</v>
      </c>
      <c r="B15" s="825"/>
      <c r="C15" s="826" t="s">
        <v>962</v>
      </c>
      <c r="D15" s="827">
        <v>350000</v>
      </c>
    </row>
    <row r="16" spans="1:4" ht="15">
      <c r="A16" s="820">
        <v>7</v>
      </c>
      <c r="B16" s="69" t="s">
        <v>365</v>
      </c>
      <c r="C16" s="826" t="s">
        <v>1014</v>
      </c>
      <c r="D16" s="827">
        <v>1841851</v>
      </c>
    </row>
    <row r="17" spans="1:4" ht="15">
      <c r="A17" s="820">
        <v>8</v>
      </c>
      <c r="B17" s="845"/>
      <c r="C17" s="846" t="s">
        <v>1015</v>
      </c>
      <c r="D17" s="847">
        <f>SUM(D15:D16)</f>
        <v>2191851</v>
      </c>
    </row>
    <row r="18" spans="1:4" s="819" customFormat="1" ht="39.75" customHeight="1">
      <c r="A18" s="820">
        <v>9</v>
      </c>
      <c r="B18" s="825"/>
      <c r="C18" s="826" t="s">
        <v>963</v>
      </c>
      <c r="D18" s="827">
        <v>200000</v>
      </c>
    </row>
    <row r="19" spans="1:4" ht="30">
      <c r="A19" s="820">
        <v>10</v>
      </c>
      <c r="B19" s="845"/>
      <c r="C19" s="846" t="s">
        <v>1016</v>
      </c>
      <c r="D19" s="847">
        <f>SUM(D18)</f>
        <v>200000</v>
      </c>
    </row>
    <row r="20" spans="1:4" ht="15.75" customHeight="1">
      <c r="A20" s="820">
        <v>11</v>
      </c>
      <c r="B20" s="822" t="s">
        <v>356</v>
      </c>
      <c r="C20" s="822"/>
      <c r="D20" s="828">
        <f>SUM(D17+D19)</f>
        <v>2391851</v>
      </c>
    </row>
    <row r="21" spans="1:4" s="819" customFormat="1" ht="7.5" customHeight="1">
      <c r="A21" s="829"/>
      <c r="B21" s="830"/>
      <c r="C21" s="830"/>
      <c r="D21" s="824"/>
    </row>
    <row r="22" spans="1:4" s="819" customFormat="1" ht="25.5" customHeight="1">
      <c r="A22" s="820">
        <v>12</v>
      </c>
      <c r="B22" s="822" t="s">
        <v>964</v>
      </c>
      <c r="C22" s="823"/>
      <c r="D22" s="824"/>
    </row>
    <row r="23" spans="1:4" ht="15">
      <c r="A23" s="820">
        <v>13</v>
      </c>
      <c r="B23" s="825"/>
      <c r="C23" s="826" t="s">
        <v>965</v>
      </c>
      <c r="D23" s="827">
        <v>1000000</v>
      </c>
    </row>
    <row r="24" spans="1:4" s="819" customFormat="1" ht="15.75" customHeight="1">
      <c r="A24" s="820">
        <v>14</v>
      </c>
      <c r="B24" s="822" t="s">
        <v>356</v>
      </c>
      <c r="C24" s="822"/>
      <c r="D24" s="828">
        <f>SUM(D23:D23)</f>
        <v>1000000</v>
      </c>
    </row>
    <row r="25" spans="1:4" s="819" customFormat="1" ht="7.5" customHeight="1">
      <c r="A25" s="829"/>
      <c r="B25" s="830"/>
      <c r="C25" s="830"/>
      <c r="D25" s="824"/>
    </row>
    <row r="26" spans="1:4" ht="14.25">
      <c r="A26" s="820">
        <v>15</v>
      </c>
      <c r="B26" s="1139" t="s">
        <v>980</v>
      </c>
      <c r="C26" s="1139"/>
      <c r="D26" s="1139"/>
    </row>
    <row r="27" spans="1:4" ht="15">
      <c r="A27" s="820">
        <v>16</v>
      </c>
      <c r="B27" s="69" t="s">
        <v>365</v>
      </c>
      <c r="C27" s="826" t="s">
        <v>1011</v>
      </c>
      <c r="D27" s="827">
        <v>121735509</v>
      </c>
    </row>
    <row r="28" spans="1:4" ht="15">
      <c r="A28" s="820">
        <v>17</v>
      </c>
      <c r="B28" s="69" t="s">
        <v>365</v>
      </c>
      <c r="C28" s="826" t="s">
        <v>1012</v>
      </c>
      <c r="D28" s="831">
        <v>-113802243</v>
      </c>
    </row>
    <row r="29" spans="1:4" ht="15">
      <c r="A29" s="820">
        <v>18</v>
      </c>
      <c r="B29" s="69" t="s">
        <v>365</v>
      </c>
      <c r="C29" s="826" t="s">
        <v>1013</v>
      </c>
      <c r="D29" s="831">
        <f>-510500-7422766</f>
        <v>-7933266</v>
      </c>
    </row>
    <row r="30" spans="1:4" ht="14.25">
      <c r="A30" s="820">
        <v>19</v>
      </c>
      <c r="B30" s="822" t="s">
        <v>356</v>
      </c>
      <c r="C30" s="822"/>
      <c r="D30" s="828">
        <f>SUM(D27:D29)</f>
        <v>0</v>
      </c>
    </row>
    <row r="31" spans="1:4" s="819" customFormat="1" ht="7.5" customHeight="1">
      <c r="A31" s="829"/>
      <c r="B31" s="830"/>
      <c r="C31" s="830"/>
      <c r="D31" s="824"/>
    </row>
    <row r="32" spans="1:4" ht="15.75" customHeight="1">
      <c r="A32" s="820">
        <v>20</v>
      </c>
      <c r="B32" s="822" t="s">
        <v>966</v>
      </c>
      <c r="C32" s="822"/>
      <c r="D32" s="828">
        <f>SUM(D12,D30,D20,D24)</f>
        <v>3391851</v>
      </c>
    </row>
    <row r="33" spans="1:4" s="819" customFormat="1" ht="8.25" customHeight="1">
      <c r="A33" s="829"/>
      <c r="B33" s="830"/>
      <c r="C33" s="830"/>
      <c r="D33" s="824"/>
    </row>
    <row r="34" spans="1:4" s="819" customFormat="1" ht="25.5" customHeight="1">
      <c r="A34" s="820">
        <v>21</v>
      </c>
      <c r="B34" s="1139" t="s">
        <v>967</v>
      </c>
      <c r="C34" s="1139"/>
      <c r="D34" s="1139"/>
    </row>
    <row r="35" spans="1:4" ht="30">
      <c r="A35" s="820">
        <v>22</v>
      </c>
      <c r="B35" s="69" t="s">
        <v>365</v>
      </c>
      <c r="C35" s="826" t="s">
        <v>1017</v>
      </c>
      <c r="D35" s="827">
        <v>15055017</v>
      </c>
    </row>
    <row r="36" spans="1:4" ht="15.75" customHeight="1">
      <c r="A36" s="820">
        <v>23</v>
      </c>
      <c r="B36" s="822" t="s">
        <v>968</v>
      </c>
      <c r="C36" s="822"/>
      <c r="D36" s="828">
        <f>SUM(D35:D35)</f>
        <v>15055017</v>
      </c>
    </row>
    <row r="37" spans="1:4" s="819" customFormat="1" ht="6.75" customHeight="1">
      <c r="A37" s="829"/>
      <c r="B37" s="830"/>
      <c r="C37" s="830"/>
      <c r="D37" s="824"/>
    </row>
    <row r="38" spans="1:4" ht="15.75" customHeight="1">
      <c r="A38" s="820">
        <v>24</v>
      </c>
      <c r="B38" s="822" t="s">
        <v>969</v>
      </c>
      <c r="C38" s="822"/>
      <c r="D38" s="828">
        <f>SUM(D36,D32)</f>
        <v>18446868</v>
      </c>
    </row>
  </sheetData>
  <sheetProtection/>
  <mergeCells count="9">
    <mergeCell ref="B14:D14"/>
    <mergeCell ref="B34:D34"/>
    <mergeCell ref="C1:D1"/>
    <mergeCell ref="B3:D3"/>
    <mergeCell ref="B4:D4"/>
    <mergeCell ref="A7:A8"/>
    <mergeCell ref="B7:C7"/>
    <mergeCell ref="B8:C8"/>
    <mergeCell ref="B26:D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568" customWidth="1"/>
    <col min="2" max="2" width="40.25390625" style="123" bestFit="1" customWidth="1"/>
    <col min="3" max="3" width="15.00390625" style="123" customWidth="1"/>
    <col min="4" max="4" width="11.125" style="123" bestFit="1" customWidth="1"/>
    <col min="5" max="5" width="11.875" style="123" customWidth="1"/>
    <col min="6" max="6" width="11.75390625" style="123" customWidth="1"/>
    <col min="7" max="8" width="11.25390625" style="123" customWidth="1"/>
    <col min="9" max="9" width="11.75390625" style="123" customWidth="1"/>
    <col min="10" max="11" width="15.375" style="123" customWidth="1"/>
    <col min="12" max="12" width="16.625" style="123" customWidth="1"/>
  </cols>
  <sheetData>
    <row r="1" spans="2:12" ht="15">
      <c r="B1" s="1146" t="s">
        <v>1028</v>
      </c>
      <c r="C1" s="1146"/>
      <c r="D1" s="1146"/>
      <c r="E1" s="1146"/>
      <c r="F1" s="1146"/>
      <c r="G1" s="1146"/>
      <c r="H1" s="1146"/>
      <c r="I1" s="1146"/>
      <c r="J1" s="1146"/>
      <c r="K1" s="1146"/>
      <c r="L1" s="1146"/>
    </row>
    <row r="4" spans="2:12" ht="41.25" customHeight="1">
      <c r="B4" s="1147" t="s">
        <v>922</v>
      </c>
      <c r="C4" s="1147"/>
      <c r="D4" s="1147"/>
      <c r="E4" s="1147"/>
      <c r="F4" s="1147"/>
      <c r="G4" s="1147"/>
      <c r="H4" s="1147"/>
      <c r="I4" s="1147"/>
      <c r="J4" s="1147"/>
      <c r="K4" s="1147"/>
      <c r="L4" s="1147"/>
    </row>
    <row r="7" ht="13.5" thickBot="1"/>
    <row r="8" spans="1:12" ht="12.75" customHeight="1">
      <c r="A8" s="1148" t="s">
        <v>423</v>
      </c>
      <c r="B8" s="1151" t="s">
        <v>353</v>
      </c>
      <c r="C8" s="1154" t="s">
        <v>923</v>
      </c>
      <c r="D8" s="1155"/>
      <c r="E8" s="1155"/>
      <c r="F8" s="1155"/>
      <c r="G8" s="1155"/>
      <c r="H8" s="1156"/>
      <c r="I8" s="1156"/>
      <c r="J8" s="1157" t="s">
        <v>924</v>
      </c>
      <c r="K8" s="1157" t="s">
        <v>925</v>
      </c>
      <c r="L8" s="1157" t="s">
        <v>926</v>
      </c>
    </row>
    <row r="9" spans="1:12" ht="12.75">
      <c r="A9" s="1149"/>
      <c r="B9" s="1152"/>
      <c r="C9" s="1160" t="s">
        <v>412</v>
      </c>
      <c r="D9" s="1161" t="s">
        <v>927</v>
      </c>
      <c r="E9" s="1162"/>
      <c r="F9" s="1162"/>
      <c r="G9" s="1162"/>
      <c r="H9" s="1163"/>
      <c r="I9" s="1163"/>
      <c r="J9" s="1158"/>
      <c r="K9" s="1158"/>
      <c r="L9" s="1158"/>
    </row>
    <row r="10" spans="1:12" ht="42" customHeight="1">
      <c r="A10" s="1150"/>
      <c r="B10" s="1153"/>
      <c r="C10" s="1160"/>
      <c r="D10" s="692" t="s">
        <v>928</v>
      </c>
      <c r="E10" s="692" t="s">
        <v>929</v>
      </c>
      <c r="F10" s="692" t="s">
        <v>930</v>
      </c>
      <c r="G10" s="692" t="s">
        <v>433</v>
      </c>
      <c r="H10" s="693" t="s">
        <v>931</v>
      </c>
      <c r="I10" s="693" t="s">
        <v>932</v>
      </c>
      <c r="J10" s="1159"/>
      <c r="K10" s="1159"/>
      <c r="L10" s="1159"/>
    </row>
    <row r="11" spans="1:12" ht="13.5" thickBot="1">
      <c r="A11" s="691" t="s">
        <v>417</v>
      </c>
      <c r="B11" s="694" t="s">
        <v>418</v>
      </c>
      <c r="C11" s="695" t="s">
        <v>419</v>
      </c>
      <c r="D11" s="696" t="s">
        <v>420</v>
      </c>
      <c r="E11" s="697" t="s">
        <v>421</v>
      </c>
      <c r="F11" s="697" t="s">
        <v>422</v>
      </c>
      <c r="G11" s="697" t="s">
        <v>424</v>
      </c>
      <c r="H11" s="697" t="s">
        <v>425</v>
      </c>
      <c r="I11" s="697" t="s">
        <v>376</v>
      </c>
      <c r="J11" s="698" t="s">
        <v>377</v>
      </c>
      <c r="K11" s="698" t="s">
        <v>377</v>
      </c>
      <c r="L11" s="699" t="s">
        <v>378</v>
      </c>
    </row>
    <row r="12" spans="1:12" ht="19.5" thickBot="1" thickTop="1">
      <c r="A12" s="700">
        <v>1</v>
      </c>
      <c r="B12" s="1164" t="s">
        <v>86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6"/>
    </row>
    <row r="13" spans="1:12" ht="14.25" thickBot="1" thickTop="1">
      <c r="A13" s="701"/>
      <c r="B13" s="1167"/>
      <c r="C13" s="1168"/>
      <c r="D13" s="1168"/>
      <c r="E13" s="1168"/>
      <c r="F13" s="1168"/>
      <c r="G13" s="1168"/>
      <c r="H13" s="1168"/>
      <c r="I13" s="1168"/>
      <c r="J13" s="1168"/>
      <c r="K13" s="1168"/>
      <c r="L13" s="1169"/>
    </row>
    <row r="14" spans="1:12" ht="30" customHeight="1" thickBot="1" thickTop="1">
      <c r="A14" s="702">
        <v>2</v>
      </c>
      <c r="B14" s="1170" t="s">
        <v>933</v>
      </c>
      <c r="C14" s="1171"/>
      <c r="D14" s="1171"/>
      <c r="E14" s="1171"/>
      <c r="F14" s="1171"/>
      <c r="G14" s="1171"/>
      <c r="H14" s="1171"/>
      <c r="I14" s="1171"/>
      <c r="J14" s="1172"/>
      <c r="K14" s="1172"/>
      <c r="L14" s="703"/>
    </row>
    <row r="15" spans="1:12" ht="12.75">
      <c r="A15" s="704">
        <v>3</v>
      </c>
      <c r="B15" s="705" t="s">
        <v>934</v>
      </c>
      <c r="C15" s="706">
        <v>0</v>
      </c>
      <c r="D15" s="707">
        <v>0</v>
      </c>
      <c r="E15" s="707">
        <v>0</v>
      </c>
      <c r="F15" s="707">
        <v>0</v>
      </c>
      <c r="G15" s="707">
        <v>0</v>
      </c>
      <c r="H15" s="707">
        <v>0</v>
      </c>
      <c r="I15" s="707">
        <v>0</v>
      </c>
      <c r="J15" s="708">
        <v>0</v>
      </c>
      <c r="K15" s="708">
        <v>0</v>
      </c>
      <c r="L15" s="1173"/>
    </row>
    <row r="16" spans="1:12" ht="13.5" thickBot="1">
      <c r="A16" s="709">
        <v>4</v>
      </c>
      <c r="B16" s="710" t="s">
        <v>935</v>
      </c>
      <c r="C16" s="711">
        <f>SUM(D16:I16)</f>
        <v>250634800</v>
      </c>
      <c r="D16" s="712">
        <v>0</v>
      </c>
      <c r="E16" s="713">
        <v>59135000</v>
      </c>
      <c r="F16" s="713">
        <v>52411853</v>
      </c>
      <c r="G16" s="713">
        <v>46362649</v>
      </c>
      <c r="H16" s="713">
        <v>46362649</v>
      </c>
      <c r="I16" s="713">
        <v>46362649</v>
      </c>
      <c r="J16" s="714">
        <f>6685989-519024</f>
        <v>6166965</v>
      </c>
      <c r="K16" s="714">
        <f>40118910+13881090+6000000</f>
        <v>60000000</v>
      </c>
      <c r="L16" s="1174"/>
    </row>
    <row r="17" spans="1:12" ht="13.5" thickBot="1">
      <c r="A17" s="715">
        <v>5</v>
      </c>
      <c r="B17" s="716" t="s">
        <v>936</v>
      </c>
      <c r="C17" s="717">
        <f aca="true" t="shared" si="0" ref="C17:K17">SUM(C15:C16)</f>
        <v>250634800</v>
      </c>
      <c r="D17" s="718">
        <f t="shared" si="0"/>
        <v>0</v>
      </c>
      <c r="E17" s="718">
        <f t="shared" si="0"/>
        <v>59135000</v>
      </c>
      <c r="F17" s="718">
        <f t="shared" si="0"/>
        <v>52411853</v>
      </c>
      <c r="G17" s="718">
        <f t="shared" si="0"/>
        <v>46362649</v>
      </c>
      <c r="H17" s="718">
        <f t="shared" si="0"/>
        <v>46362649</v>
      </c>
      <c r="I17" s="718">
        <f t="shared" si="0"/>
        <v>46362649</v>
      </c>
      <c r="J17" s="719">
        <f>SUM(J15:J16)</f>
        <v>6166965</v>
      </c>
      <c r="K17" s="719">
        <f t="shared" si="0"/>
        <v>60000000</v>
      </c>
      <c r="L17" s="1175"/>
    </row>
    <row r="18" spans="1:12" ht="13.5" thickBot="1">
      <c r="A18" s="715"/>
      <c r="B18" s="1176"/>
      <c r="C18" s="1177"/>
      <c r="D18" s="1177"/>
      <c r="E18" s="1177"/>
      <c r="F18" s="1177"/>
      <c r="G18" s="1177"/>
      <c r="H18" s="1177"/>
      <c r="I18" s="1177"/>
      <c r="J18" s="1177"/>
      <c r="K18" s="1178"/>
      <c r="L18" s="720"/>
    </row>
    <row r="19" spans="1:12" ht="12.75">
      <c r="A19" s="721">
        <v>6</v>
      </c>
      <c r="B19" s="722" t="s">
        <v>937</v>
      </c>
      <c r="C19" s="723">
        <f>SUM(D19:I19)</f>
        <v>146735476</v>
      </c>
      <c r="D19" s="724">
        <v>2681560</v>
      </c>
      <c r="E19" s="724">
        <v>20997974</v>
      </c>
      <c r="F19" s="724">
        <v>41039699</v>
      </c>
      <c r="G19" s="724">
        <v>27338748</v>
      </c>
      <c r="H19" s="724">
        <v>27338748</v>
      </c>
      <c r="I19" s="724">
        <v>27338747</v>
      </c>
      <c r="J19" s="1173"/>
      <c r="K19" s="1173"/>
      <c r="L19" s="708">
        <v>29550455</v>
      </c>
    </row>
    <row r="20" spans="1:12" ht="12.75">
      <c r="A20" s="725">
        <v>7</v>
      </c>
      <c r="B20" s="726" t="s">
        <v>938</v>
      </c>
      <c r="C20" s="727">
        <f>SUM(D20:I20)</f>
        <v>88344324</v>
      </c>
      <c r="D20" s="724">
        <v>0</v>
      </c>
      <c r="E20" s="724">
        <v>14084323</v>
      </c>
      <c r="F20" s="724">
        <v>17188297</v>
      </c>
      <c r="G20" s="724">
        <v>19023901</v>
      </c>
      <c r="H20" s="724">
        <v>19023901</v>
      </c>
      <c r="I20" s="724">
        <v>19023902</v>
      </c>
      <c r="J20" s="1174"/>
      <c r="K20" s="1174"/>
      <c r="L20" s="714">
        <f>17254444+13881090-519024</f>
        <v>30616510</v>
      </c>
    </row>
    <row r="21" spans="1:12" ht="13.5" thickBot="1">
      <c r="A21" s="725">
        <v>8</v>
      </c>
      <c r="B21" s="728" t="s">
        <v>939</v>
      </c>
      <c r="C21" s="729">
        <f>SUM(D21:I21)</f>
        <v>15555000</v>
      </c>
      <c r="D21" s="730">
        <v>0</v>
      </c>
      <c r="E21" s="730">
        <f>2893619+1250000</f>
        <v>4143619</v>
      </c>
      <c r="F21" s="730">
        <v>11411381</v>
      </c>
      <c r="G21" s="730">
        <v>0</v>
      </c>
      <c r="H21" s="730">
        <v>0</v>
      </c>
      <c r="I21" s="730">
        <v>0</v>
      </c>
      <c r="J21" s="1174"/>
      <c r="K21" s="1174"/>
      <c r="L21" s="731">
        <f>6000000</f>
        <v>6000000</v>
      </c>
    </row>
    <row r="22" spans="1:12" ht="13.5" thickBot="1">
      <c r="A22" s="732">
        <v>9</v>
      </c>
      <c r="B22" s="733" t="s">
        <v>361</v>
      </c>
      <c r="C22" s="734">
        <f aca="true" t="shared" si="1" ref="C22:I22">SUM(C19:C21)</f>
        <v>250634800</v>
      </c>
      <c r="D22" s="735">
        <f t="shared" si="1"/>
        <v>2681560</v>
      </c>
      <c r="E22" s="735">
        <f t="shared" si="1"/>
        <v>39225916</v>
      </c>
      <c r="F22" s="735">
        <f t="shared" si="1"/>
        <v>69639377</v>
      </c>
      <c r="G22" s="735">
        <f t="shared" si="1"/>
        <v>46362649</v>
      </c>
      <c r="H22" s="735">
        <f t="shared" si="1"/>
        <v>46362649</v>
      </c>
      <c r="I22" s="735">
        <f t="shared" si="1"/>
        <v>46362649</v>
      </c>
      <c r="J22" s="1179"/>
      <c r="K22" s="1179"/>
      <c r="L22" s="736">
        <f>SUM(L19:L21)</f>
        <v>66166965</v>
      </c>
    </row>
    <row r="23" spans="1:12" ht="14.25" thickBot="1" thickTop="1">
      <c r="A23" s="737"/>
      <c r="B23" s="1167"/>
      <c r="C23" s="1168"/>
      <c r="D23" s="1168"/>
      <c r="E23" s="1168"/>
      <c r="F23" s="1168"/>
      <c r="G23" s="1168"/>
      <c r="H23" s="1168"/>
      <c r="I23" s="1168"/>
      <c r="J23" s="1168"/>
      <c r="K23" s="1168"/>
      <c r="L23" s="1169"/>
    </row>
    <row r="24" spans="1:12" ht="16.5" thickBot="1" thickTop="1">
      <c r="A24" s="702">
        <v>10</v>
      </c>
      <c r="B24" s="1180" t="s">
        <v>940</v>
      </c>
      <c r="C24" s="1181"/>
      <c r="D24" s="1181"/>
      <c r="E24" s="1181"/>
      <c r="F24" s="1181"/>
      <c r="G24" s="1181"/>
      <c r="H24" s="1181"/>
      <c r="I24" s="1181"/>
      <c r="J24" s="1182"/>
      <c r="K24" s="1182"/>
      <c r="L24" s="703"/>
    </row>
    <row r="25" spans="1:12" ht="12.75">
      <c r="A25" s="704">
        <v>11</v>
      </c>
      <c r="B25" s="738" t="s">
        <v>934</v>
      </c>
      <c r="C25" s="727">
        <f>SUM(D25:F25)</f>
        <v>22542700</v>
      </c>
      <c r="D25" s="739">
        <v>0</v>
      </c>
      <c r="E25" s="739">
        <v>151044</v>
      </c>
      <c r="F25" s="739">
        <v>22391656</v>
      </c>
      <c r="G25" s="740"/>
      <c r="H25" s="740"/>
      <c r="I25" s="740"/>
      <c r="J25" s="708"/>
      <c r="K25" s="708">
        <v>0</v>
      </c>
      <c r="L25" s="1173"/>
    </row>
    <row r="26" spans="1:12" ht="13.5" thickBot="1">
      <c r="A26" s="715">
        <v>12</v>
      </c>
      <c r="B26" s="710" t="s">
        <v>935</v>
      </c>
      <c r="C26" s="727">
        <f>SUM(D26:F26)</f>
        <v>242560000</v>
      </c>
      <c r="D26" s="712">
        <v>242560000</v>
      </c>
      <c r="E26" s="713">
        <v>0</v>
      </c>
      <c r="F26" s="713">
        <v>0</v>
      </c>
      <c r="G26" s="741"/>
      <c r="H26" s="741"/>
      <c r="I26" s="742"/>
      <c r="J26" s="714">
        <f>45188110+22387266</f>
        <v>67575376</v>
      </c>
      <c r="K26" s="714"/>
      <c r="L26" s="1174"/>
    </row>
    <row r="27" spans="1:12" ht="13.5" thickBot="1">
      <c r="A27" s="715">
        <v>13</v>
      </c>
      <c r="B27" s="716" t="s">
        <v>936</v>
      </c>
      <c r="C27" s="717">
        <f aca="true" t="shared" si="2" ref="C27:K27">SUM(C25:C26)</f>
        <v>265102700</v>
      </c>
      <c r="D27" s="718">
        <f t="shared" si="2"/>
        <v>242560000</v>
      </c>
      <c r="E27" s="718">
        <f t="shared" si="2"/>
        <v>151044</v>
      </c>
      <c r="F27" s="718">
        <f t="shared" si="2"/>
        <v>22391656</v>
      </c>
      <c r="G27" s="743"/>
      <c r="H27" s="743"/>
      <c r="I27" s="743"/>
      <c r="J27" s="719">
        <f>SUM(J25:J26)</f>
        <v>67575376</v>
      </c>
      <c r="K27" s="719">
        <f t="shared" si="2"/>
        <v>0</v>
      </c>
      <c r="L27" s="1175"/>
    </row>
    <row r="28" spans="1:12" ht="13.5" thickBot="1">
      <c r="A28" s="715"/>
      <c r="B28" s="1176"/>
      <c r="C28" s="1177"/>
      <c r="D28" s="1177"/>
      <c r="E28" s="1177"/>
      <c r="F28" s="1177"/>
      <c r="G28" s="1177"/>
      <c r="H28" s="1177"/>
      <c r="I28" s="1177"/>
      <c r="J28" s="1177"/>
      <c r="K28" s="1178"/>
      <c r="L28" s="720"/>
    </row>
    <row r="29" spans="1:12" ht="12.75">
      <c r="A29" s="725">
        <v>14</v>
      </c>
      <c r="B29" s="848" t="s">
        <v>938</v>
      </c>
      <c r="C29" s="744">
        <f>SUM(D29:F29)</f>
        <v>242560000</v>
      </c>
      <c r="D29" s="745">
        <v>392025</v>
      </c>
      <c r="E29" s="745">
        <v>12124400</v>
      </c>
      <c r="F29" s="745">
        <v>230043575</v>
      </c>
      <c r="G29" s="740"/>
      <c r="H29" s="740"/>
      <c r="I29" s="740"/>
      <c r="J29" s="1173"/>
      <c r="K29" s="1173"/>
      <c r="L29" s="708">
        <v>2533963</v>
      </c>
    </row>
    <row r="30" spans="1:12" ht="12.75">
      <c r="A30" s="725">
        <v>15</v>
      </c>
      <c r="B30" s="765" t="s">
        <v>939</v>
      </c>
      <c r="C30" s="727">
        <f>SUM(D30:F30)</f>
        <v>22542700</v>
      </c>
      <c r="D30" s="746">
        <v>0</v>
      </c>
      <c r="E30" s="746">
        <v>151044</v>
      </c>
      <c r="F30" s="746">
        <v>22391656</v>
      </c>
      <c r="G30" s="776"/>
      <c r="H30" s="776"/>
      <c r="I30" s="777"/>
      <c r="J30" s="1174"/>
      <c r="K30" s="1174"/>
      <c r="L30" s="714">
        <f>42654147-13005804+22387266</f>
        <v>52035609</v>
      </c>
    </row>
    <row r="31" spans="1:12" ht="13.5" thickBot="1">
      <c r="A31" s="725">
        <v>16</v>
      </c>
      <c r="B31" s="750" t="s">
        <v>972</v>
      </c>
      <c r="C31" s="773"/>
      <c r="D31" s="849"/>
      <c r="E31" s="759"/>
      <c r="F31" s="759"/>
      <c r="G31" s="834"/>
      <c r="H31" s="834"/>
      <c r="I31" s="835"/>
      <c r="J31" s="1174"/>
      <c r="K31" s="1174"/>
      <c r="L31" s="761">
        <v>13005804</v>
      </c>
    </row>
    <row r="32" spans="1:12" ht="13.5" thickBot="1">
      <c r="A32" s="732">
        <v>17</v>
      </c>
      <c r="B32" s="733" t="s">
        <v>361</v>
      </c>
      <c r="C32" s="734">
        <f>SUM(C29:C31)</f>
        <v>265102700</v>
      </c>
      <c r="D32" s="735">
        <f>SUM(D29:D31)</f>
        <v>392025</v>
      </c>
      <c r="E32" s="735">
        <f>SUM(E29:E31)</f>
        <v>12275444</v>
      </c>
      <c r="F32" s="735">
        <f>SUM(F29:F31)</f>
        <v>252435231</v>
      </c>
      <c r="G32" s="743"/>
      <c r="H32" s="743"/>
      <c r="I32" s="743"/>
      <c r="J32" s="1179"/>
      <c r="K32" s="1179"/>
      <c r="L32" s="736">
        <f>SUM(L29:L31)</f>
        <v>67575376</v>
      </c>
    </row>
    <row r="33" spans="1:12" ht="14.25" thickBot="1" thickTop="1">
      <c r="A33" s="737"/>
      <c r="B33" s="1167"/>
      <c r="C33" s="1168"/>
      <c r="D33" s="1168"/>
      <c r="E33" s="1168"/>
      <c r="F33" s="1168"/>
      <c r="G33" s="1168"/>
      <c r="H33" s="1168"/>
      <c r="I33" s="1168"/>
      <c r="J33" s="1168"/>
      <c r="K33" s="1168"/>
      <c r="L33" s="1169"/>
    </row>
    <row r="34" spans="1:12" ht="16.5" thickBot="1" thickTop="1">
      <c r="A34" s="702">
        <v>18</v>
      </c>
      <c r="B34" s="1170" t="s">
        <v>955</v>
      </c>
      <c r="C34" s="1171"/>
      <c r="D34" s="1171"/>
      <c r="E34" s="1171"/>
      <c r="F34" s="1171"/>
      <c r="G34" s="1171"/>
      <c r="H34" s="1171"/>
      <c r="I34" s="1171"/>
      <c r="J34" s="1172"/>
      <c r="K34" s="1172"/>
      <c r="L34" s="703"/>
    </row>
    <row r="35" spans="1:12" ht="12.75">
      <c r="A35" s="704">
        <v>19</v>
      </c>
      <c r="B35" s="705" t="s">
        <v>934</v>
      </c>
      <c r="C35" s="706">
        <v>0</v>
      </c>
      <c r="D35" s="752"/>
      <c r="E35" s="707">
        <v>0</v>
      </c>
      <c r="F35" s="707">
        <v>0</v>
      </c>
      <c r="G35" s="707">
        <v>0</v>
      </c>
      <c r="H35" s="752"/>
      <c r="I35" s="752"/>
      <c r="J35" s="708">
        <v>0</v>
      </c>
      <c r="K35" s="708">
        <v>0</v>
      </c>
      <c r="L35" s="1173"/>
    </row>
    <row r="36" spans="1:12" ht="12.75">
      <c r="A36" s="704">
        <v>20</v>
      </c>
      <c r="B36" s="747" t="s">
        <v>971</v>
      </c>
      <c r="C36" s="832"/>
      <c r="D36" s="833"/>
      <c r="E36" s="813"/>
      <c r="F36" s="813"/>
      <c r="G36" s="813"/>
      <c r="H36" s="833"/>
      <c r="I36" s="833"/>
      <c r="J36" s="761"/>
      <c r="K36" s="761">
        <v>2688779</v>
      </c>
      <c r="L36" s="1174"/>
    </row>
    <row r="37" spans="1:12" ht="13.5" thickBot="1">
      <c r="A37" s="709">
        <v>21</v>
      </c>
      <c r="B37" s="710" t="s">
        <v>935</v>
      </c>
      <c r="C37" s="711">
        <v>202321812</v>
      </c>
      <c r="D37" s="753"/>
      <c r="E37" s="713">
        <f>104483115+10976885</f>
        <v>115460000</v>
      </c>
      <c r="F37" s="713">
        <v>75330433</v>
      </c>
      <c r="G37" s="713">
        <v>11531379</v>
      </c>
      <c r="H37" s="753"/>
      <c r="I37" s="753"/>
      <c r="J37" s="714">
        <f>54734977-13077629</f>
        <v>41657348</v>
      </c>
      <c r="K37" s="714">
        <f>57968707</f>
        <v>57968707</v>
      </c>
      <c r="L37" s="1174"/>
    </row>
    <row r="38" spans="1:12" ht="13.5" thickBot="1">
      <c r="A38" s="715">
        <v>22</v>
      </c>
      <c r="B38" s="716" t="s">
        <v>936</v>
      </c>
      <c r="C38" s="717">
        <f aca="true" t="shared" si="3" ref="C38:K38">SUM(C35:C37)</f>
        <v>202321812</v>
      </c>
      <c r="D38" s="754"/>
      <c r="E38" s="718">
        <f t="shared" si="3"/>
        <v>115460000</v>
      </c>
      <c r="F38" s="718">
        <f t="shared" si="3"/>
        <v>75330433</v>
      </c>
      <c r="G38" s="718">
        <f t="shared" si="3"/>
        <v>11531379</v>
      </c>
      <c r="H38" s="754"/>
      <c r="I38" s="754"/>
      <c r="J38" s="719">
        <f>SUM(J35:J37)</f>
        <v>41657348</v>
      </c>
      <c r="K38" s="719">
        <f t="shared" si="3"/>
        <v>60657486</v>
      </c>
      <c r="L38" s="1175"/>
    </row>
    <row r="39" spans="1:12" ht="13.5" thickBot="1">
      <c r="A39" s="715"/>
      <c r="B39" s="1176"/>
      <c r="C39" s="1177"/>
      <c r="D39" s="1177"/>
      <c r="E39" s="1177"/>
      <c r="F39" s="1177"/>
      <c r="G39" s="1177"/>
      <c r="H39" s="1177"/>
      <c r="I39" s="1177"/>
      <c r="J39" s="1177"/>
      <c r="K39" s="1178"/>
      <c r="L39" s="720"/>
    </row>
    <row r="40" spans="1:12" ht="13.5" thickBot="1">
      <c r="A40" s="721">
        <v>23</v>
      </c>
      <c r="B40" s="722" t="s">
        <v>937</v>
      </c>
      <c r="C40" s="1185">
        <v>89908666</v>
      </c>
      <c r="D40" s="755"/>
      <c r="E40" s="745">
        <f>8545743+1</f>
        <v>8545744</v>
      </c>
      <c r="F40" s="739">
        <v>63219192</v>
      </c>
      <c r="G40" s="739">
        <v>9109530</v>
      </c>
      <c r="H40" s="755"/>
      <c r="I40" s="755"/>
      <c r="J40" s="1173"/>
      <c r="K40" s="1173"/>
      <c r="L40" s="708">
        <f>22115840+16410600+2543643-416917-64622</f>
        <v>40588544</v>
      </c>
    </row>
    <row r="41" spans="1:12" ht="26.25" thickBot="1">
      <c r="A41" s="756">
        <v>24</v>
      </c>
      <c r="B41" s="757" t="s">
        <v>942</v>
      </c>
      <c r="C41" s="1186"/>
      <c r="D41" s="758"/>
      <c r="E41" s="759">
        <v>860400</v>
      </c>
      <c r="F41" s="760">
        <v>6883200</v>
      </c>
      <c r="G41" s="760">
        <v>1290600</v>
      </c>
      <c r="H41" s="758"/>
      <c r="I41" s="758"/>
      <c r="J41" s="1174"/>
      <c r="K41" s="1174"/>
      <c r="L41" s="761">
        <v>4230000</v>
      </c>
    </row>
    <row r="42" spans="1:12" ht="25.5">
      <c r="A42" s="756">
        <v>25</v>
      </c>
      <c r="B42" s="757" t="s">
        <v>943</v>
      </c>
      <c r="C42" s="762"/>
      <c r="D42" s="758"/>
      <c r="E42" s="759"/>
      <c r="F42" s="760"/>
      <c r="G42" s="760"/>
      <c r="H42" s="758"/>
      <c r="I42" s="758"/>
      <c r="J42" s="1174"/>
      <c r="K42" s="1174"/>
      <c r="L42" s="761">
        <f>2881247+416917+64622</f>
        <v>3362786</v>
      </c>
    </row>
    <row r="43" spans="1:12" ht="12.75">
      <c r="A43" s="725">
        <v>26</v>
      </c>
      <c r="B43" s="726" t="s">
        <v>938</v>
      </c>
      <c r="C43" s="763">
        <v>88083888</v>
      </c>
      <c r="D43" s="764"/>
      <c r="E43" s="713">
        <v>4803780</v>
      </c>
      <c r="F43" s="712">
        <v>82148859</v>
      </c>
      <c r="G43" s="712">
        <v>1131249</v>
      </c>
      <c r="H43" s="764"/>
      <c r="I43" s="764"/>
      <c r="J43" s="1174"/>
      <c r="K43" s="1174"/>
      <c r="L43" s="714">
        <f>22523810+60657486-13077629-18954243</f>
        <v>51149424</v>
      </c>
    </row>
    <row r="44" spans="1:12" ht="12.75">
      <c r="A44" s="725">
        <v>27</v>
      </c>
      <c r="B44" s="765" t="s">
        <v>939</v>
      </c>
      <c r="C44" s="766">
        <v>17800696</v>
      </c>
      <c r="D44" s="767"/>
      <c r="E44" s="713">
        <v>13003105</v>
      </c>
      <c r="F44" s="712">
        <v>4797591</v>
      </c>
      <c r="G44" s="712">
        <v>0</v>
      </c>
      <c r="H44" s="767"/>
      <c r="I44" s="767"/>
      <c r="J44" s="1174"/>
      <c r="K44" s="1174"/>
      <c r="L44" s="714">
        <v>2460790</v>
      </c>
    </row>
    <row r="45" spans="1:12" ht="13.5" thickBot="1">
      <c r="A45" s="725">
        <v>28</v>
      </c>
      <c r="B45" s="768" t="s">
        <v>944</v>
      </c>
      <c r="C45" s="763">
        <v>6528562</v>
      </c>
      <c r="D45" s="769"/>
      <c r="E45" s="770"/>
      <c r="F45" s="771">
        <v>6528562</v>
      </c>
      <c r="G45" s="771">
        <v>0</v>
      </c>
      <c r="H45" s="769"/>
      <c r="I45" s="769"/>
      <c r="J45" s="1174"/>
      <c r="K45" s="1174"/>
      <c r="L45" s="772">
        <v>523290</v>
      </c>
    </row>
    <row r="46" spans="1:12" ht="13.5" thickBot="1">
      <c r="A46" s="732">
        <v>29</v>
      </c>
      <c r="B46" s="733" t="s">
        <v>361</v>
      </c>
      <c r="C46" s="734">
        <f>SUM(C40:C45)</f>
        <v>202321812</v>
      </c>
      <c r="D46" s="751"/>
      <c r="E46" s="735">
        <f>SUM(E40:E45)</f>
        <v>27213029</v>
      </c>
      <c r="F46" s="735">
        <f>SUM(F40:F45)</f>
        <v>163577404</v>
      </c>
      <c r="G46" s="735">
        <f>SUM(G40:G45)</f>
        <v>11531379</v>
      </c>
      <c r="H46" s="751"/>
      <c r="I46" s="751"/>
      <c r="J46" s="1179"/>
      <c r="K46" s="1179"/>
      <c r="L46" s="736">
        <f>SUM(L40:L45)</f>
        <v>102314834</v>
      </c>
    </row>
    <row r="47" spans="1:12" ht="14.25" thickBot="1" thickTop="1">
      <c r="A47" s="701"/>
      <c r="B47" s="1167"/>
      <c r="C47" s="1168"/>
      <c r="D47" s="1168"/>
      <c r="E47" s="1168"/>
      <c r="F47" s="1168"/>
      <c r="G47" s="1168"/>
      <c r="H47" s="1168"/>
      <c r="I47" s="1168"/>
      <c r="J47" s="1168"/>
      <c r="K47" s="1168"/>
      <c r="L47" s="1169"/>
    </row>
    <row r="48" spans="1:12" ht="16.5" thickBot="1" thickTop="1">
      <c r="A48" s="702">
        <v>30</v>
      </c>
      <c r="B48" s="1170" t="s">
        <v>956</v>
      </c>
      <c r="C48" s="1171"/>
      <c r="D48" s="1171"/>
      <c r="E48" s="1171"/>
      <c r="F48" s="1171"/>
      <c r="G48" s="1171"/>
      <c r="H48" s="1171"/>
      <c r="I48" s="1171"/>
      <c r="J48" s="1172"/>
      <c r="K48" s="1172"/>
      <c r="L48" s="703"/>
    </row>
    <row r="49" spans="1:12" ht="12.75">
      <c r="A49" s="704">
        <v>31</v>
      </c>
      <c r="B49" s="705" t="s">
        <v>934</v>
      </c>
      <c r="C49" s="706">
        <v>0</v>
      </c>
      <c r="D49" s="752"/>
      <c r="E49" s="707">
        <v>0</v>
      </c>
      <c r="F49" s="707">
        <v>0</v>
      </c>
      <c r="G49" s="707">
        <v>0</v>
      </c>
      <c r="H49" s="707"/>
      <c r="I49" s="752"/>
      <c r="J49" s="708">
        <v>0</v>
      </c>
      <c r="K49" s="708">
        <v>0</v>
      </c>
      <c r="L49" s="1173"/>
    </row>
    <row r="50" spans="1:12" ht="13.5" thickBot="1">
      <c r="A50" s="709">
        <v>32</v>
      </c>
      <c r="B50" s="710" t="s">
        <v>935</v>
      </c>
      <c r="C50" s="711">
        <v>62107135</v>
      </c>
      <c r="D50" s="753"/>
      <c r="E50" s="713">
        <v>32379432</v>
      </c>
      <c r="F50" s="713">
        <v>8244379</v>
      </c>
      <c r="G50" s="713">
        <v>20495112</v>
      </c>
      <c r="H50" s="713">
        <v>988212</v>
      </c>
      <c r="I50" s="753"/>
      <c r="J50" s="714">
        <f>12082950-10911298</f>
        <v>1171652</v>
      </c>
      <c r="K50" s="714">
        <f>5788759+23938936</f>
        <v>29727695</v>
      </c>
      <c r="L50" s="1174"/>
    </row>
    <row r="51" spans="1:12" ht="13.5" thickBot="1">
      <c r="A51" s="715">
        <v>33</v>
      </c>
      <c r="B51" s="716" t="s">
        <v>936</v>
      </c>
      <c r="C51" s="717">
        <f>SUM(C49:C50)</f>
        <v>62107135</v>
      </c>
      <c r="D51" s="754"/>
      <c r="E51" s="718">
        <f>SUM(E49:E50)</f>
        <v>32379432</v>
      </c>
      <c r="F51" s="718">
        <f>SUM(F49:F50)</f>
        <v>8244379</v>
      </c>
      <c r="G51" s="718">
        <f>SUM(G49:G50)</f>
        <v>20495112</v>
      </c>
      <c r="H51" s="718">
        <f>SUM(H49:H50)</f>
        <v>988212</v>
      </c>
      <c r="I51" s="754"/>
      <c r="J51" s="719">
        <f>SUM(J49:J50)</f>
        <v>1171652</v>
      </c>
      <c r="K51" s="719">
        <f>SUM(K49:K50)</f>
        <v>29727695</v>
      </c>
      <c r="L51" s="1175"/>
    </row>
    <row r="52" spans="1:12" ht="13.5" thickBot="1">
      <c r="A52" s="715"/>
      <c r="B52" s="1176"/>
      <c r="C52" s="1177"/>
      <c r="D52" s="1177"/>
      <c r="E52" s="1177"/>
      <c r="F52" s="1177"/>
      <c r="G52" s="1177"/>
      <c r="H52" s="1177"/>
      <c r="I52" s="1177"/>
      <c r="J52" s="1177"/>
      <c r="K52" s="1178"/>
      <c r="L52" s="720"/>
    </row>
    <row r="53" spans="1:12" ht="13.5" thickBot="1">
      <c r="A53" s="721">
        <v>34</v>
      </c>
      <c r="B53" s="722" t="s">
        <v>937</v>
      </c>
      <c r="C53" s="1185">
        <v>30232800</v>
      </c>
      <c r="D53" s="755"/>
      <c r="E53" s="745">
        <v>1493750</v>
      </c>
      <c r="F53" s="739">
        <v>10460450</v>
      </c>
      <c r="G53" s="739">
        <v>6062400</v>
      </c>
      <c r="H53" s="739">
        <v>505200</v>
      </c>
      <c r="I53" s="755"/>
      <c r="J53" s="1173"/>
      <c r="K53" s="1173"/>
      <c r="L53" s="708">
        <f>10059909+5000000+875000</f>
        <v>15934909</v>
      </c>
    </row>
    <row r="54" spans="1:12" ht="25.5">
      <c r="A54" s="756">
        <v>35</v>
      </c>
      <c r="B54" s="757" t="s">
        <v>943</v>
      </c>
      <c r="C54" s="1186"/>
      <c r="D54" s="758"/>
      <c r="E54" s="759">
        <v>3346000</v>
      </c>
      <c r="F54" s="760">
        <v>4015200</v>
      </c>
      <c r="G54" s="760">
        <v>4015200</v>
      </c>
      <c r="H54" s="760">
        <v>334600</v>
      </c>
      <c r="I54" s="758"/>
      <c r="J54" s="1174"/>
      <c r="K54" s="1174"/>
      <c r="L54" s="761">
        <v>5569500</v>
      </c>
    </row>
    <row r="55" spans="1:12" ht="12.75">
      <c r="A55" s="725">
        <v>36</v>
      </c>
      <c r="B55" s="726" t="s">
        <v>938</v>
      </c>
      <c r="C55" s="727">
        <v>28874335</v>
      </c>
      <c r="D55" s="764"/>
      <c r="E55" s="713">
        <v>10552557</v>
      </c>
      <c r="F55" s="712">
        <v>8855854</v>
      </c>
      <c r="G55" s="712">
        <v>9417512</v>
      </c>
      <c r="H55" s="712">
        <v>48412</v>
      </c>
      <c r="I55" s="764"/>
      <c r="J55" s="1174"/>
      <c r="K55" s="1174"/>
      <c r="L55" s="714">
        <f>2242300+18063936-10911298</f>
        <v>9394938</v>
      </c>
    </row>
    <row r="56" spans="1:12" ht="13.5" thickBot="1">
      <c r="A56" s="725">
        <v>37</v>
      </c>
      <c r="B56" s="765" t="s">
        <v>945</v>
      </c>
      <c r="C56" s="773">
        <v>3000000</v>
      </c>
      <c r="D56" s="767"/>
      <c r="E56" s="713">
        <v>0</v>
      </c>
      <c r="F56" s="712">
        <v>1900000</v>
      </c>
      <c r="G56" s="712">
        <v>1000000</v>
      </c>
      <c r="H56" s="712">
        <v>100000</v>
      </c>
      <c r="I56" s="767"/>
      <c r="J56" s="1174"/>
      <c r="K56" s="1174"/>
      <c r="L56" s="714"/>
    </row>
    <row r="57" spans="1:12" ht="13.5" thickBot="1">
      <c r="A57" s="732">
        <v>38</v>
      </c>
      <c r="B57" s="733" t="s">
        <v>361</v>
      </c>
      <c r="C57" s="734">
        <f>SUM(C53:C56)</f>
        <v>62107135</v>
      </c>
      <c r="D57" s="751"/>
      <c r="E57" s="735">
        <f>SUM(E53:E56)</f>
        <v>15392307</v>
      </c>
      <c r="F57" s="735">
        <f>SUM(F53:F56)</f>
        <v>25231504</v>
      </c>
      <c r="G57" s="735">
        <f>SUM(G53:G56)</f>
        <v>20495112</v>
      </c>
      <c r="H57" s="735">
        <f>SUM(H53:H56)</f>
        <v>988212</v>
      </c>
      <c r="I57" s="751"/>
      <c r="J57" s="1179"/>
      <c r="K57" s="1179"/>
      <c r="L57" s="736">
        <f>SUM(L53:L56)</f>
        <v>30899347</v>
      </c>
    </row>
    <row r="58" spans="1:12" ht="14.25" thickBot="1" thickTop="1">
      <c r="A58" s="715"/>
      <c r="B58" s="1176"/>
      <c r="C58" s="1177"/>
      <c r="D58" s="1177"/>
      <c r="E58" s="1177"/>
      <c r="F58" s="1177"/>
      <c r="G58" s="1177"/>
      <c r="H58" s="1177"/>
      <c r="I58" s="1177"/>
      <c r="J58" s="1177"/>
      <c r="K58" s="1178"/>
      <c r="L58" s="720"/>
    </row>
    <row r="59" spans="1:12" ht="16.5" thickBot="1" thickTop="1">
      <c r="A59" s="702">
        <v>39</v>
      </c>
      <c r="B59" s="1180" t="s">
        <v>946</v>
      </c>
      <c r="C59" s="1181"/>
      <c r="D59" s="1181"/>
      <c r="E59" s="1181"/>
      <c r="F59" s="1181"/>
      <c r="G59" s="1181"/>
      <c r="H59" s="1181"/>
      <c r="I59" s="1181"/>
      <c r="J59" s="1182"/>
      <c r="K59" s="1182"/>
      <c r="L59" s="703"/>
    </row>
    <row r="60" spans="1:12" ht="12.75">
      <c r="A60" s="704">
        <v>40</v>
      </c>
      <c r="B60" s="738" t="s">
        <v>934</v>
      </c>
      <c r="C60" s="723">
        <v>0</v>
      </c>
      <c r="D60" s="767"/>
      <c r="E60" s="745">
        <v>0</v>
      </c>
      <c r="F60" s="739">
        <v>0</v>
      </c>
      <c r="G60" s="739">
        <v>0</v>
      </c>
      <c r="H60" s="740"/>
      <c r="I60" s="740"/>
      <c r="J60" s="708">
        <v>0</v>
      </c>
      <c r="K60" s="708">
        <v>254000</v>
      </c>
      <c r="L60" s="1173"/>
    </row>
    <row r="61" spans="1:12" ht="13.5" thickBot="1">
      <c r="A61" s="715">
        <v>41</v>
      </c>
      <c r="B61" s="710" t="s">
        <v>935</v>
      </c>
      <c r="C61" s="727">
        <v>196302400</v>
      </c>
      <c r="D61" s="767"/>
      <c r="E61" s="713">
        <v>196302400</v>
      </c>
      <c r="F61" s="713">
        <v>0</v>
      </c>
      <c r="G61" s="713">
        <v>0</v>
      </c>
      <c r="H61" s="741"/>
      <c r="I61" s="742"/>
      <c r="J61" s="714">
        <f>192295450-911000</f>
        <v>191384450</v>
      </c>
      <c r="K61" s="714"/>
      <c r="L61" s="1174"/>
    </row>
    <row r="62" spans="1:12" ht="13.5" thickBot="1">
      <c r="A62" s="715">
        <v>42</v>
      </c>
      <c r="B62" s="716" t="s">
        <v>936</v>
      </c>
      <c r="C62" s="717">
        <f>SUM(C60:C61)</f>
        <v>196302400</v>
      </c>
      <c r="D62" s="748"/>
      <c r="E62" s="718">
        <f>SUM(E60:E61)</f>
        <v>196302400</v>
      </c>
      <c r="F62" s="718">
        <f>SUM(F60:F61)</f>
        <v>0</v>
      </c>
      <c r="G62" s="718">
        <f>SUM(G60:G61)</f>
        <v>0</v>
      </c>
      <c r="H62" s="748"/>
      <c r="I62" s="749"/>
      <c r="J62" s="719">
        <f>SUM(J60:J61)</f>
        <v>191384450</v>
      </c>
      <c r="K62" s="719">
        <f>SUM(K60:K61)</f>
        <v>254000</v>
      </c>
      <c r="L62" s="1175"/>
    </row>
    <row r="63" spans="1:12" ht="13.5" thickBot="1">
      <c r="A63" s="715"/>
      <c r="B63" s="1176"/>
      <c r="C63" s="1177"/>
      <c r="D63" s="1177"/>
      <c r="E63" s="1177"/>
      <c r="F63" s="1177"/>
      <c r="G63" s="1177"/>
      <c r="H63" s="1177"/>
      <c r="I63" s="1177"/>
      <c r="J63" s="1177"/>
      <c r="K63" s="1178"/>
      <c r="L63" s="720"/>
    </row>
    <row r="64" spans="1:12" ht="12.75">
      <c r="A64" s="725">
        <v>43</v>
      </c>
      <c r="B64" s="722" t="s">
        <v>939</v>
      </c>
      <c r="C64" s="723">
        <f>SUM(E64:G64)</f>
        <v>196302400</v>
      </c>
      <c r="D64" s="743"/>
      <c r="E64" s="745">
        <v>0</v>
      </c>
      <c r="F64" s="745">
        <v>96822314</v>
      </c>
      <c r="G64" s="745">
        <v>99480086</v>
      </c>
      <c r="H64" s="743"/>
      <c r="I64" s="774"/>
      <c r="J64" s="1173"/>
      <c r="K64" s="1173"/>
      <c r="L64" s="708">
        <f>187978206-911000</f>
        <v>187067206</v>
      </c>
    </row>
    <row r="65" spans="1:12" ht="12.75">
      <c r="A65" s="725">
        <v>44</v>
      </c>
      <c r="B65" s="750" t="s">
        <v>941</v>
      </c>
      <c r="C65" s="727">
        <v>0</v>
      </c>
      <c r="D65" s="775"/>
      <c r="E65" s="746">
        <v>0</v>
      </c>
      <c r="F65" s="746">
        <v>0</v>
      </c>
      <c r="G65" s="746">
        <v>0</v>
      </c>
      <c r="H65" s="776"/>
      <c r="I65" s="777"/>
      <c r="J65" s="1174"/>
      <c r="K65" s="1174"/>
      <c r="L65" s="714">
        <v>0</v>
      </c>
    </row>
    <row r="66" spans="1:12" ht="12.75">
      <c r="A66" s="725">
        <v>45</v>
      </c>
      <c r="B66" s="726" t="s">
        <v>938</v>
      </c>
      <c r="C66" s="727"/>
      <c r="D66" s="775"/>
      <c r="E66" s="746"/>
      <c r="F66" s="746"/>
      <c r="G66" s="746"/>
      <c r="H66" s="776"/>
      <c r="I66" s="777"/>
      <c r="J66" s="1174"/>
      <c r="K66" s="1174"/>
      <c r="L66" s="714">
        <v>4317244</v>
      </c>
    </row>
    <row r="67" spans="1:12" ht="13.5" thickBot="1">
      <c r="A67" s="725">
        <v>46</v>
      </c>
      <c r="B67" s="726" t="s">
        <v>947</v>
      </c>
      <c r="C67" s="729"/>
      <c r="D67" s="778"/>
      <c r="E67" s="779"/>
      <c r="F67" s="779"/>
      <c r="G67" s="779"/>
      <c r="H67" s="741"/>
      <c r="I67" s="742"/>
      <c r="J67" s="1174"/>
      <c r="K67" s="1174"/>
      <c r="L67" s="772">
        <v>254000</v>
      </c>
    </row>
    <row r="68" spans="1:12" ht="13.5" thickBot="1">
      <c r="A68" s="732">
        <v>47</v>
      </c>
      <c r="B68" s="733" t="s">
        <v>361</v>
      </c>
      <c r="C68" s="734">
        <f>SUM(C64:C65)</f>
        <v>196302400</v>
      </c>
      <c r="D68" s="751"/>
      <c r="E68" s="735">
        <f>SUM(E64:E65)</f>
        <v>0</v>
      </c>
      <c r="F68" s="735">
        <f>SUM(F64:F65)</f>
        <v>96822314</v>
      </c>
      <c r="G68" s="735">
        <f>SUM(G64:G65)</f>
        <v>99480086</v>
      </c>
      <c r="H68" s="751"/>
      <c r="I68" s="751"/>
      <c r="J68" s="1179"/>
      <c r="K68" s="1179"/>
      <c r="L68" s="736">
        <f>SUM(L64:L67)</f>
        <v>191638450</v>
      </c>
    </row>
    <row r="69" spans="1:12" ht="14.25" thickBot="1" thickTop="1">
      <c r="A69" s="715"/>
      <c r="B69" s="1176"/>
      <c r="C69" s="1177"/>
      <c r="D69" s="1177"/>
      <c r="E69" s="1177"/>
      <c r="F69" s="1177"/>
      <c r="G69" s="1177"/>
      <c r="H69" s="1177"/>
      <c r="I69" s="1177"/>
      <c r="J69" s="1177"/>
      <c r="K69" s="1178"/>
      <c r="L69" s="720"/>
    </row>
    <row r="70" spans="1:12" ht="16.5" thickBot="1" thickTop="1">
      <c r="A70" s="702">
        <v>48</v>
      </c>
      <c r="B70" s="1180" t="s">
        <v>948</v>
      </c>
      <c r="C70" s="1181"/>
      <c r="D70" s="1181"/>
      <c r="E70" s="1181"/>
      <c r="F70" s="1181"/>
      <c r="G70" s="1181"/>
      <c r="H70" s="1181"/>
      <c r="I70" s="1181"/>
      <c r="J70" s="1182"/>
      <c r="K70" s="1182"/>
      <c r="L70" s="703"/>
    </row>
    <row r="71" spans="1:12" ht="12.75">
      <c r="A71" s="704">
        <v>49</v>
      </c>
      <c r="B71" s="738" t="s">
        <v>934</v>
      </c>
      <c r="C71" s="723">
        <v>0</v>
      </c>
      <c r="D71" s="767"/>
      <c r="E71" s="745">
        <v>0</v>
      </c>
      <c r="F71" s="739">
        <v>0</v>
      </c>
      <c r="G71" s="740"/>
      <c r="H71" s="740"/>
      <c r="I71" s="740"/>
      <c r="J71" s="708">
        <v>0</v>
      </c>
      <c r="K71" s="708">
        <f>254000+500000</f>
        <v>754000</v>
      </c>
      <c r="L71" s="1173"/>
    </row>
    <row r="72" spans="1:12" ht="13.5" thickBot="1">
      <c r="A72" s="715">
        <v>50</v>
      </c>
      <c r="B72" s="710" t="s">
        <v>935</v>
      </c>
      <c r="C72" s="727">
        <v>437625000</v>
      </c>
      <c r="D72" s="767"/>
      <c r="E72" s="713">
        <v>437625000</v>
      </c>
      <c r="F72" s="713">
        <v>0</v>
      </c>
      <c r="G72" s="741"/>
      <c r="H72" s="741"/>
      <c r="I72" s="742"/>
      <c r="J72" s="714">
        <f>414490929+2197500</f>
        <v>416688429</v>
      </c>
      <c r="K72" s="714">
        <v>0</v>
      </c>
      <c r="L72" s="1174"/>
    </row>
    <row r="73" spans="1:12" ht="13.5" thickBot="1">
      <c r="A73" s="715">
        <v>51</v>
      </c>
      <c r="B73" s="716" t="s">
        <v>936</v>
      </c>
      <c r="C73" s="717">
        <f>SUM(C71:C72)</f>
        <v>437625000</v>
      </c>
      <c r="D73" s="748"/>
      <c r="E73" s="718">
        <f>SUM(E71:E72)</f>
        <v>437625000</v>
      </c>
      <c r="F73" s="718">
        <f>SUM(F71:F72)</f>
        <v>0</v>
      </c>
      <c r="G73" s="748"/>
      <c r="H73" s="748"/>
      <c r="I73" s="749"/>
      <c r="J73" s="719">
        <f>SUM(J71:J72)</f>
        <v>416688429</v>
      </c>
      <c r="K73" s="719">
        <f>SUM(K71:K72)</f>
        <v>754000</v>
      </c>
      <c r="L73" s="1175"/>
    </row>
    <row r="74" spans="1:12" ht="13.5" thickBot="1">
      <c r="A74" s="715"/>
      <c r="B74" s="1176"/>
      <c r="C74" s="1177"/>
      <c r="D74" s="1177"/>
      <c r="E74" s="1177"/>
      <c r="F74" s="1177"/>
      <c r="G74" s="1177"/>
      <c r="H74" s="1177"/>
      <c r="I74" s="1177"/>
      <c r="J74" s="1177"/>
      <c r="K74" s="1178"/>
      <c r="L74" s="720"/>
    </row>
    <row r="75" spans="1:12" ht="12.75">
      <c r="A75" s="725">
        <v>52</v>
      </c>
      <c r="B75" s="722" t="s">
        <v>939</v>
      </c>
      <c r="C75" s="723">
        <v>429750000</v>
      </c>
      <c r="D75" s="743"/>
      <c r="E75" s="745">
        <v>0</v>
      </c>
      <c r="F75" s="745">
        <v>429750000</v>
      </c>
      <c r="G75" s="740"/>
      <c r="H75" s="740"/>
      <c r="I75" s="740"/>
      <c r="J75" s="1173"/>
      <c r="K75" s="1173"/>
      <c r="L75" s="708">
        <f>404687022+2197500</f>
        <v>406884522</v>
      </c>
    </row>
    <row r="76" spans="1:12" ht="12.75">
      <c r="A76" s="725">
        <v>53</v>
      </c>
      <c r="B76" s="726" t="s">
        <v>938</v>
      </c>
      <c r="C76" s="727">
        <v>7875000</v>
      </c>
      <c r="D76" s="775"/>
      <c r="E76" s="746"/>
      <c r="F76" s="746">
        <v>7875000</v>
      </c>
      <c r="G76" s="746"/>
      <c r="H76" s="776"/>
      <c r="I76" s="777"/>
      <c r="J76" s="1174"/>
      <c r="K76" s="1174"/>
      <c r="L76" s="714">
        <v>9803907</v>
      </c>
    </row>
    <row r="77" spans="1:12" ht="13.5" thickBot="1">
      <c r="A77" s="725">
        <v>54</v>
      </c>
      <c r="B77" s="726" t="s">
        <v>947</v>
      </c>
      <c r="C77" s="729"/>
      <c r="D77" s="778"/>
      <c r="E77" s="779"/>
      <c r="F77" s="779"/>
      <c r="G77" s="779"/>
      <c r="H77" s="741"/>
      <c r="I77" s="742"/>
      <c r="J77" s="1174"/>
      <c r="K77" s="1174"/>
      <c r="L77" s="772">
        <f>254000+500000</f>
        <v>754000</v>
      </c>
    </row>
    <row r="78" spans="1:12" ht="13.5" thickBot="1">
      <c r="A78" s="732">
        <v>55</v>
      </c>
      <c r="B78" s="733" t="s">
        <v>361</v>
      </c>
      <c r="C78" s="734">
        <f>SUM(C75:C77)</f>
        <v>437625000</v>
      </c>
      <c r="D78" s="751"/>
      <c r="E78" s="735">
        <f>SUM(E75:E77)</f>
        <v>0</v>
      </c>
      <c r="F78" s="735">
        <f>SUM(F75:F77)</f>
        <v>437625000</v>
      </c>
      <c r="G78" s="751"/>
      <c r="H78" s="751"/>
      <c r="I78" s="751"/>
      <c r="J78" s="1179"/>
      <c r="K78" s="1179"/>
      <c r="L78" s="736">
        <f>SUM(L75:L77)</f>
        <v>417442429</v>
      </c>
    </row>
    <row r="79" spans="1:12" ht="14.25" thickBot="1" thickTop="1">
      <c r="A79" s="715"/>
      <c r="B79" s="1176"/>
      <c r="C79" s="1177"/>
      <c r="D79" s="1177"/>
      <c r="E79" s="1177"/>
      <c r="F79" s="1177"/>
      <c r="G79" s="1177"/>
      <c r="H79" s="1177"/>
      <c r="I79" s="1177"/>
      <c r="J79" s="1177"/>
      <c r="K79" s="1178"/>
      <c r="L79" s="720"/>
    </row>
    <row r="80" spans="1:12" ht="16.5" thickBot="1" thickTop="1">
      <c r="A80" s="702">
        <v>56</v>
      </c>
      <c r="B80" s="1180" t="s">
        <v>949</v>
      </c>
      <c r="C80" s="1181"/>
      <c r="D80" s="1181"/>
      <c r="E80" s="1181"/>
      <c r="F80" s="1181"/>
      <c r="G80" s="1181"/>
      <c r="H80" s="1181"/>
      <c r="I80" s="1181"/>
      <c r="J80" s="1182"/>
      <c r="K80" s="1182"/>
      <c r="L80" s="703"/>
    </row>
    <row r="81" spans="1:12" ht="12.75">
      <c r="A81" s="704">
        <v>57</v>
      </c>
      <c r="B81" s="738" t="s">
        <v>934</v>
      </c>
      <c r="C81" s="723">
        <v>0</v>
      </c>
      <c r="D81" s="767"/>
      <c r="E81" s="745">
        <v>0</v>
      </c>
      <c r="F81" s="739">
        <v>0</v>
      </c>
      <c r="G81" s="739">
        <v>0</v>
      </c>
      <c r="H81" s="740"/>
      <c r="I81" s="740"/>
      <c r="J81" s="708">
        <v>0</v>
      </c>
      <c r="K81" s="708">
        <f>254000+863600</f>
        <v>1117600</v>
      </c>
      <c r="L81" s="1173"/>
    </row>
    <row r="82" spans="1:12" ht="13.5" thickBot="1">
      <c r="A82" s="715">
        <v>58</v>
      </c>
      <c r="B82" s="710" t="s">
        <v>935</v>
      </c>
      <c r="C82" s="727">
        <v>100000000</v>
      </c>
      <c r="D82" s="767"/>
      <c r="E82" s="713">
        <v>100000000</v>
      </c>
      <c r="F82" s="713">
        <v>0</v>
      </c>
      <c r="G82" s="713">
        <v>0</v>
      </c>
      <c r="H82" s="741"/>
      <c r="I82" s="742"/>
      <c r="J82" s="714">
        <v>96609100</v>
      </c>
      <c r="K82" s="714"/>
      <c r="L82" s="1174"/>
    </row>
    <row r="83" spans="1:12" ht="13.5" thickBot="1">
      <c r="A83" s="715">
        <v>59</v>
      </c>
      <c r="B83" s="716" t="s">
        <v>936</v>
      </c>
      <c r="C83" s="717">
        <f>SUM(C81:C82)</f>
        <v>100000000</v>
      </c>
      <c r="D83" s="748"/>
      <c r="E83" s="718">
        <f>SUM(E81:E82)</f>
        <v>100000000</v>
      </c>
      <c r="F83" s="718">
        <f>SUM(F81:F82)</f>
        <v>0</v>
      </c>
      <c r="G83" s="718">
        <f>SUM(G81:G82)</f>
        <v>0</v>
      </c>
      <c r="H83" s="748"/>
      <c r="I83" s="749"/>
      <c r="J83" s="719">
        <f>SUM(J81:J82)</f>
        <v>96609100</v>
      </c>
      <c r="K83" s="719">
        <f>SUM(K81:K82)</f>
        <v>1117600</v>
      </c>
      <c r="L83" s="1175"/>
    </row>
    <row r="84" spans="1:12" ht="13.5" thickBot="1">
      <c r="A84" s="715"/>
      <c r="B84" s="1176"/>
      <c r="C84" s="1177"/>
      <c r="D84" s="1177"/>
      <c r="E84" s="1177"/>
      <c r="F84" s="1177"/>
      <c r="G84" s="1177"/>
      <c r="H84" s="1177"/>
      <c r="I84" s="1177"/>
      <c r="J84" s="1177"/>
      <c r="K84" s="1178"/>
      <c r="L84" s="720"/>
    </row>
    <row r="85" spans="1:12" ht="12.75">
      <c r="A85" s="725">
        <v>60</v>
      </c>
      <c r="B85" s="722" t="s">
        <v>944</v>
      </c>
      <c r="C85" s="723">
        <f>SUM(E85:G85)</f>
        <v>100000000</v>
      </c>
      <c r="D85" s="764"/>
      <c r="E85" s="745">
        <v>2393950</v>
      </c>
      <c r="F85" s="745">
        <v>85795050</v>
      </c>
      <c r="G85" s="745">
        <v>11811000</v>
      </c>
      <c r="H85" s="740"/>
      <c r="I85" s="740"/>
      <c r="J85" s="1173"/>
      <c r="K85" s="1173"/>
      <c r="L85" s="708">
        <v>91442680</v>
      </c>
    </row>
    <row r="86" spans="1:12" ht="13.5" thickBot="1">
      <c r="A86" s="725">
        <v>61</v>
      </c>
      <c r="B86" s="750" t="s">
        <v>950</v>
      </c>
      <c r="C86" s="727">
        <v>0</v>
      </c>
      <c r="D86" s="767"/>
      <c r="E86" s="746">
        <v>0</v>
      </c>
      <c r="F86" s="746">
        <v>0</v>
      </c>
      <c r="G86" s="746">
        <v>0</v>
      </c>
      <c r="H86" s="780"/>
      <c r="I86" s="781"/>
      <c r="J86" s="1174"/>
      <c r="K86" s="1174"/>
      <c r="L86" s="714">
        <v>863600</v>
      </c>
    </row>
    <row r="87" spans="1:12" ht="12.75">
      <c r="A87" s="725">
        <v>62</v>
      </c>
      <c r="B87" s="722" t="s">
        <v>937</v>
      </c>
      <c r="C87" s="727"/>
      <c r="D87" s="767"/>
      <c r="E87" s="746"/>
      <c r="F87" s="746"/>
      <c r="G87" s="746"/>
      <c r="H87" s="776"/>
      <c r="I87" s="777"/>
      <c r="J87" s="1174"/>
      <c r="K87" s="1174"/>
      <c r="L87" s="714">
        <v>752612</v>
      </c>
    </row>
    <row r="88" spans="1:12" ht="12.75">
      <c r="A88" s="725">
        <v>63</v>
      </c>
      <c r="B88" s="726" t="s">
        <v>938</v>
      </c>
      <c r="C88" s="727">
        <v>0</v>
      </c>
      <c r="D88" s="775"/>
      <c r="E88" s="746"/>
      <c r="F88" s="746">
        <v>0</v>
      </c>
      <c r="G88" s="746"/>
      <c r="H88" s="776"/>
      <c r="I88" s="777"/>
      <c r="J88" s="1174"/>
      <c r="K88" s="1174"/>
      <c r="L88" s="714">
        <v>4413808</v>
      </c>
    </row>
    <row r="89" spans="1:12" ht="13.5" thickBot="1">
      <c r="A89" s="725">
        <v>64</v>
      </c>
      <c r="B89" s="726" t="s">
        <v>947</v>
      </c>
      <c r="C89" s="727">
        <v>0</v>
      </c>
      <c r="D89" s="767"/>
      <c r="E89" s="746">
        <v>0</v>
      </c>
      <c r="F89" s="746">
        <v>0</v>
      </c>
      <c r="G89" s="746">
        <v>0</v>
      </c>
      <c r="H89" s="741"/>
      <c r="I89" s="742"/>
      <c r="J89" s="1174"/>
      <c r="K89" s="1174"/>
      <c r="L89" s="714">
        <v>254000</v>
      </c>
    </row>
    <row r="90" spans="1:12" ht="13.5" thickBot="1">
      <c r="A90" s="732">
        <v>65</v>
      </c>
      <c r="B90" s="733" t="s">
        <v>361</v>
      </c>
      <c r="C90" s="734">
        <f>SUM(C85:C89)</f>
        <v>100000000</v>
      </c>
      <c r="D90" s="751"/>
      <c r="E90" s="735">
        <f>SUM(E85:E89)</f>
        <v>2393950</v>
      </c>
      <c r="F90" s="735">
        <f>SUM(F85:F89)</f>
        <v>85795050</v>
      </c>
      <c r="G90" s="735">
        <f>SUM(G85:G89)</f>
        <v>11811000</v>
      </c>
      <c r="H90" s="751"/>
      <c r="I90" s="751"/>
      <c r="J90" s="1179"/>
      <c r="K90" s="1179"/>
      <c r="L90" s="736">
        <f>SUM(L85:L89)</f>
        <v>97726700</v>
      </c>
    </row>
    <row r="91" spans="1:12" ht="14.25" thickBot="1" thickTop="1">
      <c r="A91" s="715"/>
      <c r="B91" s="1176"/>
      <c r="C91" s="1177"/>
      <c r="D91" s="1177"/>
      <c r="E91" s="1177"/>
      <c r="F91" s="1177"/>
      <c r="G91" s="1177"/>
      <c r="H91" s="1177"/>
      <c r="I91" s="1177"/>
      <c r="J91" s="1177"/>
      <c r="K91" s="1178"/>
      <c r="L91" s="720"/>
    </row>
    <row r="92" spans="1:12" ht="16.5" thickBot="1" thickTop="1">
      <c r="A92" s="702">
        <v>66</v>
      </c>
      <c r="B92" s="1180" t="s">
        <v>951</v>
      </c>
      <c r="C92" s="1181"/>
      <c r="D92" s="1181"/>
      <c r="E92" s="1181"/>
      <c r="F92" s="1181"/>
      <c r="G92" s="1181"/>
      <c r="H92" s="1181"/>
      <c r="I92" s="1181"/>
      <c r="J92" s="1182"/>
      <c r="K92" s="1182"/>
      <c r="L92" s="703"/>
    </row>
    <row r="93" spans="1:12" ht="12.75">
      <c r="A93" s="704">
        <v>67</v>
      </c>
      <c r="B93" s="738" t="s">
        <v>934</v>
      </c>
      <c r="C93" s="723">
        <v>0</v>
      </c>
      <c r="D93" s="767"/>
      <c r="E93" s="745">
        <v>0</v>
      </c>
      <c r="F93" s="739">
        <v>0</v>
      </c>
      <c r="G93" s="740"/>
      <c r="H93" s="740"/>
      <c r="I93" s="740"/>
      <c r="J93" s="708">
        <v>0</v>
      </c>
      <c r="K93" s="708"/>
      <c r="L93" s="1173"/>
    </row>
    <row r="94" spans="1:12" ht="13.5" thickBot="1">
      <c r="A94" s="715">
        <v>68</v>
      </c>
      <c r="B94" s="710" t="s">
        <v>935</v>
      </c>
      <c r="C94" s="727">
        <v>118000000</v>
      </c>
      <c r="D94" s="767"/>
      <c r="E94" s="713">
        <v>112219000</v>
      </c>
      <c r="F94" s="713">
        <v>5781000</v>
      </c>
      <c r="G94" s="741"/>
      <c r="H94" s="741"/>
      <c r="I94" s="742"/>
      <c r="J94" s="714">
        <f>105181800-5373648</f>
        <v>99808152</v>
      </c>
      <c r="K94" s="714"/>
      <c r="L94" s="1174"/>
    </row>
    <row r="95" spans="1:12" ht="13.5" thickBot="1">
      <c r="A95" s="715">
        <v>69</v>
      </c>
      <c r="B95" s="716" t="s">
        <v>936</v>
      </c>
      <c r="C95" s="717">
        <f>SUM(C93:C94)</f>
        <v>118000000</v>
      </c>
      <c r="D95" s="748"/>
      <c r="E95" s="718">
        <f>SUM(E93:E94)</f>
        <v>112219000</v>
      </c>
      <c r="F95" s="718">
        <f>SUM(F93:F94)</f>
        <v>5781000</v>
      </c>
      <c r="G95" s="748"/>
      <c r="H95" s="748"/>
      <c r="I95" s="749"/>
      <c r="J95" s="719">
        <f>SUM(J93:J94)</f>
        <v>99808152</v>
      </c>
      <c r="K95" s="719">
        <f>SUM(K93:K94)</f>
        <v>0</v>
      </c>
      <c r="L95" s="1175"/>
    </row>
    <row r="96" spans="1:12" ht="13.5" thickBot="1">
      <c r="A96" s="715"/>
      <c r="B96" s="1176"/>
      <c r="C96" s="1177"/>
      <c r="D96" s="1177"/>
      <c r="E96" s="1177"/>
      <c r="F96" s="1177"/>
      <c r="G96" s="1177"/>
      <c r="H96" s="1177"/>
      <c r="I96" s="1177"/>
      <c r="J96" s="1177"/>
      <c r="K96" s="1178"/>
      <c r="L96" s="720"/>
    </row>
    <row r="97" spans="1:12" ht="13.5" thickBot="1">
      <c r="A97" s="725">
        <v>70</v>
      </c>
      <c r="B97" s="722" t="s">
        <v>939</v>
      </c>
      <c r="C97" s="723">
        <f>SUM(E97:G97)</f>
        <v>118000000</v>
      </c>
      <c r="D97" s="767"/>
      <c r="E97" s="745">
        <v>5857200</v>
      </c>
      <c r="F97" s="745">
        <v>112142800</v>
      </c>
      <c r="G97" s="740"/>
      <c r="H97" s="740"/>
      <c r="I97" s="740"/>
      <c r="J97" s="1173"/>
      <c r="K97" s="1173"/>
      <c r="L97" s="708">
        <f>100932090-3817843-5373648</f>
        <v>91740599</v>
      </c>
    </row>
    <row r="98" spans="1:12" ht="13.5" thickBot="1">
      <c r="A98" s="725">
        <v>71</v>
      </c>
      <c r="B98" s="750" t="s">
        <v>972</v>
      </c>
      <c r="C98" s="723"/>
      <c r="D98" s="767"/>
      <c r="E98" s="759"/>
      <c r="F98" s="759"/>
      <c r="G98" s="834"/>
      <c r="H98" s="834"/>
      <c r="I98" s="835"/>
      <c r="J98" s="1174"/>
      <c r="K98" s="1174"/>
      <c r="L98" s="761">
        <f>3817843</f>
        <v>3817843</v>
      </c>
    </row>
    <row r="99" spans="1:12" ht="13.5" thickBot="1">
      <c r="A99" s="725">
        <v>72</v>
      </c>
      <c r="B99" s="726" t="s">
        <v>938</v>
      </c>
      <c r="C99" s="723">
        <v>0</v>
      </c>
      <c r="D99" s="767"/>
      <c r="E99" s="746">
        <v>0</v>
      </c>
      <c r="F99" s="782">
        <v>0</v>
      </c>
      <c r="G99" s="741"/>
      <c r="H99" s="741"/>
      <c r="I99" s="742"/>
      <c r="J99" s="1174"/>
      <c r="K99" s="1174"/>
      <c r="L99" s="714">
        <v>4249710</v>
      </c>
    </row>
    <row r="100" spans="1:12" ht="13.5" thickBot="1">
      <c r="A100" s="732">
        <v>73</v>
      </c>
      <c r="B100" s="733" t="s">
        <v>361</v>
      </c>
      <c r="C100" s="734">
        <f>SUM(C97:C99)</f>
        <v>118000000</v>
      </c>
      <c r="D100" s="751"/>
      <c r="E100" s="735">
        <f>SUM(E97:E99)</f>
        <v>5857200</v>
      </c>
      <c r="F100" s="735">
        <f>SUM(F97:F99)</f>
        <v>112142800</v>
      </c>
      <c r="G100" s="751"/>
      <c r="H100" s="751"/>
      <c r="I100" s="751"/>
      <c r="J100" s="1179"/>
      <c r="K100" s="1179"/>
      <c r="L100" s="736">
        <f>SUM(L97:L99)</f>
        <v>99808152</v>
      </c>
    </row>
    <row r="101" spans="1:12" ht="14.25" thickBot="1" thickTop="1">
      <c r="A101" s="783"/>
      <c r="B101" s="784"/>
      <c r="C101" s="785"/>
      <c r="D101" s="786"/>
      <c r="E101" s="787"/>
      <c r="F101" s="787"/>
      <c r="G101" s="786"/>
      <c r="H101" s="786"/>
      <c r="I101" s="786"/>
      <c r="J101" s="788"/>
      <c r="K101" s="788"/>
      <c r="L101" s="789"/>
    </row>
    <row r="102" spans="1:12" ht="16.5" thickBot="1" thickTop="1">
      <c r="A102" s="702">
        <v>74</v>
      </c>
      <c r="B102" s="1180" t="s">
        <v>952</v>
      </c>
      <c r="C102" s="1181"/>
      <c r="D102" s="1181"/>
      <c r="E102" s="1181"/>
      <c r="F102" s="1181"/>
      <c r="G102" s="1181"/>
      <c r="H102" s="1181"/>
      <c r="I102" s="1181"/>
      <c r="J102" s="1182"/>
      <c r="K102" s="1182"/>
      <c r="L102" s="703"/>
    </row>
    <row r="103" spans="1:12" ht="12.75">
      <c r="A103" s="704">
        <v>75</v>
      </c>
      <c r="B103" s="738" t="s">
        <v>934</v>
      </c>
      <c r="C103" s="723">
        <v>0</v>
      </c>
      <c r="D103" s="767"/>
      <c r="E103" s="745">
        <v>0</v>
      </c>
      <c r="F103" s="739">
        <v>0</v>
      </c>
      <c r="G103" s="740"/>
      <c r="H103" s="740"/>
      <c r="I103" s="740"/>
      <c r="J103" s="708">
        <v>0</v>
      </c>
      <c r="K103" s="708">
        <v>0</v>
      </c>
      <c r="L103" s="1173"/>
    </row>
    <row r="104" spans="1:12" ht="13.5" thickBot="1">
      <c r="A104" s="715">
        <v>76</v>
      </c>
      <c r="B104" s="710" t="s">
        <v>935</v>
      </c>
      <c r="C104" s="727">
        <v>50000000</v>
      </c>
      <c r="D104" s="767"/>
      <c r="E104" s="713">
        <v>50000000</v>
      </c>
      <c r="F104" s="713">
        <v>0</v>
      </c>
      <c r="G104" s="741"/>
      <c r="H104" s="741"/>
      <c r="I104" s="742"/>
      <c r="J104" s="714">
        <f>23207061+726390</f>
        <v>23933451</v>
      </c>
      <c r="K104" s="714"/>
      <c r="L104" s="1174"/>
    </row>
    <row r="105" spans="1:12" ht="13.5" thickBot="1">
      <c r="A105" s="715">
        <v>77</v>
      </c>
      <c r="B105" s="716" t="s">
        <v>936</v>
      </c>
      <c r="C105" s="717">
        <f>SUM(C103:C104)</f>
        <v>50000000</v>
      </c>
      <c r="D105" s="748"/>
      <c r="E105" s="718">
        <f>SUM(E103:E104)</f>
        <v>50000000</v>
      </c>
      <c r="F105" s="718">
        <f>SUM(F103:F104)</f>
        <v>0</v>
      </c>
      <c r="G105" s="748"/>
      <c r="H105" s="748"/>
      <c r="I105" s="749"/>
      <c r="J105" s="719">
        <f>SUM(J103:J104)</f>
        <v>23933451</v>
      </c>
      <c r="K105" s="719">
        <f>SUM(K103:K104)</f>
        <v>0</v>
      </c>
      <c r="L105" s="1175"/>
    </row>
    <row r="106" spans="1:12" ht="13.5" thickBot="1">
      <c r="A106" s="715"/>
      <c r="B106" s="1176"/>
      <c r="C106" s="1177"/>
      <c r="D106" s="1177"/>
      <c r="E106" s="1177"/>
      <c r="F106" s="1177"/>
      <c r="G106" s="1177"/>
      <c r="H106" s="1177"/>
      <c r="I106" s="1177"/>
      <c r="J106" s="1177"/>
      <c r="K106" s="1178"/>
      <c r="L106" s="720"/>
    </row>
    <row r="107" spans="1:12" ht="12.75">
      <c r="A107" s="725">
        <v>78</v>
      </c>
      <c r="B107" s="722" t="s">
        <v>944</v>
      </c>
      <c r="C107" s="723">
        <v>50000000</v>
      </c>
      <c r="D107" s="764"/>
      <c r="E107" s="790">
        <v>2450000</v>
      </c>
      <c r="F107" s="790">
        <v>47550000</v>
      </c>
      <c r="G107" s="740"/>
      <c r="H107" s="740"/>
      <c r="I107" s="740"/>
      <c r="J107" s="1173"/>
      <c r="K107" s="1173"/>
      <c r="L107" s="708">
        <v>21830061</v>
      </c>
    </row>
    <row r="108" spans="1:12" ht="13.5" thickBot="1">
      <c r="A108" s="725">
        <v>79</v>
      </c>
      <c r="B108" s="726" t="s">
        <v>938</v>
      </c>
      <c r="C108" s="727">
        <v>0</v>
      </c>
      <c r="D108" s="767"/>
      <c r="E108" s="746">
        <v>0</v>
      </c>
      <c r="F108" s="746">
        <v>0</v>
      </c>
      <c r="G108" s="741"/>
      <c r="H108" s="741"/>
      <c r="I108" s="742"/>
      <c r="J108" s="1174"/>
      <c r="K108" s="1174"/>
      <c r="L108" s="714">
        <f>1377000+726390</f>
        <v>2103390</v>
      </c>
    </row>
    <row r="109" spans="1:12" ht="13.5" thickBot="1">
      <c r="A109" s="732">
        <v>80</v>
      </c>
      <c r="B109" s="733" t="s">
        <v>361</v>
      </c>
      <c r="C109" s="734">
        <f>SUM(C107:C108)</f>
        <v>50000000</v>
      </c>
      <c r="D109" s="751"/>
      <c r="E109" s="735">
        <f>SUM(E107:E108)</f>
        <v>2450000</v>
      </c>
      <c r="F109" s="735">
        <f>SUM(F107:F108)</f>
        <v>47550000</v>
      </c>
      <c r="G109" s="751"/>
      <c r="H109" s="751"/>
      <c r="I109" s="751"/>
      <c r="J109" s="1179"/>
      <c r="K109" s="1179"/>
      <c r="L109" s="736">
        <f>SUM(L107:L108)</f>
        <v>23933451</v>
      </c>
    </row>
    <row r="110" spans="1:12" ht="14.25" thickBot="1" thickTop="1">
      <c r="A110" s="725"/>
      <c r="B110" s="791"/>
      <c r="C110" s="792"/>
      <c r="D110" s="793"/>
      <c r="E110" s="792"/>
      <c r="F110" s="792"/>
      <c r="G110" s="793"/>
      <c r="H110" s="793"/>
      <c r="I110" s="793"/>
      <c r="J110" s="794"/>
      <c r="K110" s="794"/>
      <c r="L110" s="795"/>
    </row>
    <row r="111" spans="1:12" ht="16.5" thickBot="1" thickTop="1">
      <c r="A111" s="702">
        <v>81</v>
      </c>
      <c r="B111" s="1180" t="s">
        <v>953</v>
      </c>
      <c r="C111" s="1181"/>
      <c r="D111" s="1181"/>
      <c r="E111" s="1181"/>
      <c r="F111" s="1181"/>
      <c r="G111" s="1181"/>
      <c r="H111" s="1181"/>
      <c r="I111" s="1181"/>
      <c r="J111" s="1182"/>
      <c r="K111" s="1182"/>
      <c r="L111" s="703"/>
    </row>
    <row r="112" spans="1:12" ht="12.75">
      <c r="A112" s="704">
        <v>82</v>
      </c>
      <c r="B112" s="738" t="s">
        <v>934</v>
      </c>
      <c r="C112" s="723">
        <v>0</v>
      </c>
      <c r="D112" s="767"/>
      <c r="E112" s="745">
        <v>0</v>
      </c>
      <c r="F112" s="739">
        <v>0</v>
      </c>
      <c r="G112" s="796">
        <v>0</v>
      </c>
      <c r="H112" s="796">
        <v>0</v>
      </c>
      <c r="I112" s="796">
        <v>0</v>
      </c>
      <c r="J112" s="708">
        <v>0</v>
      </c>
      <c r="K112" s="708">
        <v>0</v>
      </c>
      <c r="L112" s="1173"/>
    </row>
    <row r="113" spans="1:12" ht="13.5" thickBot="1">
      <c r="A113" s="715">
        <v>83</v>
      </c>
      <c r="B113" s="710" t="s">
        <v>935</v>
      </c>
      <c r="C113" s="727">
        <v>21635062</v>
      </c>
      <c r="D113" s="767"/>
      <c r="E113" s="713">
        <v>21635062</v>
      </c>
      <c r="F113" s="713">
        <v>0</v>
      </c>
      <c r="G113" s="797">
        <v>0</v>
      </c>
      <c r="H113" s="797">
        <v>0</v>
      </c>
      <c r="I113" s="798">
        <v>0</v>
      </c>
      <c r="J113" s="714">
        <f>12229669+55552</f>
        <v>12285221</v>
      </c>
      <c r="K113" s="714"/>
      <c r="L113" s="1174"/>
    </row>
    <row r="114" spans="1:12" ht="13.5" thickBot="1">
      <c r="A114" s="715">
        <v>84</v>
      </c>
      <c r="B114" s="716" t="s">
        <v>936</v>
      </c>
      <c r="C114" s="717">
        <f>SUM(C112:C113)</f>
        <v>21635062</v>
      </c>
      <c r="D114" s="748"/>
      <c r="E114" s="718">
        <f aca="true" t="shared" si="4" ref="E114:K114">SUM(E112:E113)</f>
        <v>21635062</v>
      </c>
      <c r="F114" s="718">
        <f t="shared" si="4"/>
        <v>0</v>
      </c>
      <c r="G114" s="718">
        <f t="shared" si="4"/>
        <v>0</v>
      </c>
      <c r="H114" s="718">
        <f t="shared" si="4"/>
        <v>0</v>
      </c>
      <c r="I114" s="718">
        <f t="shared" si="4"/>
        <v>0</v>
      </c>
      <c r="J114" s="719">
        <f t="shared" si="4"/>
        <v>12285221</v>
      </c>
      <c r="K114" s="719">
        <f t="shared" si="4"/>
        <v>0</v>
      </c>
      <c r="L114" s="1175"/>
    </row>
    <row r="115" spans="1:12" ht="13.5" thickBot="1">
      <c r="A115" s="715"/>
      <c r="B115" s="1176"/>
      <c r="C115" s="1177"/>
      <c r="D115" s="1177"/>
      <c r="E115" s="1177"/>
      <c r="F115" s="1177"/>
      <c r="G115" s="1177"/>
      <c r="H115" s="1177"/>
      <c r="I115" s="1177"/>
      <c r="J115" s="1177"/>
      <c r="K115" s="1178"/>
      <c r="L115" s="720"/>
    </row>
    <row r="116" spans="1:12" ht="12.75">
      <c r="A116" s="725">
        <v>85</v>
      </c>
      <c r="B116" s="722" t="s">
        <v>937</v>
      </c>
      <c r="C116" s="723">
        <v>10295000</v>
      </c>
      <c r="D116" s="764"/>
      <c r="E116" s="790">
        <v>717000</v>
      </c>
      <c r="F116" s="790">
        <v>3123000</v>
      </c>
      <c r="G116" s="790">
        <v>2880000</v>
      </c>
      <c r="H116" s="790">
        <v>2880000</v>
      </c>
      <c r="I116" s="790">
        <v>695000</v>
      </c>
      <c r="J116" s="1183"/>
      <c r="K116" s="1183"/>
      <c r="L116" s="723">
        <v>6327500</v>
      </c>
    </row>
    <row r="117" spans="1:12" ht="12.75">
      <c r="A117" s="725">
        <v>86</v>
      </c>
      <c r="B117" s="726" t="s">
        <v>938</v>
      </c>
      <c r="C117" s="773">
        <v>10510062</v>
      </c>
      <c r="D117" s="764"/>
      <c r="E117" s="799">
        <v>315347</v>
      </c>
      <c r="F117" s="799">
        <f>3984278+55</f>
        <v>3984333</v>
      </c>
      <c r="G117" s="800">
        <v>2149813</v>
      </c>
      <c r="H117" s="800">
        <v>2149812</v>
      </c>
      <c r="I117" s="800">
        <v>1910757</v>
      </c>
      <c r="J117" s="1184"/>
      <c r="K117" s="1184"/>
      <c r="L117" s="773">
        <f>5902169+55552</f>
        <v>5957721</v>
      </c>
    </row>
    <row r="118" spans="1:12" ht="13.5" thickBot="1">
      <c r="A118" s="725">
        <v>87</v>
      </c>
      <c r="B118" s="765" t="s">
        <v>939</v>
      </c>
      <c r="C118" s="727">
        <v>830000</v>
      </c>
      <c r="D118" s="767"/>
      <c r="E118" s="782">
        <v>829945</v>
      </c>
      <c r="F118" s="746">
        <f>55-55</f>
        <v>0</v>
      </c>
      <c r="G118" s="797">
        <v>0</v>
      </c>
      <c r="H118" s="797">
        <v>0</v>
      </c>
      <c r="I118" s="798">
        <v>0</v>
      </c>
      <c r="J118" s="1174"/>
      <c r="K118" s="1174"/>
      <c r="L118" s="727">
        <f>55-55</f>
        <v>0</v>
      </c>
    </row>
    <row r="119" spans="1:12" ht="13.5" thickBot="1">
      <c r="A119" s="732">
        <v>88</v>
      </c>
      <c r="B119" s="733" t="s">
        <v>361</v>
      </c>
      <c r="C119" s="734">
        <f>SUM(C116:C118)</f>
        <v>21635062</v>
      </c>
      <c r="D119" s="751"/>
      <c r="E119" s="735">
        <f>SUM(E116:E118)</f>
        <v>1862292</v>
      </c>
      <c r="F119" s="735">
        <f>SUM(F116:F118)</f>
        <v>7107333</v>
      </c>
      <c r="G119" s="735">
        <f>SUM(G116:G118)</f>
        <v>5029813</v>
      </c>
      <c r="H119" s="735">
        <f>SUM(H116:H118)</f>
        <v>5029812</v>
      </c>
      <c r="I119" s="735">
        <f>SUM(I116:I118)</f>
        <v>2605757</v>
      </c>
      <c r="J119" s="1179"/>
      <c r="K119" s="1179"/>
      <c r="L119" s="736">
        <f>SUM(L116:L118)</f>
        <v>12285221</v>
      </c>
    </row>
    <row r="120" spans="1:12" ht="14.25" thickBot="1" thickTop="1">
      <c r="A120" s="839"/>
      <c r="B120" s="808"/>
      <c r="C120" s="792"/>
      <c r="D120" s="793"/>
      <c r="E120" s="792"/>
      <c r="F120" s="792"/>
      <c r="G120" s="793"/>
      <c r="H120" s="793"/>
      <c r="I120" s="793"/>
      <c r="J120" s="794"/>
      <c r="K120" s="794"/>
      <c r="L120" s="795"/>
    </row>
    <row r="121" spans="1:12" ht="16.5" thickBot="1" thickTop="1">
      <c r="A121" s="702">
        <v>89</v>
      </c>
      <c r="B121" s="1180" t="s">
        <v>957</v>
      </c>
      <c r="C121" s="1181"/>
      <c r="D121" s="1181"/>
      <c r="E121" s="1181"/>
      <c r="F121" s="1181"/>
      <c r="G121" s="1181"/>
      <c r="H121" s="1181"/>
      <c r="I121" s="1181"/>
      <c r="J121" s="1182"/>
      <c r="K121" s="1182"/>
      <c r="L121" s="801"/>
    </row>
    <row r="122" spans="1:12" ht="12.75">
      <c r="A122" s="704">
        <v>90</v>
      </c>
      <c r="B122" s="705" t="s">
        <v>954</v>
      </c>
      <c r="C122" s="802">
        <f>SUM(I122+G122+F122+E122+D122)</f>
        <v>0</v>
      </c>
      <c r="D122" s="743"/>
      <c r="E122" s="743"/>
      <c r="F122" s="745">
        <v>0</v>
      </c>
      <c r="G122" s="745">
        <v>0</v>
      </c>
      <c r="H122" s="745">
        <v>0</v>
      </c>
      <c r="I122" s="743"/>
      <c r="J122" s="708">
        <v>0</v>
      </c>
      <c r="K122" s="708">
        <v>0</v>
      </c>
      <c r="L122" s="1173"/>
    </row>
    <row r="123" spans="1:12" ht="13.5" thickBot="1">
      <c r="A123" s="715">
        <v>91</v>
      </c>
      <c r="B123" s="710" t="s">
        <v>935</v>
      </c>
      <c r="C123" s="803">
        <v>6119772</v>
      </c>
      <c r="D123" s="776"/>
      <c r="E123" s="776"/>
      <c r="F123" s="713">
        <v>1647423</v>
      </c>
      <c r="G123" s="713">
        <v>2435901</v>
      </c>
      <c r="H123" s="713">
        <v>2036448</v>
      </c>
      <c r="I123" s="776"/>
      <c r="J123" s="714">
        <f>1475404-755546</f>
        <v>719858</v>
      </c>
      <c r="K123" s="714">
        <v>1092680</v>
      </c>
      <c r="L123" s="1174"/>
    </row>
    <row r="124" spans="1:12" ht="13.5" thickBot="1">
      <c r="A124" s="715">
        <v>92</v>
      </c>
      <c r="B124" s="716" t="s">
        <v>936</v>
      </c>
      <c r="C124" s="717">
        <f>SUM(G124+F124+H124)</f>
        <v>6119772</v>
      </c>
      <c r="D124" s="754"/>
      <c r="E124" s="754"/>
      <c r="F124" s="718">
        <f>SUM(F122+F123)</f>
        <v>1647423</v>
      </c>
      <c r="G124" s="718">
        <f>SUM(G122+G123)</f>
        <v>2435901</v>
      </c>
      <c r="H124" s="718">
        <f>SUM(H122+H123)</f>
        <v>2036448</v>
      </c>
      <c r="I124" s="804"/>
      <c r="J124" s="719">
        <f>SUM(J122+J123)</f>
        <v>719858</v>
      </c>
      <c r="K124" s="719">
        <f>SUM(K122+K123)</f>
        <v>1092680</v>
      </c>
      <c r="L124" s="1175"/>
    </row>
    <row r="125" spans="1:12" ht="13.5" thickBot="1">
      <c r="A125" s="715"/>
      <c r="B125" s="1187"/>
      <c r="C125" s="1188"/>
      <c r="D125" s="1189"/>
      <c r="E125" s="1189"/>
      <c r="F125" s="1189"/>
      <c r="G125" s="1189"/>
      <c r="H125" s="1189"/>
      <c r="I125" s="1189"/>
      <c r="J125" s="1190"/>
      <c r="K125" s="1191"/>
      <c r="L125" s="720"/>
    </row>
    <row r="126" spans="1:12" ht="12.75">
      <c r="A126" s="725">
        <v>93</v>
      </c>
      <c r="B126" s="722" t="s">
        <v>937</v>
      </c>
      <c r="C126" s="723">
        <v>2588370</v>
      </c>
      <c r="D126" s="743"/>
      <c r="E126" s="743"/>
      <c r="F126" s="713">
        <v>816596</v>
      </c>
      <c r="G126" s="713">
        <v>1208430</v>
      </c>
      <c r="H126" s="713">
        <v>563344</v>
      </c>
      <c r="I126" s="774"/>
      <c r="J126" s="1183"/>
      <c r="K126" s="1183"/>
      <c r="L126" s="708">
        <v>1208430</v>
      </c>
    </row>
    <row r="127" spans="1:12" ht="12.75">
      <c r="A127" s="725">
        <v>94</v>
      </c>
      <c r="B127" s="726" t="s">
        <v>938</v>
      </c>
      <c r="C127" s="727">
        <v>521854</v>
      </c>
      <c r="D127" s="836"/>
      <c r="E127" s="836"/>
      <c r="F127" s="713">
        <v>110969</v>
      </c>
      <c r="G127" s="713">
        <v>386554</v>
      </c>
      <c r="H127" s="713">
        <v>24331</v>
      </c>
      <c r="I127" s="838"/>
      <c r="J127" s="1184"/>
      <c r="K127" s="1184"/>
      <c r="L127" s="714">
        <v>386554</v>
      </c>
    </row>
    <row r="128" spans="1:12" ht="12.75">
      <c r="A128" s="725">
        <v>95</v>
      </c>
      <c r="B128" s="728" t="s">
        <v>939</v>
      </c>
      <c r="C128" s="773">
        <v>973100</v>
      </c>
      <c r="D128" s="776"/>
      <c r="E128" s="776"/>
      <c r="F128" s="837">
        <v>0</v>
      </c>
      <c r="G128" s="713">
        <v>973100</v>
      </c>
      <c r="H128" s="837">
        <v>0</v>
      </c>
      <c r="I128" s="777"/>
      <c r="J128" s="1174"/>
      <c r="K128" s="1174"/>
      <c r="L128" s="761">
        <f>973100-755546</f>
        <v>217554</v>
      </c>
    </row>
    <row r="129" spans="1:12" ht="13.5" thickBot="1">
      <c r="A129" s="725">
        <v>96</v>
      </c>
      <c r="B129" s="728" t="s">
        <v>973</v>
      </c>
      <c r="C129" s="773">
        <v>2036448</v>
      </c>
      <c r="D129" s="836"/>
      <c r="E129" s="836"/>
      <c r="F129" s="837">
        <v>0</v>
      </c>
      <c r="G129" s="713">
        <v>2036448</v>
      </c>
      <c r="H129" s="837">
        <v>0</v>
      </c>
      <c r="I129" s="836"/>
      <c r="J129" s="1179"/>
      <c r="K129" s="1179"/>
      <c r="L129" s="761">
        <v>0</v>
      </c>
    </row>
    <row r="130" spans="1:12" ht="14.25" thickBot="1" thickTop="1">
      <c r="A130" s="805">
        <v>97</v>
      </c>
      <c r="B130" s="806" t="s">
        <v>361</v>
      </c>
      <c r="C130" s="734">
        <f>SUM(C126:C129)</f>
        <v>6119772</v>
      </c>
      <c r="D130" s="751"/>
      <c r="E130" s="751"/>
      <c r="F130" s="807">
        <f>SUM(F126:F129)</f>
        <v>927565</v>
      </c>
      <c r="G130" s="807">
        <f>SUM(G126:G129)</f>
        <v>4604532</v>
      </c>
      <c r="H130" s="807">
        <f>SUM(H126:H129)</f>
        <v>587675</v>
      </c>
      <c r="I130" s="751"/>
      <c r="J130" s="751"/>
      <c r="K130" s="751"/>
      <c r="L130" s="736">
        <f>SUM(L126:L129)</f>
        <v>1812538</v>
      </c>
    </row>
    <row r="131" spans="1:12" ht="14.25" thickBot="1" thickTop="1">
      <c r="A131" s="839"/>
      <c r="B131" s="808"/>
      <c r="C131" s="792"/>
      <c r="D131" s="793"/>
      <c r="E131" s="792"/>
      <c r="F131" s="792"/>
      <c r="G131" s="793"/>
      <c r="H131" s="793"/>
      <c r="I131" s="793"/>
      <c r="J131" s="794"/>
      <c r="K131" s="794"/>
      <c r="L131" s="795"/>
    </row>
    <row r="132" spans="1:12" ht="14.25" thickBot="1" thickTop="1">
      <c r="A132" s="704"/>
      <c r="B132" s="1192"/>
      <c r="C132" s="1193"/>
      <c r="D132" s="1193"/>
      <c r="E132" s="1193"/>
      <c r="F132" s="1193"/>
      <c r="G132" s="1193"/>
      <c r="H132" s="1193"/>
      <c r="I132" s="1193"/>
      <c r="J132" s="1193"/>
      <c r="K132" s="1193"/>
      <c r="L132" s="1194"/>
    </row>
    <row r="133" spans="1:12" ht="19.5" thickBot="1" thickTop="1">
      <c r="A133" s="809"/>
      <c r="B133" s="1164" t="s">
        <v>678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6"/>
    </row>
    <row r="134" spans="1:12" ht="14.25" thickBot="1" thickTop="1">
      <c r="A134" s="701"/>
      <c r="B134" s="1167"/>
      <c r="C134" s="1168"/>
      <c r="D134" s="1168"/>
      <c r="E134" s="1168"/>
      <c r="F134" s="1168"/>
      <c r="G134" s="1168"/>
      <c r="H134" s="1168"/>
      <c r="I134" s="1168"/>
      <c r="J134" s="1168"/>
      <c r="K134" s="1168"/>
      <c r="L134" s="1169"/>
    </row>
    <row r="135" spans="1:12" ht="16.5" thickBot="1" thickTop="1">
      <c r="A135" s="702">
        <v>98</v>
      </c>
      <c r="B135" s="1195" t="s">
        <v>956</v>
      </c>
      <c r="C135" s="1196"/>
      <c r="D135" s="1196"/>
      <c r="E135" s="1196"/>
      <c r="F135" s="1196"/>
      <c r="G135" s="1196"/>
      <c r="H135" s="1196"/>
      <c r="I135" s="1196"/>
      <c r="J135" s="1196"/>
      <c r="K135" s="1196"/>
      <c r="L135" s="810"/>
    </row>
    <row r="136" spans="1:12" ht="12.75">
      <c r="A136" s="704">
        <v>99</v>
      </c>
      <c r="B136" s="747" t="s">
        <v>934</v>
      </c>
      <c r="C136" s="811">
        <v>0</v>
      </c>
      <c r="D136" s="812"/>
      <c r="E136" s="813">
        <v>0</v>
      </c>
      <c r="F136" s="813">
        <v>0</v>
      </c>
      <c r="G136" s="813">
        <v>0</v>
      </c>
      <c r="H136" s="813"/>
      <c r="I136" s="812"/>
      <c r="J136" s="761">
        <v>0</v>
      </c>
      <c r="K136" s="761">
        <v>0</v>
      </c>
      <c r="L136" s="1174"/>
    </row>
    <row r="137" spans="1:12" ht="13.5" thickBot="1">
      <c r="A137" s="709">
        <v>100</v>
      </c>
      <c r="B137" s="710" t="s">
        <v>935</v>
      </c>
      <c r="C137" s="711">
        <v>88217316</v>
      </c>
      <c r="D137" s="753"/>
      <c r="E137" s="713">
        <v>45094449</v>
      </c>
      <c r="F137" s="713">
        <v>0</v>
      </c>
      <c r="G137" s="713">
        <v>0</v>
      </c>
      <c r="H137" s="713">
        <v>43122867</v>
      </c>
      <c r="I137" s="753"/>
      <c r="J137" s="714">
        <f>7760424+10500000</f>
        <v>18260424</v>
      </c>
      <c r="K137" s="714">
        <v>5354163</v>
      </c>
      <c r="L137" s="1174"/>
    </row>
    <row r="138" spans="1:12" ht="13.5" thickBot="1">
      <c r="A138" s="715">
        <v>101</v>
      </c>
      <c r="B138" s="716" t="s">
        <v>936</v>
      </c>
      <c r="C138" s="717">
        <f>SUM(C136:C137)</f>
        <v>88217316</v>
      </c>
      <c r="D138" s="754"/>
      <c r="E138" s="718">
        <f>SUM(E136:E137)</f>
        <v>45094449</v>
      </c>
      <c r="F138" s="718">
        <f>SUM(F136:F137)</f>
        <v>0</v>
      </c>
      <c r="G138" s="718">
        <f>SUM(G136:G137)</f>
        <v>0</v>
      </c>
      <c r="H138" s="718">
        <f>SUM(H136:H137)</f>
        <v>43122867</v>
      </c>
      <c r="I138" s="754"/>
      <c r="J138" s="719">
        <f>SUM(J136:J137)</f>
        <v>18260424</v>
      </c>
      <c r="K138" s="719">
        <f>SUM(K136:K137)</f>
        <v>5354163</v>
      </c>
      <c r="L138" s="1175"/>
    </row>
    <row r="139" spans="1:12" ht="13.5" thickBot="1">
      <c r="A139" s="715"/>
      <c r="B139" s="1176"/>
      <c r="C139" s="1177"/>
      <c r="D139" s="1177"/>
      <c r="E139" s="1177"/>
      <c r="F139" s="1177"/>
      <c r="G139" s="1177"/>
      <c r="H139" s="1177"/>
      <c r="I139" s="1177"/>
      <c r="J139" s="1177"/>
      <c r="K139" s="1178"/>
      <c r="L139" s="720"/>
    </row>
    <row r="140" spans="1:12" ht="12.75">
      <c r="A140" s="721">
        <v>102</v>
      </c>
      <c r="B140" s="722" t="s">
        <v>937</v>
      </c>
      <c r="C140" s="744">
        <f>SUM(E140:H140)</f>
        <v>53041950</v>
      </c>
      <c r="D140" s="755"/>
      <c r="E140" s="745">
        <v>4082460</v>
      </c>
      <c r="F140" s="739">
        <v>23773325</v>
      </c>
      <c r="G140" s="739">
        <v>23773325</v>
      </c>
      <c r="H140" s="739">
        <v>1412840</v>
      </c>
      <c r="I140" s="755"/>
      <c r="J140" s="1173"/>
      <c r="K140" s="1173"/>
      <c r="L140" s="708">
        <f>7710424+2756937+482464</f>
        <v>10949825</v>
      </c>
    </row>
    <row r="141" spans="1:12" ht="12.75">
      <c r="A141" s="725">
        <v>103</v>
      </c>
      <c r="B141" s="726" t="s">
        <v>938</v>
      </c>
      <c r="C141" s="727">
        <f>SUM(E141:H141)</f>
        <v>33488176</v>
      </c>
      <c r="D141" s="764"/>
      <c r="E141" s="713">
        <v>12718558</v>
      </c>
      <c r="F141" s="712">
        <v>10002127</v>
      </c>
      <c r="G141" s="712">
        <v>10002126</v>
      </c>
      <c r="H141" s="712">
        <v>765365</v>
      </c>
      <c r="I141" s="764"/>
      <c r="J141" s="1174"/>
      <c r="K141" s="1174"/>
      <c r="L141" s="714">
        <f>50000+2114762+10500000</f>
        <v>12664762</v>
      </c>
    </row>
    <row r="142" spans="1:12" ht="13.5" thickBot="1">
      <c r="A142" s="725">
        <v>104</v>
      </c>
      <c r="B142" s="765" t="s">
        <v>939</v>
      </c>
      <c r="C142" s="773">
        <f>SUM(E142:H142)</f>
        <v>1687190</v>
      </c>
      <c r="D142" s="767"/>
      <c r="E142" s="713">
        <v>862449</v>
      </c>
      <c r="F142" s="712">
        <v>412371</v>
      </c>
      <c r="G142" s="712">
        <v>412370</v>
      </c>
      <c r="H142" s="712">
        <v>0</v>
      </c>
      <c r="I142" s="767"/>
      <c r="J142" s="1174"/>
      <c r="K142" s="1174"/>
      <c r="L142" s="714">
        <v>0</v>
      </c>
    </row>
    <row r="143" spans="1:12" ht="13.5" thickBot="1">
      <c r="A143" s="732">
        <v>105</v>
      </c>
      <c r="B143" s="733" t="s">
        <v>361</v>
      </c>
      <c r="C143" s="734">
        <f>SUM(C140:C142)</f>
        <v>88217316</v>
      </c>
      <c r="D143" s="751"/>
      <c r="E143" s="735">
        <f>SUM(E140:E142)</f>
        <v>17663467</v>
      </c>
      <c r="F143" s="735">
        <f>SUM(F140:F142)</f>
        <v>34187823</v>
      </c>
      <c r="G143" s="735">
        <f>SUM(G140:G142)</f>
        <v>34187821</v>
      </c>
      <c r="H143" s="735">
        <f>SUM(H140:H142)</f>
        <v>2178205</v>
      </c>
      <c r="I143" s="751"/>
      <c r="J143" s="1179"/>
      <c r="K143" s="1179"/>
      <c r="L143" s="736">
        <f>SUM(L140:L142)</f>
        <v>23614587</v>
      </c>
    </row>
    <row r="144" ht="14.25" thickBot="1" thickTop="1"/>
    <row r="145" spans="1:12" ht="19.5" thickBot="1" thickTop="1">
      <c r="A145" s="809"/>
      <c r="B145" s="1164" t="s">
        <v>715</v>
      </c>
      <c r="C145" s="1165"/>
      <c r="D145" s="1165"/>
      <c r="E145" s="1165"/>
      <c r="F145" s="1165"/>
      <c r="G145" s="1165"/>
      <c r="H145" s="1165"/>
      <c r="I145" s="1165"/>
      <c r="J145" s="1165"/>
      <c r="K145" s="1165"/>
      <c r="L145" s="1166"/>
    </row>
    <row r="146" spans="1:12" ht="14.25" thickBot="1" thickTop="1">
      <c r="A146" s="1197"/>
      <c r="B146" s="1198"/>
      <c r="C146" s="1198"/>
      <c r="D146" s="1198"/>
      <c r="E146" s="1198"/>
      <c r="F146" s="1198"/>
      <c r="G146" s="1198"/>
      <c r="H146" s="1198"/>
      <c r="I146" s="1198"/>
      <c r="J146" s="1198"/>
      <c r="K146" s="1198"/>
      <c r="L146" s="1199"/>
    </row>
    <row r="147" spans="1:12" ht="16.5" thickBot="1" thickTop="1">
      <c r="A147" s="702">
        <v>106</v>
      </c>
      <c r="B147" s="1200" t="s">
        <v>958</v>
      </c>
      <c r="C147" s="1201"/>
      <c r="D147" s="1201"/>
      <c r="E147" s="1201"/>
      <c r="F147" s="1201"/>
      <c r="G147" s="1201"/>
      <c r="H147" s="1201"/>
      <c r="I147" s="1201"/>
      <c r="J147" s="1201"/>
      <c r="K147" s="1201"/>
      <c r="L147" s="1202"/>
    </row>
    <row r="148" spans="1:12" ht="12.75">
      <c r="A148" s="704">
        <v>107</v>
      </c>
      <c r="B148" s="705" t="s">
        <v>934</v>
      </c>
      <c r="C148" s="706">
        <v>0</v>
      </c>
      <c r="D148" s="752"/>
      <c r="E148" s="752"/>
      <c r="F148" s="707">
        <v>0</v>
      </c>
      <c r="G148" s="752"/>
      <c r="H148" s="752"/>
      <c r="I148" s="752"/>
      <c r="J148" s="708">
        <v>0</v>
      </c>
      <c r="K148" s="708">
        <v>0</v>
      </c>
      <c r="L148" s="1173"/>
    </row>
    <row r="149" spans="1:12" ht="13.5" thickBot="1">
      <c r="A149" s="709">
        <v>108</v>
      </c>
      <c r="B149" s="710" t="s">
        <v>935</v>
      </c>
      <c r="C149" s="711">
        <v>25000000</v>
      </c>
      <c r="D149" s="753"/>
      <c r="E149" s="753"/>
      <c r="F149" s="713">
        <v>25000000</v>
      </c>
      <c r="G149" s="753"/>
      <c r="H149" s="753"/>
      <c r="I149" s="753"/>
      <c r="J149" s="714">
        <v>5642681</v>
      </c>
      <c r="K149" s="714">
        <v>0</v>
      </c>
      <c r="L149" s="1174"/>
    </row>
    <row r="150" spans="1:12" ht="13.5" thickBot="1">
      <c r="A150" s="715">
        <v>109</v>
      </c>
      <c r="B150" s="716" t="s">
        <v>936</v>
      </c>
      <c r="C150" s="717">
        <f>SUM(C148:C149)</f>
        <v>25000000</v>
      </c>
      <c r="D150" s="754"/>
      <c r="E150" s="754"/>
      <c r="F150" s="718">
        <f>SUM(F148:F149)</f>
        <v>25000000</v>
      </c>
      <c r="G150" s="754"/>
      <c r="H150" s="754"/>
      <c r="I150" s="754"/>
      <c r="J150" s="719">
        <f>SUM(J148:J149)</f>
        <v>5642681</v>
      </c>
      <c r="K150" s="719">
        <f>SUM(K148:K149)</f>
        <v>0</v>
      </c>
      <c r="L150" s="1175"/>
    </row>
    <row r="151" spans="1:12" ht="13.5" thickBot="1">
      <c r="A151" s="715"/>
      <c r="B151" s="1176"/>
      <c r="C151" s="1177"/>
      <c r="D151" s="1177"/>
      <c r="E151" s="1177"/>
      <c r="F151" s="1177"/>
      <c r="G151" s="1177"/>
      <c r="H151" s="1177"/>
      <c r="I151" s="1177"/>
      <c r="J151" s="1177"/>
      <c r="K151" s="1178"/>
      <c r="L151" s="720"/>
    </row>
    <row r="152" spans="1:12" ht="12.75">
      <c r="A152" s="721">
        <v>110</v>
      </c>
      <c r="B152" s="722" t="s">
        <v>937</v>
      </c>
      <c r="C152" s="744">
        <f>SUM(E152:H152)</f>
        <v>8407749</v>
      </c>
      <c r="D152" s="755"/>
      <c r="E152" s="755"/>
      <c r="F152" s="745">
        <v>8407749</v>
      </c>
      <c r="G152" s="755"/>
      <c r="H152" s="755"/>
      <c r="I152" s="755"/>
      <c r="J152" s="1173"/>
      <c r="K152" s="1173"/>
      <c r="L152" s="708">
        <f>2115000+13166+1000000+175000</f>
        <v>3303166</v>
      </c>
    </row>
    <row r="153" spans="1:12" ht="12.75">
      <c r="A153" s="725">
        <v>111</v>
      </c>
      <c r="B153" s="726" t="s">
        <v>938</v>
      </c>
      <c r="C153" s="727">
        <f>SUM(E153:H153)</f>
        <v>14095151</v>
      </c>
      <c r="D153" s="764"/>
      <c r="E153" s="764"/>
      <c r="F153" s="713">
        <v>14095151</v>
      </c>
      <c r="G153" s="764"/>
      <c r="H153" s="764"/>
      <c r="I153" s="764"/>
      <c r="J153" s="1174"/>
      <c r="K153" s="1174"/>
      <c r="L153" s="714">
        <f>3527681-13166-1175000</f>
        <v>2339515</v>
      </c>
    </row>
    <row r="154" spans="1:12" ht="13.5" thickBot="1">
      <c r="A154" s="725">
        <v>112</v>
      </c>
      <c r="B154" s="765" t="s">
        <v>939</v>
      </c>
      <c r="C154" s="773">
        <f>SUM(E154:H154)</f>
        <v>2497100</v>
      </c>
      <c r="D154" s="767"/>
      <c r="E154" s="767"/>
      <c r="F154" s="770">
        <v>2497100</v>
      </c>
      <c r="G154" s="767"/>
      <c r="H154" s="767"/>
      <c r="I154" s="767"/>
      <c r="J154" s="1174"/>
      <c r="K154" s="1174"/>
      <c r="L154" s="714">
        <v>0</v>
      </c>
    </row>
    <row r="155" spans="1:12" ht="13.5" thickBot="1">
      <c r="A155" s="732">
        <v>113</v>
      </c>
      <c r="B155" s="733" t="s">
        <v>361</v>
      </c>
      <c r="C155" s="734">
        <f>SUM(C152:C154)</f>
        <v>25000000</v>
      </c>
      <c r="D155" s="751"/>
      <c r="E155" s="751"/>
      <c r="F155" s="735">
        <f>SUM(F152:F154)</f>
        <v>25000000</v>
      </c>
      <c r="G155" s="751"/>
      <c r="H155" s="751"/>
      <c r="I155" s="751"/>
      <c r="J155" s="1179"/>
      <c r="K155" s="1179"/>
      <c r="L155" s="736">
        <f>SUM(L152:L154)</f>
        <v>5642681</v>
      </c>
    </row>
    <row r="156" spans="1:12" ht="13.5" thickTop="1">
      <c r="A156" s="690"/>
      <c r="B156" s="1177"/>
      <c r="C156" s="1177"/>
      <c r="D156" s="1177"/>
      <c r="E156" s="1177"/>
      <c r="F156" s="1177"/>
      <c r="G156" s="1177"/>
      <c r="H156" s="1177"/>
      <c r="I156" s="1177"/>
      <c r="J156" s="1177"/>
      <c r="K156" s="1177"/>
      <c r="L156" s="814"/>
    </row>
  </sheetData>
  <sheetProtection/>
  <mergeCells count="92">
    <mergeCell ref="B156:K156"/>
    <mergeCell ref="A146:L146"/>
    <mergeCell ref="B147:L147"/>
    <mergeCell ref="L148:L150"/>
    <mergeCell ref="B151:K151"/>
    <mergeCell ref="J152:J155"/>
    <mergeCell ref="K152:K155"/>
    <mergeCell ref="B135:K135"/>
    <mergeCell ref="L136:L138"/>
    <mergeCell ref="K140:K143"/>
    <mergeCell ref="B145:L145"/>
    <mergeCell ref="B139:K139"/>
    <mergeCell ref="J140:J143"/>
    <mergeCell ref="B121:K121"/>
    <mergeCell ref="L122:L124"/>
    <mergeCell ref="B133:L133"/>
    <mergeCell ref="B134:L134"/>
    <mergeCell ref="B125:K125"/>
    <mergeCell ref="B132:L132"/>
    <mergeCell ref="B106:K106"/>
    <mergeCell ref="J107:J109"/>
    <mergeCell ref="K107:K109"/>
    <mergeCell ref="B111:K111"/>
    <mergeCell ref="J116:J119"/>
    <mergeCell ref="K116:K119"/>
    <mergeCell ref="L112:L114"/>
    <mergeCell ref="B115:K115"/>
    <mergeCell ref="B91:K91"/>
    <mergeCell ref="B92:K92"/>
    <mergeCell ref="L93:L95"/>
    <mergeCell ref="B96:K96"/>
    <mergeCell ref="J97:J100"/>
    <mergeCell ref="K97:K100"/>
    <mergeCell ref="B102:K102"/>
    <mergeCell ref="L103:L105"/>
    <mergeCell ref="B79:K79"/>
    <mergeCell ref="B80:K80"/>
    <mergeCell ref="L81:L83"/>
    <mergeCell ref="B84:K84"/>
    <mergeCell ref="J85:J90"/>
    <mergeCell ref="K85:K90"/>
    <mergeCell ref="B69:K69"/>
    <mergeCell ref="B70:K70"/>
    <mergeCell ref="L71:L73"/>
    <mergeCell ref="B74:K74"/>
    <mergeCell ref="J75:J78"/>
    <mergeCell ref="K75:K78"/>
    <mergeCell ref="B58:K58"/>
    <mergeCell ref="B59:K59"/>
    <mergeCell ref="L60:L62"/>
    <mergeCell ref="B63:K63"/>
    <mergeCell ref="J64:J68"/>
    <mergeCell ref="K64:K68"/>
    <mergeCell ref="B48:K48"/>
    <mergeCell ref="L49:L51"/>
    <mergeCell ref="B52:K52"/>
    <mergeCell ref="C53:C54"/>
    <mergeCell ref="J53:J57"/>
    <mergeCell ref="K53:K57"/>
    <mergeCell ref="B33:L33"/>
    <mergeCell ref="J126:J129"/>
    <mergeCell ref="K126:K129"/>
    <mergeCell ref="B34:K34"/>
    <mergeCell ref="L35:L38"/>
    <mergeCell ref="B39:K39"/>
    <mergeCell ref="C40:C41"/>
    <mergeCell ref="J40:J46"/>
    <mergeCell ref="K40:K46"/>
    <mergeCell ref="B47:L47"/>
    <mergeCell ref="B23:L23"/>
    <mergeCell ref="B24:K24"/>
    <mergeCell ref="L25:L27"/>
    <mergeCell ref="B28:K28"/>
    <mergeCell ref="J29:J32"/>
    <mergeCell ref="K29:K32"/>
    <mergeCell ref="B12:L12"/>
    <mergeCell ref="B13:L13"/>
    <mergeCell ref="B14:K14"/>
    <mergeCell ref="L15:L17"/>
    <mergeCell ref="B18:K18"/>
    <mergeCell ref="J19:J22"/>
    <mergeCell ref="K19:K22"/>
    <mergeCell ref="B1:L1"/>
    <mergeCell ref="B4:L4"/>
    <mergeCell ref="A8:A10"/>
    <mergeCell ref="B8:B10"/>
    <mergeCell ref="C8:I8"/>
    <mergeCell ref="J8:J10"/>
    <mergeCell ref="K8:K10"/>
    <mergeCell ref="L8:L10"/>
    <mergeCell ref="C9:C10"/>
    <mergeCell ref="D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78"/>
  <sheetViews>
    <sheetView zoomScalePageLayoutView="0" workbookViewId="0" topLeftCell="A1">
      <selection activeCell="G61" sqref="G61"/>
    </sheetView>
  </sheetViews>
  <sheetFormatPr defaultColWidth="9.00390625" defaultRowHeight="12.75"/>
  <cols>
    <col min="1" max="1" width="6.125" style="123" customWidth="1"/>
    <col min="2" max="4" width="9.125" style="123" customWidth="1"/>
    <col min="5" max="5" width="40.375" style="123" customWidth="1"/>
    <col min="6" max="6" width="16.125" style="123" bestFit="1" customWidth="1"/>
    <col min="7" max="7" width="14.125" style="123" bestFit="1" customWidth="1"/>
    <col min="8" max="9" width="14.875" style="123" customWidth="1"/>
    <col min="10" max="10" width="16.00390625" style="123" bestFit="1" customWidth="1"/>
    <col min="11" max="16384" width="9.125" style="123" customWidth="1"/>
  </cols>
  <sheetData>
    <row r="1" spans="1:10" s="127" customFormat="1" ht="12.75">
      <c r="A1" s="880" t="s">
        <v>1019</v>
      </c>
      <c r="B1" s="880"/>
      <c r="C1" s="880"/>
      <c r="D1" s="880"/>
      <c r="E1" s="880"/>
      <c r="F1" s="880"/>
      <c r="G1" s="880"/>
      <c r="H1" s="880"/>
      <c r="I1" s="880"/>
      <c r="J1" s="880"/>
    </row>
    <row r="2" spans="1:10" s="127" customFormat="1" ht="9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127" customFormat="1" ht="16.5">
      <c r="A3" s="881" t="s">
        <v>784</v>
      </c>
      <c r="B3" s="881"/>
      <c r="C3" s="881"/>
      <c r="D3" s="881"/>
      <c r="E3" s="881"/>
      <c r="F3" s="881"/>
      <c r="G3" s="881"/>
      <c r="H3" s="881"/>
      <c r="I3" s="881"/>
      <c r="J3" s="881"/>
    </row>
    <row r="4" spans="1:10" s="127" customFormat="1" ht="12.75">
      <c r="A4" s="128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78" customHeight="1">
      <c r="A5" s="882" t="s">
        <v>0</v>
      </c>
      <c r="B5" s="883"/>
      <c r="C5" s="883"/>
      <c r="D5" s="883"/>
      <c r="E5" s="884"/>
      <c r="F5" s="130" t="s">
        <v>86</v>
      </c>
      <c r="G5" s="130" t="s">
        <v>362</v>
      </c>
      <c r="H5" s="130" t="s">
        <v>678</v>
      </c>
      <c r="I5" s="130" t="s">
        <v>715</v>
      </c>
      <c r="J5" s="131" t="s">
        <v>357</v>
      </c>
    </row>
    <row r="6" spans="1:10" s="134" customFormat="1" ht="15">
      <c r="A6" s="132" t="s">
        <v>417</v>
      </c>
      <c r="B6" s="885" t="s">
        <v>418</v>
      </c>
      <c r="C6" s="886"/>
      <c r="D6" s="886"/>
      <c r="E6" s="887"/>
      <c r="F6" s="133" t="s">
        <v>419</v>
      </c>
      <c r="G6" s="133" t="s">
        <v>420</v>
      </c>
      <c r="H6" s="133" t="s">
        <v>421</v>
      </c>
      <c r="I6" s="133" t="s">
        <v>422</v>
      </c>
      <c r="J6" s="133" t="s">
        <v>424</v>
      </c>
    </row>
    <row r="7" spans="1:11" ht="14.25" customHeight="1">
      <c r="A7" s="135" t="s">
        <v>1</v>
      </c>
      <c r="B7" s="877" t="s">
        <v>336</v>
      </c>
      <c r="C7" s="877"/>
      <c r="D7" s="877"/>
      <c r="E7" s="877"/>
      <c r="F7" s="122">
        <f>34989435+3693375+12115695+1044000+609406+25000+27396716+80000+5400000+8650000+2543600+24650000+18342800+33000+1350000+1125000+23197320+11080125+6600+5000000+1344830+3459090+2500000+347826+45939+4891800+241500+16410600-416917</f>
        <v>210156740</v>
      </c>
      <c r="G7" s="122">
        <f>91562414+4740000+2452125+103400+1263600-340425+513114+334626+416917</f>
        <v>101045771</v>
      </c>
      <c r="H7" s="122">
        <f>169355757+3215520+639450-330000-1461600+2756937+1035000-976500+1125000-1245375+216700+1690500</f>
        <v>176021389</v>
      </c>
      <c r="I7" s="122">
        <f>2802000+11931088+1980314+1800000-775591+300000+241500+1000000</f>
        <v>19279311</v>
      </c>
      <c r="J7" s="623">
        <f>SUM(F7:I7)</f>
        <v>506503211</v>
      </c>
      <c r="K7" s="516"/>
    </row>
    <row r="8" spans="1:11" ht="13.5" customHeight="1">
      <c r="A8" s="135" t="s">
        <v>3</v>
      </c>
      <c r="B8" s="877" t="s">
        <v>4</v>
      </c>
      <c r="C8" s="877"/>
      <c r="D8" s="877"/>
      <c r="E8" s="877"/>
      <c r="F8" s="122">
        <f>8083672+323170+1060123+164430+143206+3938+4793101+38963+927500+1409909+445130+4900455+3773040+5197+236250+196875+2029806+969525+1155+875000+208449+536159+387500+52174-45939+311347+44564+81181+3163+492+110+428040+37432+2543643-64622</f>
        <v>34904138</v>
      </c>
      <c r="G8" s="122">
        <f>16696818+829500+429122+18095+221130-59575-513114+64622</f>
        <v>17686598</v>
      </c>
      <c r="H8" s="122">
        <f>33361183+562716+111904-57750-255780+482464+181125-170887+196875-217940+37923+262078</f>
        <v>34493911</v>
      </c>
      <c r="I8" s="122">
        <f>490350+2122958+964502+315000-377745+13166+367133+37432+175000</f>
        <v>4107796</v>
      </c>
      <c r="J8" s="623">
        <f aca="true" t="shared" si="0" ref="J8:J72">SUM(F8:I8)</f>
        <v>91192443</v>
      </c>
      <c r="K8" s="516"/>
    </row>
    <row r="9" spans="1:11" ht="12" customHeight="1">
      <c r="A9" s="135" t="s">
        <v>5</v>
      </c>
      <c r="B9" s="877" t="s">
        <v>6</v>
      </c>
      <c r="C9" s="877"/>
      <c r="D9" s="877"/>
      <c r="E9" s="877"/>
      <c r="F9" s="122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</f>
        <v>457680625</v>
      </c>
      <c r="G9" s="122">
        <f>26913440+2000</f>
        <v>26915440</v>
      </c>
      <c r="H9" s="122">
        <f>56130277-781083+2114762-47925+10500000+550024+348851+31954</f>
        <v>68846860</v>
      </c>
      <c r="I9" s="122">
        <f>1082115+290700+14446890+7003586+3527681-317500+144779-2575544-800000-13166+2954117-1175000</f>
        <v>24568658</v>
      </c>
      <c r="J9" s="623">
        <f t="shared" si="0"/>
        <v>578011583</v>
      </c>
      <c r="K9" s="516"/>
    </row>
    <row r="10" spans="1:11" ht="12.75">
      <c r="A10" s="135" t="s">
        <v>8</v>
      </c>
      <c r="B10" s="877" t="s">
        <v>9</v>
      </c>
      <c r="C10" s="877"/>
      <c r="D10" s="877"/>
      <c r="E10" s="877"/>
      <c r="F10" s="122">
        <f>SUM(F11,F12,F15:F20)</f>
        <v>3804900</v>
      </c>
      <c r="G10" s="122">
        <f>SUM(G11,G12,G15:G20)</f>
        <v>0</v>
      </c>
      <c r="H10" s="122">
        <f>SUM(H11,H12,H15:H20)</f>
        <v>0</v>
      </c>
      <c r="I10" s="122">
        <f>SUM(I11,I12,I15:I20)</f>
        <v>0</v>
      </c>
      <c r="J10" s="623">
        <f t="shared" si="0"/>
        <v>3804900</v>
      </c>
      <c r="K10" s="516"/>
    </row>
    <row r="11" spans="1:11" ht="12.75">
      <c r="A11" s="118"/>
      <c r="B11" s="118" t="s">
        <v>10</v>
      </c>
      <c r="C11" s="888" t="s">
        <v>11</v>
      </c>
      <c r="D11" s="889"/>
      <c r="E11" s="890"/>
      <c r="F11" s="121">
        <v>0</v>
      </c>
      <c r="G11" s="121">
        <v>0</v>
      </c>
      <c r="H11" s="121">
        <v>0</v>
      </c>
      <c r="I11" s="121">
        <v>0</v>
      </c>
      <c r="J11" s="122">
        <f t="shared" si="0"/>
        <v>0</v>
      </c>
      <c r="K11" s="516"/>
    </row>
    <row r="12" spans="1:11" ht="12.75">
      <c r="A12" s="118"/>
      <c r="B12" s="118" t="s">
        <v>12</v>
      </c>
      <c r="C12" s="866" t="s">
        <v>13</v>
      </c>
      <c r="D12" s="866"/>
      <c r="E12" s="866"/>
      <c r="F12" s="121">
        <f>SUM(F13:F14)</f>
        <v>0</v>
      </c>
      <c r="G12" s="121">
        <f>SUM(G13:G14)</f>
        <v>0</v>
      </c>
      <c r="H12" s="121">
        <f>SUM(H13:H14)</f>
        <v>0</v>
      </c>
      <c r="I12" s="121">
        <f>SUM(I13:I14)</f>
        <v>0</v>
      </c>
      <c r="J12" s="122">
        <f t="shared" si="0"/>
        <v>0</v>
      </c>
      <c r="K12" s="516"/>
    </row>
    <row r="13" spans="1:11" ht="23.25" customHeight="1" hidden="1">
      <c r="A13" s="124"/>
      <c r="B13" s="118"/>
      <c r="C13" s="124"/>
      <c r="D13" s="873" t="s">
        <v>584</v>
      </c>
      <c r="E13" s="874"/>
      <c r="F13" s="125">
        <v>0</v>
      </c>
      <c r="G13" s="125"/>
      <c r="H13" s="125">
        <v>0</v>
      </c>
      <c r="I13" s="125">
        <v>0</v>
      </c>
      <c r="J13" s="136">
        <f t="shared" si="0"/>
        <v>0</v>
      </c>
      <c r="K13" s="516"/>
    </row>
    <row r="14" spans="1:11" ht="22.5" customHeight="1" hidden="1">
      <c r="A14" s="124"/>
      <c r="B14" s="118"/>
      <c r="C14" s="124"/>
      <c r="D14" s="878" t="s">
        <v>585</v>
      </c>
      <c r="E14" s="879"/>
      <c r="F14" s="125">
        <v>0</v>
      </c>
      <c r="G14" s="125">
        <v>0</v>
      </c>
      <c r="H14" s="125">
        <v>0</v>
      </c>
      <c r="I14" s="125">
        <v>0</v>
      </c>
      <c r="J14" s="136">
        <f t="shared" si="0"/>
        <v>0</v>
      </c>
      <c r="K14" s="516"/>
    </row>
    <row r="15" spans="1:11" ht="12.75">
      <c r="A15" s="118"/>
      <c r="B15" s="118" t="s">
        <v>118</v>
      </c>
      <c r="C15" s="866" t="s">
        <v>119</v>
      </c>
      <c r="D15" s="866"/>
      <c r="E15" s="866"/>
      <c r="F15" s="121">
        <v>0</v>
      </c>
      <c r="G15" s="121">
        <v>0</v>
      </c>
      <c r="H15" s="121">
        <v>0</v>
      </c>
      <c r="I15" s="121">
        <v>0</v>
      </c>
      <c r="J15" s="136">
        <f t="shared" si="0"/>
        <v>0</v>
      </c>
      <c r="K15" s="516"/>
    </row>
    <row r="16" spans="1:11" ht="12" customHeight="1">
      <c r="A16" s="118"/>
      <c r="B16" s="118" t="s">
        <v>120</v>
      </c>
      <c r="C16" s="888" t="s">
        <v>121</v>
      </c>
      <c r="D16" s="889"/>
      <c r="E16" s="890"/>
      <c r="F16" s="121">
        <f aca="true" t="shared" si="1" ref="F16:I17">SUM(F17:F18)</f>
        <v>0</v>
      </c>
      <c r="G16" s="121">
        <f t="shared" si="1"/>
        <v>0</v>
      </c>
      <c r="H16" s="121">
        <f t="shared" si="1"/>
        <v>0</v>
      </c>
      <c r="I16" s="121">
        <f t="shared" si="1"/>
        <v>0</v>
      </c>
      <c r="J16" s="136">
        <f t="shared" si="0"/>
        <v>0</v>
      </c>
      <c r="K16" s="516"/>
    </row>
    <row r="17" spans="1:11" ht="13.5" customHeight="1">
      <c r="A17" s="124"/>
      <c r="B17" s="118" t="s">
        <v>122</v>
      </c>
      <c r="C17" s="118" t="s">
        <v>123</v>
      </c>
      <c r="D17" s="119"/>
      <c r="E17" s="120"/>
      <c r="F17" s="121">
        <f t="shared" si="1"/>
        <v>0</v>
      </c>
      <c r="G17" s="121">
        <f t="shared" si="1"/>
        <v>0</v>
      </c>
      <c r="H17" s="121">
        <f t="shared" si="1"/>
        <v>0</v>
      </c>
      <c r="I17" s="121">
        <f t="shared" si="1"/>
        <v>0</v>
      </c>
      <c r="J17" s="136">
        <f t="shared" si="0"/>
        <v>0</v>
      </c>
      <c r="K17" s="516"/>
    </row>
    <row r="18" spans="1:11" ht="12.75">
      <c r="A18" s="118"/>
      <c r="B18" s="118" t="s">
        <v>124</v>
      </c>
      <c r="C18" s="888" t="s">
        <v>125</v>
      </c>
      <c r="D18" s="889"/>
      <c r="E18" s="890"/>
      <c r="F18" s="121">
        <f>SUM(F19)</f>
        <v>0</v>
      </c>
      <c r="G18" s="121">
        <f>SUM(G19)</f>
        <v>0</v>
      </c>
      <c r="H18" s="121">
        <f>SUM(H19)</f>
        <v>0</v>
      </c>
      <c r="I18" s="121">
        <f>SUM(I19)</f>
        <v>0</v>
      </c>
      <c r="J18" s="136">
        <f t="shared" si="0"/>
        <v>0</v>
      </c>
      <c r="K18" s="516"/>
    </row>
    <row r="19" spans="1:11" ht="12.75">
      <c r="A19" s="118"/>
      <c r="B19" s="118" t="s">
        <v>126</v>
      </c>
      <c r="C19" s="866" t="s">
        <v>14</v>
      </c>
      <c r="D19" s="866"/>
      <c r="E19" s="866"/>
      <c r="F19" s="121">
        <v>0</v>
      </c>
      <c r="G19" s="121">
        <v>0</v>
      </c>
      <c r="H19" s="121">
        <v>0</v>
      </c>
      <c r="I19" s="121">
        <v>0</v>
      </c>
      <c r="J19" s="136">
        <f t="shared" si="0"/>
        <v>0</v>
      </c>
      <c r="K19" s="516"/>
    </row>
    <row r="20" spans="1:11" ht="12.75">
      <c r="A20" s="118"/>
      <c r="B20" s="118" t="s">
        <v>127</v>
      </c>
      <c r="C20" s="888" t="s">
        <v>128</v>
      </c>
      <c r="D20" s="889"/>
      <c r="E20" s="890"/>
      <c r="F20" s="121">
        <f>SUM(F21:F22)</f>
        <v>3804900</v>
      </c>
      <c r="G20" s="121">
        <f>SUM(G21:G22)</f>
        <v>0</v>
      </c>
      <c r="H20" s="121">
        <f>SUM(H21:H22)</f>
        <v>0</v>
      </c>
      <c r="I20" s="121">
        <f>SUM(I21:I22)</f>
        <v>0</v>
      </c>
      <c r="J20" s="136">
        <f t="shared" si="0"/>
        <v>3804900</v>
      </c>
      <c r="K20" s="516"/>
    </row>
    <row r="21" spans="1:11" ht="12.75">
      <c r="A21" s="124"/>
      <c r="B21" s="124"/>
      <c r="C21" s="124"/>
      <c r="D21" s="888" t="s">
        <v>548</v>
      </c>
      <c r="E21" s="890"/>
      <c r="F21" s="125">
        <v>1500000</v>
      </c>
      <c r="G21" s="125">
        <v>0</v>
      </c>
      <c r="H21" s="125">
        <v>0</v>
      </c>
      <c r="I21" s="125">
        <v>0</v>
      </c>
      <c r="J21" s="136">
        <f t="shared" si="0"/>
        <v>1500000</v>
      </c>
      <c r="K21" s="516"/>
    </row>
    <row r="22" spans="1:11" s="126" customFormat="1" ht="12.75">
      <c r="A22" s="124"/>
      <c r="B22" s="124"/>
      <c r="C22" s="124"/>
      <c r="D22" s="888" t="s">
        <v>547</v>
      </c>
      <c r="E22" s="890"/>
      <c r="F22" s="125">
        <v>2304900</v>
      </c>
      <c r="G22" s="125">
        <v>0</v>
      </c>
      <c r="H22" s="125">
        <v>0</v>
      </c>
      <c r="I22" s="125">
        <v>0</v>
      </c>
      <c r="J22" s="136">
        <f t="shared" si="0"/>
        <v>2304900</v>
      </c>
      <c r="K22" s="516"/>
    </row>
    <row r="23" spans="1:11" ht="12" customHeight="1">
      <c r="A23" s="135" t="s">
        <v>129</v>
      </c>
      <c r="B23" s="867" t="s">
        <v>130</v>
      </c>
      <c r="C23" s="868"/>
      <c r="D23" s="868"/>
      <c r="E23" s="869"/>
      <c r="F23" s="122">
        <f>SUM(F57+F46+F45+F43+F42+F41+F40+F29+F28+F27+F26+F24+F25)</f>
        <v>195932427</v>
      </c>
      <c r="G23" s="122">
        <f>SUM(G57+G46+G43+G42+G41+G40+G29+G28+G27+G26+G24+G25)</f>
        <v>0</v>
      </c>
      <c r="H23" s="122">
        <f>SUM(H57+H46+H43+H42+H41+H40+H29+H28+H27+H26+H24+H25)</f>
        <v>0</v>
      </c>
      <c r="I23" s="122">
        <f>SUM(I57+I46+I43+I42+I41+I40+I29+I28+I27+I26+I24+I25)</f>
        <v>0</v>
      </c>
      <c r="J23" s="623">
        <f t="shared" si="0"/>
        <v>195932427</v>
      </c>
      <c r="K23" s="516"/>
    </row>
    <row r="24" spans="1:11" ht="6" customHeight="1" hidden="1">
      <c r="A24" s="124"/>
      <c r="B24" s="124"/>
      <c r="C24" s="124" t="s">
        <v>131</v>
      </c>
      <c r="D24" s="124" t="s">
        <v>132</v>
      </c>
      <c r="E24" s="124"/>
      <c r="F24" s="125">
        <v>0</v>
      </c>
      <c r="G24" s="125">
        <v>0</v>
      </c>
      <c r="H24" s="125">
        <v>0</v>
      </c>
      <c r="I24" s="125">
        <v>0</v>
      </c>
      <c r="J24" s="136">
        <f t="shared" si="0"/>
        <v>0</v>
      </c>
      <c r="K24" s="517"/>
    </row>
    <row r="25" spans="1:11" ht="15" customHeight="1">
      <c r="A25" s="124"/>
      <c r="B25" s="124"/>
      <c r="C25" s="124" t="s">
        <v>133</v>
      </c>
      <c r="D25" s="124" t="s">
        <v>134</v>
      </c>
      <c r="E25" s="124"/>
      <c r="F25" s="125">
        <f>36263474</f>
        <v>36263474</v>
      </c>
      <c r="G25" s="125">
        <v>0</v>
      </c>
      <c r="H25" s="125">
        <v>0</v>
      </c>
      <c r="I25" s="125">
        <v>0</v>
      </c>
      <c r="J25" s="136">
        <f t="shared" si="0"/>
        <v>36263474</v>
      </c>
      <c r="K25" s="517"/>
    </row>
    <row r="26" spans="1:11" ht="12.75" hidden="1">
      <c r="A26" s="124"/>
      <c r="B26" s="124"/>
      <c r="C26" s="124" t="s">
        <v>135</v>
      </c>
      <c r="D26" s="875" t="s">
        <v>136</v>
      </c>
      <c r="E26" s="876"/>
      <c r="F26" s="125">
        <v>0</v>
      </c>
      <c r="G26" s="125">
        <v>0</v>
      </c>
      <c r="H26" s="125">
        <v>0</v>
      </c>
      <c r="I26" s="125">
        <v>0</v>
      </c>
      <c r="J26" s="136">
        <f t="shared" si="0"/>
        <v>0</v>
      </c>
      <c r="K26" s="517"/>
    </row>
    <row r="27" spans="1:11" ht="12.75" hidden="1">
      <c r="A27" s="124"/>
      <c r="B27" s="124"/>
      <c r="C27" s="124" t="s">
        <v>137</v>
      </c>
      <c r="D27" s="875" t="s">
        <v>138</v>
      </c>
      <c r="E27" s="876"/>
      <c r="F27" s="125">
        <v>0</v>
      </c>
      <c r="G27" s="125">
        <v>0</v>
      </c>
      <c r="H27" s="125">
        <v>0</v>
      </c>
      <c r="I27" s="125">
        <v>0</v>
      </c>
      <c r="J27" s="136">
        <f t="shared" si="0"/>
        <v>0</v>
      </c>
      <c r="K27" s="517"/>
    </row>
    <row r="28" spans="1:11" ht="12.75" hidden="1">
      <c r="A28" s="124"/>
      <c r="B28" s="124"/>
      <c r="C28" s="124" t="s">
        <v>159</v>
      </c>
      <c r="D28" s="875" t="s">
        <v>160</v>
      </c>
      <c r="E28" s="876"/>
      <c r="F28" s="125">
        <v>0</v>
      </c>
      <c r="G28" s="125">
        <v>0</v>
      </c>
      <c r="H28" s="125">
        <v>0</v>
      </c>
      <c r="I28" s="125">
        <v>0</v>
      </c>
      <c r="J28" s="136">
        <f t="shared" si="0"/>
        <v>0</v>
      </c>
      <c r="K28" s="517"/>
    </row>
    <row r="29" spans="1:11" ht="12.75" hidden="1">
      <c r="A29" s="124"/>
      <c r="B29" s="124"/>
      <c r="C29" s="124" t="s">
        <v>161</v>
      </c>
      <c r="D29" s="875" t="s">
        <v>162</v>
      </c>
      <c r="E29" s="876"/>
      <c r="F29" s="125">
        <f>SUM(F30:F39)</f>
        <v>0</v>
      </c>
      <c r="G29" s="125">
        <f>SUM(G30:G39)</f>
        <v>0</v>
      </c>
      <c r="H29" s="125">
        <f>SUM(H30:H39)</f>
        <v>0</v>
      </c>
      <c r="I29" s="125">
        <f>SUM(I30:I39)</f>
        <v>0</v>
      </c>
      <c r="J29" s="136">
        <f t="shared" si="0"/>
        <v>0</v>
      </c>
      <c r="K29" s="517"/>
    </row>
    <row r="30" spans="1:11" ht="12.75" hidden="1">
      <c r="A30" s="137"/>
      <c r="B30" s="137"/>
      <c r="C30" s="138" t="s">
        <v>2</v>
      </c>
      <c r="D30" s="138" t="s">
        <v>139</v>
      </c>
      <c r="E30" s="138" t="s">
        <v>140</v>
      </c>
      <c r="F30" s="139">
        <v>0</v>
      </c>
      <c r="G30" s="139">
        <v>0</v>
      </c>
      <c r="H30" s="139">
        <v>0</v>
      </c>
      <c r="I30" s="139">
        <v>0</v>
      </c>
      <c r="J30" s="136">
        <f t="shared" si="0"/>
        <v>0</v>
      </c>
      <c r="K30" s="517"/>
    </row>
    <row r="31" spans="1:11" ht="12.75" hidden="1">
      <c r="A31" s="137"/>
      <c r="B31" s="137"/>
      <c r="C31" s="138"/>
      <c r="D31" s="138" t="s">
        <v>141</v>
      </c>
      <c r="E31" s="138" t="s">
        <v>142</v>
      </c>
      <c r="F31" s="139">
        <v>0</v>
      </c>
      <c r="G31" s="139">
        <v>0</v>
      </c>
      <c r="H31" s="139">
        <v>0</v>
      </c>
      <c r="I31" s="139">
        <v>0</v>
      </c>
      <c r="J31" s="136">
        <f t="shared" si="0"/>
        <v>0</v>
      </c>
      <c r="K31" s="517"/>
    </row>
    <row r="32" spans="1:11" ht="12.75" hidden="1">
      <c r="A32" s="137"/>
      <c r="B32" s="137"/>
      <c r="C32" s="138"/>
      <c r="D32" s="138" t="s">
        <v>143</v>
      </c>
      <c r="E32" s="138" t="s">
        <v>144</v>
      </c>
      <c r="F32" s="139">
        <v>0</v>
      </c>
      <c r="G32" s="139">
        <v>0</v>
      </c>
      <c r="H32" s="139">
        <v>0</v>
      </c>
      <c r="I32" s="139">
        <v>0</v>
      </c>
      <c r="J32" s="136">
        <f t="shared" si="0"/>
        <v>0</v>
      </c>
      <c r="K32" s="517"/>
    </row>
    <row r="33" spans="1:11" ht="12.75" hidden="1">
      <c r="A33" s="137"/>
      <c r="B33" s="137"/>
      <c r="C33" s="138"/>
      <c r="D33" s="138" t="s">
        <v>145</v>
      </c>
      <c r="E33" s="138" t="s">
        <v>146</v>
      </c>
      <c r="F33" s="139">
        <v>0</v>
      </c>
      <c r="G33" s="139">
        <v>0</v>
      </c>
      <c r="H33" s="139">
        <v>0</v>
      </c>
      <c r="I33" s="139">
        <v>0</v>
      </c>
      <c r="J33" s="136">
        <f t="shared" si="0"/>
        <v>0</v>
      </c>
      <c r="K33" s="517"/>
    </row>
    <row r="34" spans="1:11" ht="12.75" hidden="1">
      <c r="A34" s="137"/>
      <c r="B34" s="137"/>
      <c r="C34" s="138"/>
      <c r="D34" s="138" t="s">
        <v>147</v>
      </c>
      <c r="E34" s="138" t="s">
        <v>148</v>
      </c>
      <c r="F34" s="139">
        <v>0</v>
      </c>
      <c r="G34" s="139">
        <v>0</v>
      </c>
      <c r="H34" s="139">
        <v>0</v>
      </c>
      <c r="I34" s="139">
        <v>0</v>
      </c>
      <c r="J34" s="136">
        <f t="shared" si="0"/>
        <v>0</v>
      </c>
      <c r="K34" s="517"/>
    </row>
    <row r="35" spans="1:11" ht="12.75" hidden="1">
      <c r="A35" s="137"/>
      <c r="B35" s="137"/>
      <c r="C35" s="138"/>
      <c r="D35" s="138" t="s">
        <v>149</v>
      </c>
      <c r="E35" s="138" t="s">
        <v>150</v>
      </c>
      <c r="F35" s="139">
        <v>0</v>
      </c>
      <c r="G35" s="139">
        <v>0</v>
      </c>
      <c r="H35" s="139">
        <v>0</v>
      </c>
      <c r="I35" s="139">
        <v>0</v>
      </c>
      <c r="J35" s="136">
        <f t="shared" si="0"/>
        <v>0</v>
      </c>
      <c r="K35" s="517"/>
    </row>
    <row r="36" spans="1:11" ht="0.75" customHeight="1" hidden="1">
      <c r="A36" s="137"/>
      <c r="B36" s="137"/>
      <c r="C36" s="138"/>
      <c r="D36" s="138" t="s">
        <v>151</v>
      </c>
      <c r="E36" s="138" t="s">
        <v>152</v>
      </c>
      <c r="F36" s="139">
        <v>0</v>
      </c>
      <c r="G36" s="139">
        <v>0</v>
      </c>
      <c r="H36" s="139">
        <v>0</v>
      </c>
      <c r="I36" s="139">
        <v>0</v>
      </c>
      <c r="J36" s="136">
        <f t="shared" si="0"/>
        <v>0</v>
      </c>
      <c r="K36" s="517"/>
    </row>
    <row r="37" spans="1:11" ht="12.75" hidden="1">
      <c r="A37" s="137"/>
      <c r="B37" s="137"/>
      <c r="C37" s="138"/>
      <c r="D37" s="138" t="s">
        <v>153</v>
      </c>
      <c r="E37" s="138" t="s">
        <v>154</v>
      </c>
      <c r="F37" s="139">
        <v>0</v>
      </c>
      <c r="G37" s="139">
        <v>0</v>
      </c>
      <c r="H37" s="139">
        <v>0</v>
      </c>
      <c r="I37" s="139">
        <v>0</v>
      </c>
      <c r="J37" s="136">
        <f t="shared" si="0"/>
        <v>0</v>
      </c>
      <c r="K37" s="517"/>
    </row>
    <row r="38" spans="1:11" ht="12.75" hidden="1">
      <c r="A38" s="137"/>
      <c r="B38" s="137"/>
      <c r="C38" s="138"/>
      <c r="D38" s="138" t="s">
        <v>155</v>
      </c>
      <c r="E38" s="138" t="s">
        <v>156</v>
      </c>
      <c r="F38" s="139">
        <v>0</v>
      </c>
      <c r="G38" s="139">
        <v>0</v>
      </c>
      <c r="H38" s="139">
        <v>0</v>
      </c>
      <c r="I38" s="139">
        <v>0</v>
      </c>
      <c r="J38" s="136">
        <f t="shared" si="0"/>
        <v>0</v>
      </c>
      <c r="K38" s="517"/>
    </row>
    <row r="39" spans="1:11" ht="12.75" hidden="1">
      <c r="A39" s="137"/>
      <c r="B39" s="137"/>
      <c r="C39" s="138"/>
      <c r="D39" s="138" t="s">
        <v>157</v>
      </c>
      <c r="E39" s="138" t="s">
        <v>158</v>
      </c>
      <c r="F39" s="139">
        <v>0</v>
      </c>
      <c r="G39" s="139">
        <v>0</v>
      </c>
      <c r="H39" s="139">
        <v>0</v>
      </c>
      <c r="I39" s="139">
        <v>0</v>
      </c>
      <c r="J39" s="136">
        <f t="shared" si="0"/>
        <v>0</v>
      </c>
      <c r="K39" s="517"/>
    </row>
    <row r="40" spans="1:11" ht="12.75" hidden="1">
      <c r="A40" s="124"/>
      <c r="B40" s="124"/>
      <c r="C40" s="124" t="s">
        <v>163</v>
      </c>
      <c r="D40" s="875" t="s">
        <v>164</v>
      </c>
      <c r="E40" s="876"/>
      <c r="F40" s="125">
        <v>0</v>
      </c>
      <c r="G40" s="125">
        <v>0</v>
      </c>
      <c r="H40" s="125">
        <v>0</v>
      </c>
      <c r="I40" s="125">
        <v>0</v>
      </c>
      <c r="J40" s="136">
        <f t="shared" si="0"/>
        <v>0</v>
      </c>
      <c r="K40" s="517"/>
    </row>
    <row r="41" spans="1:11" ht="12.75" hidden="1">
      <c r="A41" s="124"/>
      <c r="B41" s="124"/>
      <c r="C41" s="124" t="s">
        <v>165</v>
      </c>
      <c r="D41" s="875" t="s">
        <v>484</v>
      </c>
      <c r="E41" s="876"/>
      <c r="F41" s="125">
        <v>0</v>
      </c>
      <c r="G41" s="125">
        <v>0</v>
      </c>
      <c r="H41" s="125">
        <v>0</v>
      </c>
      <c r="I41" s="125">
        <v>0</v>
      </c>
      <c r="J41" s="136">
        <f t="shared" si="0"/>
        <v>0</v>
      </c>
      <c r="K41" s="517"/>
    </row>
    <row r="42" spans="1:11" ht="12.75" hidden="1">
      <c r="A42" s="124"/>
      <c r="B42" s="124"/>
      <c r="C42" s="124" t="s">
        <v>176</v>
      </c>
      <c r="D42" s="875" t="s">
        <v>177</v>
      </c>
      <c r="E42" s="876"/>
      <c r="F42" s="125">
        <v>0</v>
      </c>
      <c r="G42" s="125">
        <v>0</v>
      </c>
      <c r="H42" s="125">
        <v>0</v>
      </c>
      <c r="I42" s="125">
        <v>0</v>
      </c>
      <c r="J42" s="136">
        <f t="shared" si="0"/>
        <v>0</v>
      </c>
      <c r="K42" s="517"/>
    </row>
    <row r="43" spans="1:11" ht="12.75" hidden="1">
      <c r="A43" s="124"/>
      <c r="B43" s="124"/>
      <c r="C43" s="124" t="s">
        <v>178</v>
      </c>
      <c r="D43" s="875" t="s">
        <v>179</v>
      </c>
      <c r="E43" s="876"/>
      <c r="F43" s="125">
        <v>0</v>
      </c>
      <c r="G43" s="125">
        <v>0</v>
      </c>
      <c r="H43" s="125">
        <v>0</v>
      </c>
      <c r="I43" s="125">
        <v>0</v>
      </c>
      <c r="J43" s="136">
        <f t="shared" si="0"/>
        <v>0</v>
      </c>
      <c r="K43" s="517"/>
    </row>
    <row r="44" spans="1:11" ht="12.75" hidden="1">
      <c r="A44" s="124"/>
      <c r="B44" s="124"/>
      <c r="C44" s="124" t="s">
        <v>180</v>
      </c>
      <c r="D44" s="875" t="s">
        <v>525</v>
      </c>
      <c r="E44" s="876"/>
      <c r="F44" s="125">
        <v>0</v>
      </c>
      <c r="G44" s="125">
        <v>0</v>
      </c>
      <c r="H44" s="125">
        <v>0</v>
      </c>
      <c r="I44" s="125">
        <v>0</v>
      </c>
      <c r="J44" s="136">
        <f t="shared" si="0"/>
        <v>0</v>
      </c>
      <c r="K44" s="517"/>
    </row>
    <row r="45" spans="1:11" ht="12.75">
      <c r="A45" s="124"/>
      <c r="B45" s="124"/>
      <c r="C45" s="124" t="s">
        <v>161</v>
      </c>
      <c r="D45" s="873" t="s">
        <v>723</v>
      </c>
      <c r="E45" s="874"/>
      <c r="F45" s="125">
        <f>100000+15000+15000</f>
        <v>130000</v>
      </c>
      <c r="G45" s="125">
        <v>0</v>
      </c>
      <c r="H45" s="125">
        <v>0</v>
      </c>
      <c r="I45" s="125">
        <v>0</v>
      </c>
      <c r="J45" s="136">
        <f t="shared" si="0"/>
        <v>130000</v>
      </c>
      <c r="K45" s="517"/>
    </row>
    <row r="46" spans="1:11" ht="12.75">
      <c r="A46" s="124"/>
      <c r="B46" s="124"/>
      <c r="C46" s="124" t="s">
        <v>182</v>
      </c>
      <c r="D46" s="873" t="s">
        <v>181</v>
      </c>
      <c r="E46" s="874"/>
      <c r="F46" s="125">
        <f>22297000+42084000+12311385+32277000+14018000+16949000+10000000+2032000+2286000-70000-4779000-1444000-6364000-3280000+2626200-1016000-1143000+2307500</f>
        <v>141092085</v>
      </c>
      <c r="G46" s="125">
        <f>SUM(G47:G56)</f>
        <v>0</v>
      </c>
      <c r="H46" s="125">
        <f>SUM(H47:H56)</f>
        <v>0</v>
      </c>
      <c r="I46" s="125">
        <f>SUM(I47:I56)</f>
        <v>0</v>
      </c>
      <c r="J46" s="136">
        <f t="shared" si="0"/>
        <v>141092085</v>
      </c>
      <c r="K46" s="517"/>
    </row>
    <row r="47" spans="1:11" ht="12.75" hidden="1">
      <c r="A47" s="140"/>
      <c r="B47" s="140"/>
      <c r="C47" s="138" t="s">
        <v>2</v>
      </c>
      <c r="D47" s="188" t="s">
        <v>139</v>
      </c>
      <c r="E47" s="188" t="s">
        <v>166</v>
      </c>
      <c r="F47" s="139">
        <v>0</v>
      </c>
      <c r="G47" s="139">
        <v>0</v>
      </c>
      <c r="H47" s="139">
        <v>0</v>
      </c>
      <c r="I47" s="139">
        <v>0</v>
      </c>
      <c r="J47" s="136">
        <f t="shared" si="0"/>
        <v>0</v>
      </c>
      <c r="K47" s="517"/>
    </row>
    <row r="48" spans="1:11" ht="12.75" hidden="1">
      <c r="A48" s="140"/>
      <c r="B48" s="140"/>
      <c r="C48" s="138"/>
      <c r="D48" s="188" t="s">
        <v>141</v>
      </c>
      <c r="E48" s="188" t="s">
        <v>522</v>
      </c>
      <c r="F48" s="139">
        <v>0</v>
      </c>
      <c r="G48" s="139"/>
      <c r="H48" s="139"/>
      <c r="I48" s="139"/>
      <c r="J48" s="136">
        <f t="shared" si="0"/>
        <v>0</v>
      </c>
      <c r="K48" s="517"/>
    </row>
    <row r="49" spans="1:11" ht="12.75" hidden="1">
      <c r="A49" s="140"/>
      <c r="B49" s="140"/>
      <c r="C49" s="138"/>
      <c r="D49" s="188" t="s">
        <v>143</v>
      </c>
      <c r="E49" s="188" t="s">
        <v>167</v>
      </c>
      <c r="F49" s="139">
        <f>100000</f>
        <v>100000</v>
      </c>
      <c r="G49" s="139">
        <v>0</v>
      </c>
      <c r="H49" s="139">
        <v>0</v>
      </c>
      <c r="I49" s="139">
        <v>0</v>
      </c>
      <c r="J49" s="136">
        <f t="shared" si="0"/>
        <v>100000</v>
      </c>
      <c r="K49" s="517"/>
    </row>
    <row r="50" spans="1:11" ht="12.75" hidden="1">
      <c r="A50" s="140"/>
      <c r="B50" s="140"/>
      <c r="C50" s="138"/>
      <c r="D50" s="188" t="s">
        <v>145</v>
      </c>
      <c r="E50" s="188" t="s">
        <v>168</v>
      </c>
      <c r="F50" s="139">
        <v>0</v>
      </c>
      <c r="G50" s="139">
        <v>0</v>
      </c>
      <c r="H50" s="139">
        <v>0</v>
      </c>
      <c r="I50" s="139">
        <v>0</v>
      </c>
      <c r="J50" s="136">
        <f t="shared" si="0"/>
        <v>0</v>
      </c>
      <c r="K50" s="517"/>
    </row>
    <row r="51" spans="1:11" ht="12.75" hidden="1">
      <c r="A51" s="140"/>
      <c r="B51" s="140"/>
      <c r="C51" s="138"/>
      <c r="D51" s="188" t="s">
        <v>147</v>
      </c>
      <c r="E51" s="188" t="s">
        <v>169</v>
      </c>
      <c r="F51" s="139">
        <v>0</v>
      </c>
      <c r="G51" s="139">
        <v>0</v>
      </c>
      <c r="H51" s="139">
        <v>0</v>
      </c>
      <c r="I51" s="139">
        <v>0</v>
      </c>
      <c r="J51" s="136">
        <f t="shared" si="0"/>
        <v>0</v>
      </c>
      <c r="K51" s="517"/>
    </row>
    <row r="52" spans="1:11" ht="12.75" hidden="1">
      <c r="A52" s="140"/>
      <c r="B52" s="140"/>
      <c r="C52" s="138"/>
      <c r="D52" s="188" t="s">
        <v>149</v>
      </c>
      <c r="E52" s="188" t="s">
        <v>170</v>
      </c>
      <c r="F52" s="139">
        <v>0</v>
      </c>
      <c r="G52" s="139">
        <v>0</v>
      </c>
      <c r="H52" s="139">
        <v>0</v>
      </c>
      <c r="I52" s="139">
        <v>0</v>
      </c>
      <c r="J52" s="136">
        <f t="shared" si="0"/>
        <v>0</v>
      </c>
      <c r="K52" s="517"/>
    </row>
    <row r="53" spans="1:11" ht="12.75" hidden="1">
      <c r="A53" s="137"/>
      <c r="B53" s="137"/>
      <c r="C53" s="138"/>
      <c r="D53" s="188" t="s">
        <v>151</v>
      </c>
      <c r="E53" s="188" t="s">
        <v>171</v>
      </c>
      <c r="F53" s="139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39">
        <v>0</v>
      </c>
      <c r="H53" s="139">
        <v>0</v>
      </c>
      <c r="I53" s="139">
        <v>0</v>
      </c>
      <c r="J53" s="136">
        <f t="shared" si="0"/>
        <v>208924042</v>
      </c>
      <c r="K53" s="517"/>
    </row>
    <row r="54" spans="1:11" ht="12.75" hidden="1">
      <c r="A54" s="137"/>
      <c r="B54" s="137"/>
      <c r="C54" s="138"/>
      <c r="D54" s="188" t="s">
        <v>153</v>
      </c>
      <c r="E54" s="188" t="s">
        <v>172</v>
      </c>
      <c r="F54" s="139">
        <f>3224350+35026110</f>
        <v>38250460</v>
      </c>
      <c r="G54" s="139">
        <v>0</v>
      </c>
      <c r="H54" s="139">
        <v>0</v>
      </c>
      <c r="I54" s="139">
        <v>0</v>
      </c>
      <c r="J54" s="136">
        <f t="shared" si="0"/>
        <v>38250460</v>
      </c>
      <c r="K54" s="517"/>
    </row>
    <row r="55" spans="1:11" ht="12.75" hidden="1">
      <c r="A55" s="140"/>
      <c r="B55" s="140"/>
      <c r="C55" s="138"/>
      <c r="D55" s="188" t="s">
        <v>155</v>
      </c>
      <c r="E55" s="188" t="s">
        <v>174</v>
      </c>
      <c r="F55" s="139">
        <v>0</v>
      </c>
      <c r="G55" s="139">
        <v>0</v>
      </c>
      <c r="H55" s="139">
        <v>0</v>
      </c>
      <c r="I55" s="139">
        <v>0</v>
      </c>
      <c r="J55" s="136">
        <f t="shared" si="0"/>
        <v>0</v>
      </c>
      <c r="K55" s="517"/>
    </row>
    <row r="56" spans="1:11" ht="12.75" hidden="1">
      <c r="A56" s="140"/>
      <c r="B56" s="140"/>
      <c r="C56" s="138"/>
      <c r="D56" s="188" t="s">
        <v>157</v>
      </c>
      <c r="E56" s="188" t="s">
        <v>175</v>
      </c>
      <c r="F56" s="139">
        <v>0</v>
      </c>
      <c r="G56" s="139">
        <v>0</v>
      </c>
      <c r="H56" s="139">
        <v>0</v>
      </c>
      <c r="I56" s="139">
        <v>0</v>
      </c>
      <c r="J56" s="136">
        <f t="shared" si="0"/>
        <v>0</v>
      </c>
      <c r="K56" s="517"/>
    </row>
    <row r="57" spans="1:11" ht="12.75">
      <c r="A57" s="140"/>
      <c r="B57" s="140"/>
      <c r="C57" s="124" t="s">
        <v>526</v>
      </c>
      <c r="D57" s="873" t="s">
        <v>183</v>
      </c>
      <c r="E57" s="874"/>
      <c r="F57" s="125">
        <f>SUM(F58:F63)</f>
        <v>18446868</v>
      </c>
      <c r="G57" s="125">
        <f>SUM(G58:G63)</f>
        <v>0</v>
      </c>
      <c r="H57" s="125">
        <f>SUM(H58:H63)</f>
        <v>0</v>
      </c>
      <c r="I57" s="125">
        <f>SUM(I58:I63)</f>
        <v>0</v>
      </c>
      <c r="J57" s="136">
        <f t="shared" si="0"/>
        <v>18446868</v>
      </c>
      <c r="K57" s="517"/>
    </row>
    <row r="58" spans="1:11" ht="12.75">
      <c r="A58" s="137"/>
      <c r="B58" s="137"/>
      <c r="C58" s="141" t="s">
        <v>2</v>
      </c>
      <c r="D58" s="142"/>
      <c r="E58" s="143" t="s">
        <v>416</v>
      </c>
      <c r="F58" s="139">
        <f>1000000-1000000</f>
        <v>0</v>
      </c>
      <c r="G58" s="139">
        <v>0</v>
      </c>
      <c r="H58" s="139">
        <v>0</v>
      </c>
      <c r="I58" s="139">
        <v>0</v>
      </c>
      <c r="J58" s="136">
        <f t="shared" si="0"/>
        <v>0</v>
      </c>
      <c r="K58" s="517"/>
    </row>
    <row r="59" spans="1:11" ht="12.75">
      <c r="A59" s="137"/>
      <c r="B59" s="137"/>
      <c r="C59" s="141"/>
      <c r="D59" s="142"/>
      <c r="E59" s="143" t="s">
        <v>440</v>
      </c>
      <c r="F59" s="139">
        <v>1000000</v>
      </c>
      <c r="G59" s="139">
        <v>0</v>
      </c>
      <c r="H59" s="139">
        <v>0</v>
      </c>
      <c r="I59" s="139">
        <v>0</v>
      </c>
      <c r="J59" s="136">
        <f t="shared" si="0"/>
        <v>1000000</v>
      </c>
      <c r="K59" s="517"/>
    </row>
    <row r="60" spans="1:11" ht="12.75">
      <c r="A60" s="137"/>
      <c r="B60" s="137"/>
      <c r="C60" s="138"/>
      <c r="D60" s="142"/>
      <c r="E60" s="143" t="s">
        <v>627</v>
      </c>
      <c r="F60" s="139">
        <f>350000+1841851</f>
        <v>2191851</v>
      </c>
      <c r="G60" s="139">
        <v>0</v>
      </c>
      <c r="H60" s="139">
        <v>0</v>
      </c>
      <c r="I60" s="139">
        <v>0</v>
      </c>
      <c r="J60" s="136">
        <f t="shared" si="0"/>
        <v>2191851</v>
      </c>
      <c r="K60" s="517"/>
    </row>
    <row r="61" spans="1:11" ht="22.5">
      <c r="A61" s="137"/>
      <c r="B61" s="137"/>
      <c r="C61" s="138"/>
      <c r="D61" s="142"/>
      <c r="E61" s="515" t="s">
        <v>780</v>
      </c>
      <c r="F61" s="636">
        <v>200000</v>
      </c>
      <c r="G61" s="636">
        <v>0</v>
      </c>
      <c r="H61" s="636">
        <v>0</v>
      </c>
      <c r="I61" s="636">
        <v>0</v>
      </c>
      <c r="J61" s="637">
        <f>SUM(F61:I61)</f>
        <v>200000</v>
      </c>
      <c r="K61" s="517"/>
    </row>
    <row r="62" spans="1:11" ht="22.5">
      <c r="A62" s="137"/>
      <c r="B62" s="137"/>
      <c r="C62" s="138"/>
      <c r="D62" s="142"/>
      <c r="E62" s="515" t="s">
        <v>981</v>
      </c>
      <c r="F62" s="636">
        <f>15055017</f>
        <v>15055017</v>
      </c>
      <c r="G62" s="636"/>
      <c r="H62" s="636"/>
      <c r="I62" s="636"/>
      <c r="J62" s="637">
        <f>SUM(F62:I62)</f>
        <v>15055017</v>
      </c>
      <c r="K62" s="517"/>
    </row>
    <row r="63" spans="1:11" ht="12.75">
      <c r="A63" s="137"/>
      <c r="B63" s="137"/>
      <c r="C63" s="138"/>
      <c r="D63" s="142"/>
      <c r="E63" s="515" t="s">
        <v>980</v>
      </c>
      <c r="F63" s="636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3" s="636">
        <v>0</v>
      </c>
      <c r="H63" s="636">
        <v>0</v>
      </c>
      <c r="I63" s="636">
        <v>0</v>
      </c>
      <c r="J63" s="637">
        <f t="shared" si="0"/>
        <v>0</v>
      </c>
      <c r="K63" s="517"/>
    </row>
    <row r="64" spans="1:11" ht="12" customHeight="1">
      <c r="A64" s="135" t="s">
        <v>111</v>
      </c>
      <c r="B64" s="867" t="s">
        <v>358</v>
      </c>
      <c r="C64" s="868"/>
      <c r="D64" s="868"/>
      <c r="E64" s="869"/>
      <c r="F64" s="122">
        <f>452341169+25000000+363120+101682090+187978206+1940000+973100+19510500+3348220+190500+730250+74930+2460790-20000000-1730500+1000000+74295+190500-17780000+400000+100000+6000000+4790554-3817843-13005804+560000+250000+22387266-911000+2197500-5373648-755546</f>
        <v>771168649</v>
      </c>
      <c r="G64" s="122">
        <f>1934590-1204167</f>
        <v>730423</v>
      </c>
      <c r="H64" s="122">
        <f>1174115+47925+1130000</f>
        <v>2352040</v>
      </c>
      <c r="I64" s="122">
        <f>304800-177800+800000+700000</f>
        <v>1627000</v>
      </c>
      <c r="J64" s="623">
        <f t="shared" si="0"/>
        <v>775878112</v>
      </c>
      <c r="K64" s="516"/>
    </row>
    <row r="65" spans="1:11" ht="12.75">
      <c r="A65" s="135" t="s">
        <v>113</v>
      </c>
      <c r="B65" s="867" t="s">
        <v>112</v>
      </c>
      <c r="C65" s="868"/>
      <c r="D65" s="868"/>
      <c r="E65" s="869"/>
      <c r="F65" s="122">
        <f>8794813+21830061+91442680+6759599+2794000+2000000+31599998+523290+863600-5098639</f>
        <v>161509402</v>
      </c>
      <c r="G65" s="122">
        <f>1204167</f>
        <v>1204167</v>
      </c>
      <c r="H65" s="122">
        <f>508000+507849</f>
        <v>1015849</v>
      </c>
      <c r="I65" s="122">
        <f>578000-578000</f>
        <v>0</v>
      </c>
      <c r="J65" s="623">
        <f t="shared" si="0"/>
        <v>163729418</v>
      </c>
      <c r="K65" s="516"/>
    </row>
    <row r="66" spans="1:11" ht="12.75">
      <c r="A66" s="135" t="s">
        <v>115</v>
      </c>
      <c r="B66" s="867" t="s">
        <v>114</v>
      </c>
      <c r="C66" s="868"/>
      <c r="D66" s="868"/>
      <c r="E66" s="869"/>
      <c r="F66" s="122">
        <f>SUM(F75)</f>
        <v>5449520</v>
      </c>
      <c r="G66" s="122">
        <f>SUM(G75)</f>
        <v>0</v>
      </c>
      <c r="H66" s="122">
        <f>SUM(H75)</f>
        <v>0</v>
      </c>
      <c r="I66" s="122">
        <f>SUM(I75)</f>
        <v>0</v>
      </c>
      <c r="J66" s="623">
        <f t="shared" si="0"/>
        <v>5449520</v>
      </c>
      <c r="K66" s="516"/>
    </row>
    <row r="67" spans="1:11" ht="12.75" hidden="1">
      <c r="A67" s="118"/>
      <c r="B67" s="118" t="s">
        <v>185</v>
      </c>
      <c r="C67" s="866" t="s">
        <v>186</v>
      </c>
      <c r="D67" s="866"/>
      <c r="E67" s="866"/>
      <c r="F67" s="121">
        <v>0</v>
      </c>
      <c r="G67" s="121">
        <v>0</v>
      </c>
      <c r="H67" s="121">
        <v>0</v>
      </c>
      <c r="I67" s="121">
        <v>0</v>
      </c>
      <c r="J67" s="122">
        <f t="shared" si="0"/>
        <v>0</v>
      </c>
      <c r="K67" s="516"/>
    </row>
    <row r="68" spans="1:11" ht="12.75" hidden="1">
      <c r="A68" s="118"/>
      <c r="B68" s="118" t="s">
        <v>187</v>
      </c>
      <c r="C68" s="866" t="s">
        <v>188</v>
      </c>
      <c r="D68" s="866"/>
      <c r="E68" s="866"/>
      <c r="F68" s="121">
        <v>0</v>
      </c>
      <c r="G68" s="121">
        <v>0</v>
      </c>
      <c r="H68" s="121">
        <v>0</v>
      </c>
      <c r="I68" s="121">
        <v>0</v>
      </c>
      <c r="J68" s="122">
        <f t="shared" si="0"/>
        <v>0</v>
      </c>
      <c r="K68" s="516"/>
    </row>
    <row r="69" spans="1:11" ht="12.75" hidden="1">
      <c r="A69" s="118" t="s">
        <v>184</v>
      </c>
      <c r="B69" s="118" t="s">
        <v>189</v>
      </c>
      <c r="C69" s="866" t="s">
        <v>190</v>
      </c>
      <c r="D69" s="866"/>
      <c r="E69" s="866"/>
      <c r="F69" s="121">
        <v>0</v>
      </c>
      <c r="G69" s="121">
        <v>0</v>
      </c>
      <c r="H69" s="121">
        <v>0</v>
      </c>
      <c r="I69" s="121">
        <v>0</v>
      </c>
      <c r="J69" s="122">
        <f t="shared" si="0"/>
        <v>0</v>
      </c>
      <c r="K69" s="516"/>
    </row>
    <row r="70" spans="1:11" ht="12.75" hidden="1">
      <c r="A70" s="118"/>
      <c r="B70" s="118" t="s">
        <v>191</v>
      </c>
      <c r="C70" s="866" t="s">
        <v>192</v>
      </c>
      <c r="D70" s="866"/>
      <c r="E70" s="866"/>
      <c r="F70" s="121">
        <v>0</v>
      </c>
      <c r="G70" s="121">
        <v>0</v>
      </c>
      <c r="H70" s="121">
        <v>0</v>
      </c>
      <c r="I70" s="121">
        <v>0</v>
      </c>
      <c r="J70" s="122">
        <f t="shared" si="0"/>
        <v>0</v>
      </c>
      <c r="K70" s="516"/>
    </row>
    <row r="71" spans="1:11" ht="12.75" hidden="1">
      <c r="A71" s="118"/>
      <c r="B71" s="118" t="s">
        <v>193</v>
      </c>
      <c r="C71" s="866" t="s">
        <v>194</v>
      </c>
      <c r="D71" s="866"/>
      <c r="E71" s="866"/>
      <c r="F71" s="121">
        <v>0</v>
      </c>
      <c r="G71" s="121">
        <v>0</v>
      </c>
      <c r="H71" s="121">
        <v>0</v>
      </c>
      <c r="I71" s="121">
        <v>0</v>
      </c>
      <c r="J71" s="122">
        <f t="shared" si="0"/>
        <v>0</v>
      </c>
      <c r="K71" s="516"/>
    </row>
    <row r="72" spans="1:11" ht="12.75" hidden="1">
      <c r="A72" s="118"/>
      <c r="B72" s="118" t="s">
        <v>195</v>
      </c>
      <c r="C72" s="866" t="s">
        <v>196</v>
      </c>
      <c r="D72" s="866"/>
      <c r="E72" s="866"/>
      <c r="F72" s="121">
        <v>0</v>
      </c>
      <c r="G72" s="121">
        <v>0</v>
      </c>
      <c r="H72" s="121">
        <v>0</v>
      </c>
      <c r="I72" s="121">
        <v>0</v>
      </c>
      <c r="J72" s="122">
        <f t="shared" si="0"/>
        <v>0</v>
      </c>
      <c r="K72" s="516"/>
    </row>
    <row r="73" spans="1:11" ht="12.75" hidden="1">
      <c r="A73" s="118"/>
      <c r="B73" s="118" t="s">
        <v>197</v>
      </c>
      <c r="C73" s="866" t="s">
        <v>198</v>
      </c>
      <c r="D73" s="866"/>
      <c r="E73" s="866"/>
      <c r="F73" s="121">
        <v>0</v>
      </c>
      <c r="G73" s="121">
        <v>0</v>
      </c>
      <c r="H73" s="121">
        <v>0</v>
      </c>
      <c r="I73" s="121">
        <v>0</v>
      </c>
      <c r="J73" s="122">
        <f>SUM(F73:I73)</f>
        <v>0</v>
      </c>
      <c r="K73" s="516"/>
    </row>
    <row r="74" spans="1:11" ht="12.75" hidden="1">
      <c r="A74" s="118"/>
      <c r="B74" s="118" t="s">
        <v>199</v>
      </c>
      <c r="C74" s="866" t="s">
        <v>528</v>
      </c>
      <c r="D74" s="866"/>
      <c r="E74" s="866"/>
      <c r="F74" s="121">
        <v>0</v>
      </c>
      <c r="G74" s="121">
        <v>0</v>
      </c>
      <c r="H74" s="121">
        <v>0</v>
      </c>
      <c r="I74" s="121">
        <v>0</v>
      </c>
      <c r="J74" s="122">
        <f>SUM(F74:I74)</f>
        <v>0</v>
      </c>
      <c r="K74" s="516"/>
    </row>
    <row r="75" spans="1:11" ht="12.75">
      <c r="A75" s="118"/>
      <c r="B75" s="118" t="s">
        <v>527</v>
      </c>
      <c r="C75" s="866" t="s">
        <v>626</v>
      </c>
      <c r="D75" s="866"/>
      <c r="E75" s="866"/>
      <c r="F75" s="121">
        <f>449520+5000000</f>
        <v>5449520</v>
      </c>
      <c r="G75" s="121">
        <v>0</v>
      </c>
      <c r="H75" s="121">
        <v>0</v>
      </c>
      <c r="I75" s="121">
        <v>0</v>
      </c>
      <c r="J75" s="136">
        <f>SUM(F75:I75)</f>
        <v>5449520</v>
      </c>
      <c r="K75" s="516"/>
    </row>
    <row r="76" spans="1:11" ht="12.75">
      <c r="A76" s="135" t="s">
        <v>117</v>
      </c>
      <c r="B76" s="867" t="s">
        <v>116</v>
      </c>
      <c r="C76" s="868"/>
      <c r="D76" s="868"/>
      <c r="E76" s="869"/>
      <c r="F76" s="122">
        <v>19299537</v>
      </c>
      <c r="G76" s="122">
        <v>0</v>
      </c>
      <c r="H76" s="122">
        <v>0</v>
      </c>
      <c r="I76" s="122">
        <v>0</v>
      </c>
      <c r="J76" s="623">
        <f>SUM(F76:I76)</f>
        <v>19299537</v>
      </c>
      <c r="K76" s="516"/>
    </row>
    <row r="77" spans="1:10" ht="12.75">
      <c r="A77" s="144"/>
      <c r="B77" s="145"/>
      <c r="C77" s="145"/>
      <c r="D77" s="145"/>
      <c r="E77" s="145"/>
      <c r="F77" s="146"/>
      <c r="G77" s="638"/>
      <c r="H77" s="638"/>
      <c r="I77" s="638"/>
      <c r="J77" s="147"/>
    </row>
    <row r="78" spans="1:10" ht="15.75">
      <c r="A78" s="870" t="s">
        <v>200</v>
      </c>
      <c r="B78" s="871"/>
      <c r="C78" s="871"/>
      <c r="D78" s="871"/>
      <c r="E78" s="872"/>
      <c r="F78" s="148">
        <f>SUM(F7+F8+F9+F10+F23+F64+F65+F66+F76)</f>
        <v>1859905938</v>
      </c>
      <c r="G78" s="148">
        <f>SUM(G7+G8+G9+G10+G23+G64+G65+G66+G76)</f>
        <v>147582399</v>
      </c>
      <c r="H78" s="148">
        <f>SUM(H7+H8+H9+H10+H23+H64+H65+H66+H76)</f>
        <v>282730049</v>
      </c>
      <c r="I78" s="148">
        <f>SUM(I7+I8+I9+I10+I23+I64+I65+I66+I76)</f>
        <v>49582765</v>
      </c>
      <c r="J78" s="148">
        <f>SUM(J7+J8+J9+J10+J23+J64+J65+J66+J76)</f>
        <v>2339801151</v>
      </c>
    </row>
  </sheetData>
  <sheetProtection/>
  <mergeCells count="46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1:J1"/>
    <mergeCell ref="A3:J3"/>
    <mergeCell ref="A5:E5"/>
    <mergeCell ref="B6:E6"/>
    <mergeCell ref="B7:E7"/>
    <mergeCell ref="C12:E12"/>
    <mergeCell ref="C11:E1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6:E66"/>
    <mergeCell ref="C67:E67"/>
    <mergeCell ref="C68:E68"/>
    <mergeCell ref="B65:E65"/>
    <mergeCell ref="D46:E46"/>
    <mergeCell ref="D57:E57"/>
    <mergeCell ref="B64:E64"/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73" bestFit="1" customWidth="1"/>
    <col min="2" max="2" width="55.125" style="22" bestFit="1" customWidth="1"/>
    <col min="3" max="3" width="13.375" style="22" bestFit="1" customWidth="1"/>
    <col min="4" max="5" width="15.125" style="22" bestFit="1" customWidth="1"/>
    <col min="6" max="6" width="53.875" style="22" bestFit="1" customWidth="1"/>
    <col min="7" max="7" width="15.00390625" style="22" bestFit="1" customWidth="1"/>
    <col min="8" max="9" width="15.875" style="22" bestFit="1" customWidth="1"/>
    <col min="10" max="16384" width="9.125" style="22" customWidth="1"/>
  </cols>
  <sheetData>
    <row r="1" spans="6:10" ht="12.75" customHeight="1">
      <c r="F1" s="894" t="s">
        <v>1020</v>
      </c>
      <c r="G1" s="895"/>
      <c r="H1" s="895"/>
      <c r="I1" s="895"/>
      <c r="J1" s="66"/>
    </row>
    <row r="2" spans="2:9" ht="15.75">
      <c r="B2" s="896" t="s">
        <v>785</v>
      </c>
      <c r="C2" s="896"/>
      <c r="D2" s="896"/>
      <c r="E2" s="896"/>
      <c r="F2" s="896"/>
      <c r="G2" s="896"/>
      <c r="H2" s="896"/>
      <c r="I2" s="896"/>
    </row>
    <row r="3" ht="8.25" customHeight="1"/>
    <row r="4" spans="1:9" s="23" customFormat="1" ht="15" customHeight="1">
      <c r="A4" s="898" t="s">
        <v>423</v>
      </c>
      <c r="B4" s="897" t="s">
        <v>429</v>
      </c>
      <c r="C4" s="897"/>
      <c r="D4" s="897"/>
      <c r="E4" s="897"/>
      <c r="F4" s="897" t="s">
        <v>354</v>
      </c>
      <c r="G4" s="897"/>
      <c r="H4" s="897"/>
      <c r="I4" s="897"/>
    </row>
    <row r="5" spans="1:9" s="26" customFormat="1" ht="14.25">
      <c r="A5" s="898"/>
      <c r="B5" s="24" t="s">
        <v>353</v>
      </c>
      <c r="C5" s="25" t="s">
        <v>331</v>
      </c>
      <c r="D5" s="25" t="s">
        <v>330</v>
      </c>
      <c r="E5" s="25" t="s">
        <v>412</v>
      </c>
      <c r="F5" s="24" t="s">
        <v>353</v>
      </c>
      <c r="G5" s="25" t="s">
        <v>331</v>
      </c>
      <c r="H5" s="25" t="s">
        <v>330</v>
      </c>
      <c r="I5" s="25" t="s">
        <v>412</v>
      </c>
    </row>
    <row r="6" spans="1:9" s="72" customFormat="1" ht="12">
      <c r="A6" s="898"/>
      <c r="B6" s="71" t="s">
        <v>417</v>
      </c>
      <c r="C6" s="71" t="s">
        <v>418</v>
      </c>
      <c r="D6" s="71" t="s">
        <v>419</v>
      </c>
      <c r="E6" s="71" t="s">
        <v>420</v>
      </c>
      <c r="F6" s="71" t="s">
        <v>421</v>
      </c>
      <c r="G6" s="71" t="s">
        <v>422</v>
      </c>
      <c r="H6" s="71" t="s">
        <v>424</v>
      </c>
      <c r="I6" s="71" t="s">
        <v>425</v>
      </c>
    </row>
    <row r="7" spans="1:9" s="42" customFormat="1" ht="14.25">
      <c r="A7" s="71">
        <v>1</v>
      </c>
      <c r="B7" s="41" t="s">
        <v>477</v>
      </c>
      <c r="C7" s="59">
        <f>SUM(C8)</f>
        <v>1104393428</v>
      </c>
      <c r="D7" s="59">
        <f>SUM(D32,D8)</f>
        <v>56198453</v>
      </c>
      <c r="E7" s="59">
        <f aca="true" t="shared" si="0" ref="E7:E30">SUM(C7:D7)</f>
        <v>1160591881</v>
      </c>
      <c r="F7" s="41" t="s">
        <v>478</v>
      </c>
      <c r="G7" s="59">
        <f>SUM(G8,G32)</f>
        <v>1360389547</v>
      </c>
      <c r="H7" s="59">
        <f>SUM(H8,H32)</f>
        <v>960112067</v>
      </c>
      <c r="I7" s="59">
        <f aca="true" t="shared" si="1" ref="I7:I18">SUM(G7:H7)</f>
        <v>2320501614</v>
      </c>
    </row>
    <row r="8" spans="1:9" s="51" customFormat="1" ht="12.75">
      <c r="A8" s="74">
        <v>2</v>
      </c>
      <c r="B8" s="48" t="s">
        <v>434</v>
      </c>
      <c r="C8" s="49">
        <f>SUM(C28+C18+C13+C9)</f>
        <v>1104393428</v>
      </c>
      <c r="D8" s="49">
        <f>SUM(D28+D18+D13+D9)</f>
        <v>0</v>
      </c>
      <c r="E8" s="49">
        <f t="shared" si="0"/>
        <v>1104393428</v>
      </c>
      <c r="F8" s="50" t="s">
        <v>437</v>
      </c>
      <c r="G8" s="49">
        <f>SUM(G9:G13)</f>
        <v>1360389547</v>
      </c>
      <c r="H8" s="49">
        <f>SUM(H9:H13)</f>
        <v>15055017</v>
      </c>
      <c r="I8" s="49">
        <f t="shared" si="1"/>
        <v>1375444564</v>
      </c>
    </row>
    <row r="9" spans="1:9" s="29" customFormat="1" ht="12.75">
      <c r="A9" s="74">
        <v>3</v>
      </c>
      <c r="B9" s="57" t="s">
        <v>15</v>
      </c>
      <c r="C9" s="38">
        <f>SUM(C10:C12)</f>
        <v>787293329</v>
      </c>
      <c r="D9" s="38">
        <v>0</v>
      </c>
      <c r="E9" s="38">
        <f t="shared" si="0"/>
        <v>787293329</v>
      </c>
      <c r="F9" s="58" t="s">
        <v>438</v>
      </c>
      <c r="G9" s="38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</f>
        <v>506503211</v>
      </c>
      <c r="H9" s="38">
        <v>0</v>
      </c>
      <c r="I9" s="38">
        <f t="shared" si="1"/>
        <v>506503211</v>
      </c>
    </row>
    <row r="10" spans="1:9" s="29" customFormat="1" ht="12.75">
      <c r="A10" s="71">
        <v>4</v>
      </c>
      <c r="B10" s="35" t="s">
        <v>16</v>
      </c>
      <c r="C10" s="40">
        <f>482488434+22486700+418000+383873+10959511+1038000+426173+10068391+848820-11343384+8095006</f>
        <v>525869524</v>
      </c>
      <c r="D10" s="40">
        <v>0</v>
      </c>
      <c r="E10" s="40">
        <f t="shared" si="0"/>
        <v>525869524</v>
      </c>
      <c r="F10" s="58" t="s">
        <v>640</v>
      </c>
      <c r="G10" s="38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</f>
        <v>91192443</v>
      </c>
      <c r="H10" s="38">
        <v>0</v>
      </c>
      <c r="I10" s="38">
        <f t="shared" si="1"/>
        <v>91192443</v>
      </c>
    </row>
    <row r="11" spans="1:9" s="29" customFormat="1" ht="12.75">
      <c r="A11" s="74">
        <v>5</v>
      </c>
      <c r="B11" s="35" t="s">
        <v>638</v>
      </c>
      <c r="C11" s="40">
        <v>0</v>
      </c>
      <c r="D11" s="40">
        <v>0</v>
      </c>
      <c r="E11" s="40">
        <f t="shared" si="0"/>
        <v>0</v>
      </c>
      <c r="F11" s="58" t="s">
        <v>38</v>
      </c>
      <c r="G11" s="38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</f>
        <v>578011583</v>
      </c>
      <c r="H11" s="38">
        <v>0</v>
      </c>
      <c r="I11" s="38">
        <f t="shared" si="1"/>
        <v>578011583</v>
      </c>
    </row>
    <row r="12" spans="1:9" s="29" customFormat="1" ht="12.75">
      <c r="A12" s="74">
        <v>6</v>
      </c>
      <c r="B12" s="35" t="s">
        <v>17</v>
      </c>
      <c r="C12" s="40">
        <f>110463289+5354163+26537427+16490993+13881090+60657486+23938936+2626200+1484730+571500+2887500-2702314-8864634+5586997+278932+1952578+278932</f>
        <v>261423805</v>
      </c>
      <c r="D12" s="40">
        <v>0</v>
      </c>
      <c r="E12" s="40">
        <f t="shared" si="0"/>
        <v>261423805</v>
      </c>
      <c r="F12" s="58" t="s">
        <v>39</v>
      </c>
      <c r="G12" s="38">
        <v>3804900</v>
      </c>
      <c r="H12" s="38">
        <v>0</v>
      </c>
      <c r="I12" s="38">
        <f t="shared" si="1"/>
        <v>3804900</v>
      </c>
    </row>
    <row r="13" spans="1:9" s="29" customFormat="1" ht="12.75">
      <c r="A13" s="71">
        <v>7</v>
      </c>
      <c r="B13" s="57" t="s">
        <v>21</v>
      </c>
      <c r="C13" s="38">
        <f>SUM(C14:C17)</f>
        <v>239700000</v>
      </c>
      <c r="D13" s="38">
        <f>SUM(D14:D17)</f>
        <v>0</v>
      </c>
      <c r="E13" s="38">
        <f t="shared" si="0"/>
        <v>239700000</v>
      </c>
      <c r="F13" s="61" t="s">
        <v>40</v>
      </c>
      <c r="G13" s="38">
        <f>SUM(G14:G18)</f>
        <v>180877410</v>
      </c>
      <c r="H13" s="38">
        <f>SUM(H14:H18)</f>
        <v>15055017</v>
      </c>
      <c r="I13" s="38">
        <f t="shared" si="1"/>
        <v>195932427</v>
      </c>
    </row>
    <row r="14" spans="1:9" s="30" customFormat="1" ht="12.75">
      <c r="A14" s="74">
        <v>8</v>
      </c>
      <c r="B14" s="35" t="s">
        <v>109</v>
      </c>
      <c r="C14" s="40">
        <v>239000000</v>
      </c>
      <c r="D14" s="40">
        <v>0</v>
      </c>
      <c r="E14" s="40">
        <f t="shared" si="0"/>
        <v>239000000</v>
      </c>
      <c r="F14" s="37" t="s">
        <v>692</v>
      </c>
      <c r="G14" s="40">
        <f>36263474</f>
        <v>36263474</v>
      </c>
      <c r="H14" s="40">
        <v>0</v>
      </c>
      <c r="I14" s="40">
        <f t="shared" si="1"/>
        <v>36263474</v>
      </c>
    </row>
    <row r="15" spans="1:9" s="30" customFormat="1" ht="12.75">
      <c r="A15" s="74">
        <v>9</v>
      </c>
      <c r="B15" s="36" t="s">
        <v>711</v>
      </c>
      <c r="C15" s="40">
        <v>50000</v>
      </c>
      <c r="D15" s="40">
        <v>0</v>
      </c>
      <c r="E15" s="40">
        <f t="shared" si="0"/>
        <v>50000</v>
      </c>
      <c r="F15" s="37" t="s">
        <v>639</v>
      </c>
      <c r="G15" s="40">
        <v>0</v>
      </c>
      <c r="H15" s="40">
        <v>0</v>
      </c>
      <c r="I15" s="40">
        <f t="shared" si="1"/>
        <v>0</v>
      </c>
    </row>
    <row r="16" spans="1:9" s="30" customFormat="1" ht="12.75">
      <c r="A16" s="74">
        <v>10</v>
      </c>
      <c r="B16" s="36" t="s">
        <v>712</v>
      </c>
      <c r="C16" s="40">
        <f>22000000-10269500-11730500</f>
        <v>0</v>
      </c>
      <c r="D16" s="40">
        <v>0</v>
      </c>
      <c r="E16" s="40">
        <f t="shared" si="0"/>
        <v>0</v>
      </c>
      <c r="F16" s="37" t="s">
        <v>724</v>
      </c>
      <c r="G16" s="40">
        <f>115000+15000</f>
        <v>130000</v>
      </c>
      <c r="H16" s="40">
        <v>0</v>
      </c>
      <c r="I16" s="40">
        <f t="shared" si="1"/>
        <v>130000</v>
      </c>
    </row>
    <row r="17" spans="1:9" s="30" customFormat="1" ht="12.75">
      <c r="A17" s="71">
        <v>11</v>
      </c>
      <c r="B17" s="35" t="s">
        <v>713</v>
      </c>
      <c r="C17" s="40">
        <v>650000</v>
      </c>
      <c r="D17" s="40">
        <v>0</v>
      </c>
      <c r="E17" s="40">
        <f t="shared" si="0"/>
        <v>650000</v>
      </c>
      <c r="F17" s="37" t="s">
        <v>725</v>
      </c>
      <c r="G17" s="40">
        <f>154254385-70000-4779000-1444000-6364000-3280000+2626200-1016000-1143000+2307500</f>
        <v>141092085</v>
      </c>
      <c r="H17" s="40">
        <v>0</v>
      </c>
      <c r="I17" s="40">
        <f t="shared" si="1"/>
        <v>141092085</v>
      </c>
    </row>
    <row r="18" spans="1:9" s="30" customFormat="1" ht="12.75">
      <c r="A18" s="74">
        <v>12</v>
      </c>
      <c r="B18" s="57" t="s">
        <v>22</v>
      </c>
      <c r="C18" s="38">
        <f>SUM(C19:C27)</f>
        <v>77025099</v>
      </c>
      <c r="D18" s="38">
        <f>SUM(D19:D27)</f>
        <v>0</v>
      </c>
      <c r="E18" s="38">
        <f t="shared" si="0"/>
        <v>77025099</v>
      </c>
      <c r="F18" s="37" t="s">
        <v>726</v>
      </c>
      <c r="G18" s="40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</f>
        <v>3391851</v>
      </c>
      <c r="H18" s="40">
        <f>15055017</f>
        <v>15055017</v>
      </c>
      <c r="I18" s="40">
        <f t="shared" si="1"/>
        <v>18446868</v>
      </c>
    </row>
    <row r="19" spans="1:9" s="29" customFormat="1" ht="12.75">
      <c r="A19" s="74">
        <v>13</v>
      </c>
      <c r="B19" s="35" t="s">
        <v>529</v>
      </c>
      <c r="C19" s="40">
        <f>9500000+1370149</f>
        <v>10870149</v>
      </c>
      <c r="D19" s="40">
        <v>0</v>
      </c>
      <c r="E19" s="40">
        <f t="shared" si="0"/>
        <v>10870149</v>
      </c>
      <c r="F19" s="61"/>
      <c r="G19" s="38"/>
      <c r="H19" s="38"/>
      <c r="I19" s="38"/>
    </row>
    <row r="20" spans="1:9" s="29" customFormat="1" ht="12.75">
      <c r="A20" s="71">
        <v>14</v>
      </c>
      <c r="B20" s="35" t="s">
        <v>23</v>
      </c>
      <c r="C20" s="40">
        <f>21002978+536221+3402559+342137+3306421</f>
        <v>28590316</v>
      </c>
      <c r="D20" s="40">
        <v>0</v>
      </c>
      <c r="E20" s="40">
        <f t="shared" si="0"/>
        <v>28590316</v>
      </c>
      <c r="F20" s="37"/>
      <c r="G20" s="40"/>
      <c r="H20" s="40"/>
      <c r="I20" s="40"/>
    </row>
    <row r="21" spans="1:9" s="29" customFormat="1" ht="12.75">
      <c r="A21" s="74">
        <v>15</v>
      </c>
      <c r="B21" s="35" t="s">
        <v>24</v>
      </c>
      <c r="C21" s="40">
        <v>7687837</v>
      </c>
      <c r="D21" s="40">
        <v>0</v>
      </c>
      <c r="E21" s="40">
        <f t="shared" si="0"/>
        <v>7687837</v>
      </c>
      <c r="F21" s="37"/>
      <c r="G21" s="40"/>
      <c r="H21" s="40"/>
      <c r="I21" s="40"/>
    </row>
    <row r="22" spans="1:9" s="29" customFormat="1" ht="12.75">
      <c r="A22" s="74">
        <v>16</v>
      </c>
      <c r="B22" s="35" t="s">
        <v>485</v>
      </c>
      <c r="C22" s="40">
        <v>746000</v>
      </c>
      <c r="D22" s="40">
        <v>0</v>
      </c>
      <c r="E22" s="40">
        <f t="shared" si="0"/>
        <v>746000</v>
      </c>
      <c r="F22" s="37"/>
      <c r="G22" s="40"/>
      <c r="H22" s="40"/>
      <c r="I22" s="40"/>
    </row>
    <row r="23" spans="1:9" s="29" customFormat="1" ht="12.75">
      <c r="A23" s="71">
        <v>17</v>
      </c>
      <c r="B23" s="35" t="s">
        <v>25</v>
      </c>
      <c r="C23" s="40">
        <f>7036704+12898200+635625</f>
        <v>20570529</v>
      </c>
      <c r="D23" s="40">
        <v>0</v>
      </c>
      <c r="E23" s="40">
        <f t="shared" si="0"/>
        <v>20570529</v>
      </c>
      <c r="F23" s="37"/>
      <c r="G23" s="40"/>
      <c r="H23" s="40"/>
      <c r="I23" s="40"/>
    </row>
    <row r="24" spans="1:9" s="29" customFormat="1" ht="12.75">
      <c r="A24" s="74">
        <v>18</v>
      </c>
      <c r="B24" s="35" t="s">
        <v>26</v>
      </c>
      <c r="C24" s="40">
        <f>6431187+144779+918691+92377+892734</f>
        <v>8479768</v>
      </c>
      <c r="D24" s="40">
        <v>0</v>
      </c>
      <c r="E24" s="40">
        <f t="shared" si="0"/>
        <v>8479768</v>
      </c>
      <c r="F24" s="28"/>
      <c r="G24" s="40"/>
      <c r="H24" s="39"/>
      <c r="I24" s="39"/>
    </row>
    <row r="25" spans="1:9" s="29" customFormat="1" ht="12.75">
      <c r="A25" s="74">
        <v>19</v>
      </c>
      <c r="B25" s="35" t="s">
        <v>292</v>
      </c>
      <c r="C25" s="40">
        <v>0</v>
      </c>
      <c r="D25" s="40">
        <v>0</v>
      </c>
      <c r="E25" s="40">
        <f t="shared" si="0"/>
        <v>0</v>
      </c>
      <c r="F25" s="28"/>
      <c r="G25" s="40"/>
      <c r="H25" s="39"/>
      <c r="I25" s="39"/>
    </row>
    <row r="26" spans="1:9" s="29" customFormat="1" ht="12.75">
      <c r="A26" s="74">
        <v>20</v>
      </c>
      <c r="B26" s="35" t="s">
        <v>659</v>
      </c>
      <c r="C26" s="40">
        <v>500</v>
      </c>
      <c r="D26" s="40">
        <v>0</v>
      </c>
      <c r="E26" s="40">
        <f t="shared" si="0"/>
        <v>500</v>
      </c>
      <c r="F26" s="28"/>
      <c r="G26" s="40"/>
      <c r="H26" s="39"/>
      <c r="I26" s="39"/>
    </row>
    <row r="27" spans="1:9" s="27" customFormat="1" ht="12.75">
      <c r="A27" s="71">
        <v>21</v>
      </c>
      <c r="B27" s="35" t="s">
        <v>660</v>
      </c>
      <c r="C27" s="40">
        <f>11039511-10959511</f>
        <v>80000</v>
      </c>
      <c r="D27" s="40">
        <v>0</v>
      </c>
      <c r="E27" s="40">
        <f t="shared" si="0"/>
        <v>80000</v>
      </c>
      <c r="F27" s="28"/>
      <c r="G27" s="39"/>
      <c r="H27" s="39"/>
      <c r="I27" s="39"/>
    </row>
    <row r="28" spans="1:9" s="27" customFormat="1" ht="12.75">
      <c r="A28" s="74">
        <v>22</v>
      </c>
      <c r="B28" s="57" t="s">
        <v>32</v>
      </c>
      <c r="C28" s="38">
        <f>SUM(C29:C30)</f>
        <v>375000</v>
      </c>
      <c r="D28" s="38">
        <v>0</v>
      </c>
      <c r="E28" s="38">
        <f t="shared" si="0"/>
        <v>375000</v>
      </c>
      <c r="F28" s="28"/>
      <c r="G28" s="39"/>
      <c r="H28" s="39"/>
      <c r="I28" s="39"/>
    </row>
    <row r="29" spans="1:9" s="27" customFormat="1" ht="12.75">
      <c r="A29" s="74">
        <v>23</v>
      </c>
      <c r="B29" s="35" t="s">
        <v>33</v>
      </c>
      <c r="C29" s="40">
        <v>0</v>
      </c>
      <c r="D29" s="40">
        <v>0</v>
      </c>
      <c r="E29" s="40">
        <f t="shared" si="0"/>
        <v>0</v>
      </c>
      <c r="F29" s="28"/>
      <c r="G29" s="39"/>
      <c r="H29" s="39"/>
      <c r="I29" s="39"/>
    </row>
    <row r="30" spans="1:9" s="27" customFormat="1" ht="12.75">
      <c r="A30" s="71">
        <v>24</v>
      </c>
      <c r="B30" s="35" t="s">
        <v>34</v>
      </c>
      <c r="C30" s="40">
        <v>375000</v>
      </c>
      <c r="D30" s="40">
        <v>0</v>
      </c>
      <c r="E30" s="40">
        <f t="shared" si="0"/>
        <v>375000</v>
      </c>
      <c r="F30" s="28"/>
      <c r="G30" s="39"/>
      <c r="H30" s="39"/>
      <c r="I30" s="39"/>
    </row>
    <row r="31" spans="1:9" s="27" customFormat="1" ht="12.75">
      <c r="A31" s="74">
        <v>25</v>
      </c>
      <c r="B31" s="35"/>
      <c r="C31" s="40"/>
      <c r="D31" s="40"/>
      <c r="E31" s="40"/>
      <c r="F31" s="28"/>
      <c r="G31" s="39"/>
      <c r="H31" s="39"/>
      <c r="I31" s="39"/>
    </row>
    <row r="32" spans="1:9" s="51" customFormat="1" ht="12.75">
      <c r="A32" s="74">
        <v>26</v>
      </c>
      <c r="B32" s="52" t="s">
        <v>436</v>
      </c>
      <c r="C32" s="49">
        <f>SUM(C41+C36+C33)</f>
        <v>0</v>
      </c>
      <c r="D32" s="49">
        <f>SUM(D41+D36+D33)</f>
        <v>56198453</v>
      </c>
      <c r="E32" s="49">
        <f>SUM(D32:D32)</f>
        <v>56198453</v>
      </c>
      <c r="F32" s="50" t="s">
        <v>326</v>
      </c>
      <c r="G32" s="49">
        <f>SUM(G33:G35)</f>
        <v>0</v>
      </c>
      <c r="H32" s="49">
        <f>SUM(H33:H35)</f>
        <v>945057050</v>
      </c>
      <c r="I32" s="49">
        <f aca="true" t="shared" si="2" ref="I32:I40">SUM(G32:H32)</f>
        <v>945057050</v>
      </c>
    </row>
    <row r="33" spans="1:9" s="27" customFormat="1" ht="12.75">
      <c r="A33" s="71">
        <v>27</v>
      </c>
      <c r="B33" s="57" t="s">
        <v>18</v>
      </c>
      <c r="C33" s="38">
        <f>SUM(C34:C35)</f>
        <v>0</v>
      </c>
      <c r="D33" s="38">
        <f>SUM(D34:D35)</f>
        <v>6264795</v>
      </c>
      <c r="E33" s="38">
        <f>SUM(D33:D33)</f>
        <v>6264795</v>
      </c>
      <c r="F33" s="58" t="s">
        <v>41</v>
      </c>
      <c r="G33" s="38">
        <v>0</v>
      </c>
      <c r="H33" s="38">
        <f>800006380-20000000-1730500-177800+1000000+74295+190500+800000-17780000+400000+100000+6000000+4790554-3817843-13005804+700000+47925+560000+250000+22387266-911000+2197500-5373648-755546-1204167+1130000</f>
        <v>775878112</v>
      </c>
      <c r="I33" s="38">
        <f t="shared" si="2"/>
        <v>775878112</v>
      </c>
    </row>
    <row r="34" spans="1:9" s="27" customFormat="1" ht="12.75">
      <c r="A34" s="74">
        <v>28</v>
      </c>
      <c r="B34" s="35" t="s">
        <v>19</v>
      </c>
      <c r="C34" s="40">
        <v>0</v>
      </c>
      <c r="D34" s="40">
        <v>0</v>
      </c>
      <c r="E34" s="40">
        <f aca="true" t="shared" si="3" ref="E34:E43">SUM(D34:D34)</f>
        <v>0</v>
      </c>
      <c r="F34" s="58" t="s">
        <v>42</v>
      </c>
      <c r="G34" s="38">
        <v>0</v>
      </c>
      <c r="H34" s="38">
        <f>166252441+863600+578000-5098639-578000+1204167+507849</f>
        <v>163729418</v>
      </c>
      <c r="I34" s="38">
        <f t="shared" si="2"/>
        <v>163729418</v>
      </c>
    </row>
    <row r="35" spans="1:9" s="27" customFormat="1" ht="12.75">
      <c r="A35" s="74">
        <v>29</v>
      </c>
      <c r="B35" s="35" t="s">
        <v>20</v>
      </c>
      <c r="C35" s="40">
        <v>0</v>
      </c>
      <c r="D35" s="40">
        <f>6000000+74295+190500-6000000+6000000</f>
        <v>6264795</v>
      </c>
      <c r="E35" s="40">
        <f t="shared" si="3"/>
        <v>6264795</v>
      </c>
      <c r="F35" s="58" t="s">
        <v>43</v>
      </c>
      <c r="G35" s="38">
        <f>SUM(G36:G40)</f>
        <v>0</v>
      </c>
      <c r="H35" s="38">
        <v>5449520</v>
      </c>
      <c r="I35" s="38">
        <f t="shared" si="2"/>
        <v>5449520</v>
      </c>
    </row>
    <row r="36" spans="1:9" s="27" customFormat="1" ht="12.75">
      <c r="A36" s="71">
        <v>30</v>
      </c>
      <c r="B36" s="57" t="s">
        <v>27</v>
      </c>
      <c r="C36" s="38">
        <f>SUM(C37:C40)</f>
        <v>0</v>
      </c>
      <c r="D36" s="38">
        <f>SUM(D37:D40)</f>
        <v>49666198</v>
      </c>
      <c r="E36" s="38">
        <f t="shared" si="3"/>
        <v>49666198</v>
      </c>
      <c r="F36" s="37" t="s">
        <v>44</v>
      </c>
      <c r="G36" s="40">
        <v>0</v>
      </c>
      <c r="H36" s="40">
        <v>0</v>
      </c>
      <c r="I36" s="40">
        <f t="shared" si="2"/>
        <v>0</v>
      </c>
    </row>
    <row r="37" spans="1:9" s="27" customFormat="1" ht="12.75">
      <c r="A37" s="74">
        <v>31</v>
      </c>
      <c r="B37" s="35" t="s">
        <v>28</v>
      </c>
      <c r="C37" s="40">
        <v>0</v>
      </c>
      <c r="D37" s="40">
        <v>0</v>
      </c>
      <c r="E37" s="40">
        <f t="shared" si="3"/>
        <v>0</v>
      </c>
      <c r="F37" s="37" t="s">
        <v>45</v>
      </c>
      <c r="G37" s="40">
        <v>0</v>
      </c>
      <c r="H37" s="40">
        <v>0</v>
      </c>
      <c r="I37" s="40">
        <f t="shared" si="2"/>
        <v>0</v>
      </c>
    </row>
    <row r="38" spans="1:9" s="29" customFormat="1" ht="12.75">
      <c r="A38" s="74">
        <v>32</v>
      </c>
      <c r="B38" s="35" t="s">
        <v>29</v>
      </c>
      <c r="C38" s="40">
        <f>SUM(C39:C40)</f>
        <v>0</v>
      </c>
      <c r="D38" s="40">
        <f>44406964+1500000+1000000+11730500-1038000-510500-7422766</f>
        <v>49666198</v>
      </c>
      <c r="E38" s="40">
        <f t="shared" si="3"/>
        <v>49666198</v>
      </c>
      <c r="F38" s="37" t="s">
        <v>46</v>
      </c>
      <c r="G38" s="40">
        <v>0</v>
      </c>
      <c r="H38" s="40">
        <v>0</v>
      </c>
      <c r="I38" s="40">
        <f t="shared" si="2"/>
        <v>0</v>
      </c>
    </row>
    <row r="39" spans="1:9" s="29" customFormat="1" ht="12.75">
      <c r="A39" s="71">
        <v>33</v>
      </c>
      <c r="B39" s="35" t="s">
        <v>30</v>
      </c>
      <c r="C39" s="40">
        <v>0</v>
      </c>
      <c r="D39" s="40">
        <v>0</v>
      </c>
      <c r="E39" s="40">
        <f t="shared" si="3"/>
        <v>0</v>
      </c>
      <c r="F39" s="37" t="s">
        <v>47</v>
      </c>
      <c r="G39" s="40">
        <v>0</v>
      </c>
      <c r="H39" s="40">
        <v>0</v>
      </c>
      <c r="I39" s="40">
        <f t="shared" si="2"/>
        <v>0</v>
      </c>
    </row>
    <row r="40" spans="1:9" s="31" customFormat="1" ht="13.5">
      <c r="A40" s="74">
        <v>34</v>
      </c>
      <c r="B40" s="35" t="s">
        <v>31</v>
      </c>
      <c r="C40" s="40">
        <v>0</v>
      </c>
      <c r="D40" s="40">
        <v>0</v>
      </c>
      <c r="E40" s="40">
        <f t="shared" si="3"/>
        <v>0</v>
      </c>
      <c r="F40" s="37" t="s">
        <v>48</v>
      </c>
      <c r="G40" s="40">
        <v>0</v>
      </c>
      <c r="H40" s="40">
        <v>5449520</v>
      </c>
      <c r="I40" s="40">
        <f t="shared" si="2"/>
        <v>5449520</v>
      </c>
    </row>
    <row r="41" spans="1:9" s="31" customFormat="1" ht="13.5">
      <c r="A41" s="74">
        <v>35</v>
      </c>
      <c r="B41" s="57" t="s">
        <v>35</v>
      </c>
      <c r="C41" s="38">
        <f>SUM(C42:C43)</f>
        <v>0</v>
      </c>
      <c r="D41" s="38">
        <f>SUM(D42:D43)</f>
        <v>267460</v>
      </c>
      <c r="E41" s="38">
        <f t="shared" si="3"/>
        <v>267460</v>
      </c>
      <c r="F41" s="37"/>
      <c r="G41" s="40"/>
      <c r="H41" s="40"/>
      <c r="I41" s="40"/>
    </row>
    <row r="42" spans="1:9" s="31" customFormat="1" ht="13.5">
      <c r="A42" s="71">
        <v>36</v>
      </c>
      <c r="B42" s="35" t="s">
        <v>631</v>
      </c>
      <c r="C42" s="40">
        <v>0</v>
      </c>
      <c r="D42" s="40">
        <v>0</v>
      </c>
      <c r="E42" s="40">
        <f t="shared" si="3"/>
        <v>0</v>
      </c>
      <c r="F42" s="32"/>
      <c r="G42" s="40"/>
      <c r="H42" s="40"/>
      <c r="I42" s="40"/>
    </row>
    <row r="43" spans="1:9" s="31" customFormat="1" ht="13.5">
      <c r="A43" s="74">
        <v>37</v>
      </c>
      <c r="B43" s="35" t="s">
        <v>630</v>
      </c>
      <c r="C43" s="40">
        <v>0</v>
      </c>
      <c r="D43" s="40">
        <v>267460</v>
      </c>
      <c r="E43" s="40">
        <f t="shared" si="3"/>
        <v>267460</v>
      </c>
      <c r="F43" s="32"/>
      <c r="G43" s="40"/>
      <c r="H43" s="40"/>
      <c r="I43" s="40"/>
    </row>
    <row r="44" spans="1:9" s="33" customFormat="1" ht="6" customHeight="1">
      <c r="A44" s="899"/>
      <c r="B44" s="900"/>
      <c r="C44" s="900"/>
      <c r="D44" s="900"/>
      <c r="E44" s="900"/>
      <c r="F44" s="900"/>
      <c r="G44" s="900"/>
      <c r="H44" s="900"/>
      <c r="I44" s="901"/>
    </row>
    <row r="45" spans="1:9" s="33" customFormat="1" ht="15">
      <c r="A45" s="74">
        <v>38</v>
      </c>
      <c r="B45" s="902" t="s">
        <v>479</v>
      </c>
      <c r="C45" s="903"/>
      <c r="D45" s="903"/>
      <c r="E45" s="903"/>
      <c r="F45" s="903"/>
      <c r="G45" s="92">
        <f>C7-G7</f>
        <v>-255996119</v>
      </c>
      <c r="H45" s="92">
        <f>D7-H7</f>
        <v>-903913614</v>
      </c>
      <c r="I45" s="92">
        <f>SUM(G45:H45)</f>
        <v>-1159909733</v>
      </c>
    </row>
    <row r="46" spans="1:9" s="33" customFormat="1" ht="6" customHeight="1">
      <c r="A46" s="891"/>
      <c r="B46" s="892"/>
      <c r="C46" s="892"/>
      <c r="D46" s="892"/>
      <c r="E46" s="892"/>
      <c r="F46" s="892"/>
      <c r="G46" s="892"/>
      <c r="H46" s="892"/>
      <c r="I46" s="893"/>
    </row>
    <row r="47" spans="1:9" s="45" customFormat="1" ht="28.5">
      <c r="A47" s="74">
        <v>39</v>
      </c>
      <c r="B47" s="41" t="s">
        <v>327</v>
      </c>
      <c r="C47" s="43">
        <f>SUM(C48:C49)</f>
        <v>237195391</v>
      </c>
      <c r="D47" s="43">
        <f>SUM(D48:D49)</f>
        <v>942013879</v>
      </c>
      <c r="E47" s="43">
        <f>SUM(E48:E49)</f>
        <v>1179209270</v>
      </c>
      <c r="F47" s="44"/>
      <c r="G47" s="43"/>
      <c r="H47" s="43"/>
      <c r="I47" s="43"/>
    </row>
    <row r="48" spans="1:9" s="54" customFormat="1" ht="13.5">
      <c r="A48" s="71">
        <v>40</v>
      </c>
      <c r="B48" s="55" t="s">
        <v>632</v>
      </c>
      <c r="C48" s="49">
        <f>152741175+789210+75829006+334626+2000+13068678-4199155</f>
        <v>238565540</v>
      </c>
      <c r="D48" s="49">
        <f>896617876-510500+45906503</f>
        <v>942013879</v>
      </c>
      <c r="E48" s="49">
        <f aca="true" t="shared" si="4" ref="E48:E54">SUM(C48:D48)</f>
        <v>1180579419</v>
      </c>
      <c r="F48" s="50"/>
      <c r="G48" s="49"/>
      <c r="H48" s="49"/>
      <c r="I48" s="49"/>
    </row>
    <row r="49" spans="1:9" s="54" customFormat="1" ht="13.5">
      <c r="A49" s="71">
        <v>41</v>
      </c>
      <c r="B49" s="55" t="s">
        <v>633</v>
      </c>
      <c r="C49" s="49">
        <v>-1370149</v>
      </c>
      <c r="D49" s="49">
        <v>0</v>
      </c>
      <c r="E49" s="49">
        <f>SUM(C49:D49)</f>
        <v>-1370149</v>
      </c>
      <c r="F49" s="50"/>
      <c r="G49" s="49"/>
      <c r="H49" s="49"/>
      <c r="I49" s="49"/>
    </row>
    <row r="50" spans="1:9" s="45" customFormat="1" ht="28.5">
      <c r="A50" s="74">
        <v>42</v>
      </c>
      <c r="B50" s="41" t="s">
        <v>328</v>
      </c>
      <c r="C50" s="644">
        <f>SUM(C51:C53)</f>
        <v>0</v>
      </c>
      <c r="D50" s="644">
        <f>SUM(D51:D53)</f>
        <v>0</v>
      </c>
      <c r="E50" s="644">
        <f t="shared" si="4"/>
        <v>0</v>
      </c>
      <c r="F50" s="645" t="s">
        <v>329</v>
      </c>
      <c r="G50" s="644">
        <f>SUM(G51:G53)</f>
        <v>19299537</v>
      </c>
      <c r="H50" s="644">
        <f>SUM(H51:H53)</f>
        <v>0</v>
      </c>
      <c r="I50" s="644">
        <f>SUM(G50:H50)</f>
        <v>19299537</v>
      </c>
    </row>
    <row r="51" spans="1:9" s="54" customFormat="1" ht="13.5">
      <c r="A51" s="74">
        <v>43</v>
      </c>
      <c r="B51" s="53" t="s">
        <v>634</v>
      </c>
      <c r="C51" s="49">
        <v>0</v>
      </c>
      <c r="D51" s="49">
        <v>0</v>
      </c>
      <c r="E51" s="49">
        <f t="shared" si="4"/>
        <v>0</v>
      </c>
      <c r="F51" s="50" t="s">
        <v>636</v>
      </c>
      <c r="G51" s="49">
        <v>0</v>
      </c>
      <c r="H51" s="49">
        <v>0</v>
      </c>
      <c r="I51" s="49">
        <f>SUM(G51:H51)</f>
        <v>0</v>
      </c>
    </row>
    <row r="52" spans="1:9" s="56" customFormat="1" ht="12.75">
      <c r="A52" s="74">
        <v>44</v>
      </c>
      <c r="B52" s="53" t="s">
        <v>635</v>
      </c>
      <c r="C52" s="49">
        <v>0</v>
      </c>
      <c r="D52" s="49">
        <v>0</v>
      </c>
      <c r="E52" s="49">
        <f>SUM(C52:D52)</f>
        <v>0</v>
      </c>
      <c r="F52" s="50" t="s">
        <v>637</v>
      </c>
      <c r="G52" s="49">
        <v>0</v>
      </c>
      <c r="H52" s="49">
        <v>0</v>
      </c>
      <c r="I52" s="49">
        <f>SUM(G52:H52)</f>
        <v>0</v>
      </c>
    </row>
    <row r="53" spans="1:9" s="56" customFormat="1" ht="12.75">
      <c r="A53" s="74">
        <v>45</v>
      </c>
      <c r="B53" s="53" t="s">
        <v>628</v>
      </c>
      <c r="C53" s="49">
        <v>0</v>
      </c>
      <c r="D53" s="49">
        <v>0</v>
      </c>
      <c r="E53" s="49">
        <f>SUM(C53:D53)</f>
        <v>0</v>
      </c>
      <c r="F53" s="53" t="s">
        <v>629</v>
      </c>
      <c r="G53" s="49">
        <v>19299537</v>
      </c>
      <c r="H53" s="49">
        <v>0</v>
      </c>
      <c r="I53" s="49">
        <f>SUM(G53:H53)</f>
        <v>19299537</v>
      </c>
    </row>
    <row r="54" spans="1:9" s="47" customFormat="1" ht="15.75">
      <c r="A54" s="74">
        <v>46</v>
      </c>
      <c r="B54" s="46" t="s">
        <v>430</v>
      </c>
      <c r="C54" s="60">
        <f>SUM(C7,C47,C50)</f>
        <v>1341588819</v>
      </c>
      <c r="D54" s="60">
        <f>SUM(D7,D47,D50)</f>
        <v>998212332</v>
      </c>
      <c r="E54" s="60">
        <f t="shared" si="4"/>
        <v>2339801151</v>
      </c>
      <c r="F54" s="46" t="s">
        <v>337</v>
      </c>
      <c r="G54" s="60">
        <f>SUM(G7,G50)</f>
        <v>1379689084</v>
      </c>
      <c r="H54" s="60">
        <f>SUM(H7,H50)</f>
        <v>960112067</v>
      </c>
      <c r="I54" s="60">
        <f>SUM(G54:H54)</f>
        <v>2339801151</v>
      </c>
    </row>
    <row r="61" ht="15">
      <c r="B61" s="34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A58"/>
  <sheetViews>
    <sheetView zoomScale="95" zoomScaleNormal="95" zoomScalePageLayoutView="0" workbookViewId="0" topLeftCell="C1">
      <pane xSplit="4" ySplit="7" topLeftCell="K13" activePane="bottomRight" state="frozen"/>
      <selection pane="topLeft" activeCell="C1" sqref="C1"/>
      <selection pane="topRight" activeCell="G1" sqref="G1"/>
      <selection pane="bottomLeft" activeCell="C8" sqref="C8"/>
      <selection pane="bottomRight" activeCell="E2" sqref="E2:X2"/>
    </sheetView>
  </sheetViews>
  <sheetFormatPr defaultColWidth="8.875" defaultRowHeight="12.75"/>
  <cols>
    <col min="1" max="1" width="1.37890625" style="435" hidden="1" customWidth="1"/>
    <col min="2" max="2" width="8.00390625" style="436" hidden="1" customWidth="1"/>
    <col min="3" max="3" width="8.00390625" style="436" customWidth="1"/>
    <col min="4" max="4" width="4.625" style="437" bestFit="1" customWidth="1"/>
    <col min="5" max="5" width="30.375" style="435" customWidth="1"/>
    <col min="6" max="6" width="9.25390625" style="438" hidden="1" customWidth="1"/>
    <col min="7" max="7" width="11.375" style="435" bestFit="1" customWidth="1"/>
    <col min="8" max="8" width="11.125" style="435" customWidth="1"/>
    <col min="9" max="9" width="11.375" style="435" customWidth="1"/>
    <col min="10" max="11" width="10.25390625" style="435" customWidth="1"/>
    <col min="12" max="12" width="11.625" style="435" customWidth="1"/>
    <col min="13" max="13" width="9.875" style="435" customWidth="1"/>
    <col min="14" max="14" width="9.25390625" style="435" customWidth="1"/>
    <col min="15" max="16" width="10.00390625" style="435" customWidth="1"/>
    <col min="17" max="17" width="11.875" style="435" customWidth="1"/>
    <col min="18" max="18" width="10.00390625" style="435" customWidth="1"/>
    <col min="19" max="19" width="10.375" style="435" bestFit="1" customWidth="1"/>
    <col min="20" max="20" width="12.875" style="435" bestFit="1" customWidth="1"/>
    <col min="21" max="21" width="11.375" style="435" bestFit="1" customWidth="1"/>
    <col min="22" max="22" width="11.125" style="435" customWidth="1"/>
    <col min="23" max="23" width="10.625" style="435" customWidth="1"/>
    <col min="24" max="24" width="15.75390625" style="492" bestFit="1" customWidth="1"/>
    <col min="25" max="25" width="14.375" style="435" customWidth="1"/>
    <col min="26" max="26" width="9.875" style="435" bestFit="1" customWidth="1"/>
    <col min="27" max="16384" width="8.875" style="435" customWidth="1"/>
  </cols>
  <sheetData>
    <row r="1" spans="3:24" ht="15">
      <c r="C1" s="905"/>
      <c r="M1" s="127"/>
      <c r="N1" s="127"/>
      <c r="O1" s="127"/>
      <c r="P1" s="127"/>
      <c r="Q1" s="127"/>
      <c r="R1" s="127"/>
      <c r="S1" s="906" t="s">
        <v>1021</v>
      </c>
      <c r="T1" s="907"/>
      <c r="U1" s="907"/>
      <c r="V1" s="907"/>
      <c r="W1" s="907"/>
      <c r="X1" s="907"/>
    </row>
    <row r="2" spans="1:24" ht="15.75">
      <c r="A2" s="439"/>
      <c r="B2" s="440"/>
      <c r="C2" s="905"/>
      <c r="D2" s="440"/>
      <c r="E2" s="908" t="s">
        <v>786</v>
      </c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</row>
    <row r="3" ht="12.75" thickBot="1">
      <c r="X3" s="441"/>
    </row>
    <row r="4" spans="2:24" s="442" customFormat="1" ht="12.75" customHeight="1">
      <c r="B4" s="443"/>
      <c r="C4" s="443"/>
      <c r="D4" s="909" t="s">
        <v>423</v>
      </c>
      <c r="E4" s="912" t="s">
        <v>353</v>
      </c>
      <c r="F4" s="915" t="s">
        <v>359</v>
      </c>
      <c r="G4" s="921" t="s">
        <v>360</v>
      </c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923"/>
      <c r="X4" s="924" t="s">
        <v>361</v>
      </c>
    </row>
    <row r="5" spans="2:24" s="444" customFormat="1" ht="12" customHeight="1">
      <c r="B5" s="445"/>
      <c r="C5" s="445"/>
      <c r="D5" s="910"/>
      <c r="E5" s="913"/>
      <c r="F5" s="916"/>
      <c r="G5" s="446" t="s">
        <v>1</v>
      </c>
      <c r="H5" s="446" t="s">
        <v>3</v>
      </c>
      <c r="I5" s="446" t="s">
        <v>5</v>
      </c>
      <c r="J5" s="446" t="s">
        <v>8</v>
      </c>
      <c r="K5" s="918" t="s">
        <v>583</v>
      </c>
      <c r="L5" s="919"/>
      <c r="M5" s="919"/>
      <c r="N5" s="919"/>
      <c r="O5" s="919"/>
      <c r="P5" s="919"/>
      <c r="Q5" s="919"/>
      <c r="R5" s="919"/>
      <c r="S5" s="920"/>
      <c r="T5" s="448" t="s">
        <v>111</v>
      </c>
      <c r="U5" s="448" t="s">
        <v>113</v>
      </c>
      <c r="V5" s="446" t="s">
        <v>115</v>
      </c>
      <c r="W5" s="446" t="s">
        <v>117</v>
      </c>
      <c r="X5" s="925"/>
    </row>
    <row r="6" spans="2:24" s="444" customFormat="1" ht="63.75" customHeight="1">
      <c r="B6" s="445"/>
      <c r="C6" s="445"/>
      <c r="D6" s="910"/>
      <c r="E6" s="914"/>
      <c r="F6" s="917"/>
      <c r="G6" s="449" t="s">
        <v>336</v>
      </c>
      <c r="H6" s="449" t="s">
        <v>574</v>
      </c>
      <c r="I6" s="449" t="s">
        <v>355</v>
      </c>
      <c r="J6" s="449" t="s">
        <v>9</v>
      </c>
      <c r="K6" s="449" t="s">
        <v>134</v>
      </c>
      <c r="L6" s="449" t="s">
        <v>110</v>
      </c>
      <c r="M6" s="449" t="s">
        <v>731</v>
      </c>
      <c r="N6" s="449" t="s">
        <v>416</v>
      </c>
      <c r="O6" s="449" t="s">
        <v>428</v>
      </c>
      <c r="P6" s="449" t="s">
        <v>440</v>
      </c>
      <c r="Q6" s="449" t="s">
        <v>982</v>
      </c>
      <c r="R6" s="449" t="s">
        <v>986</v>
      </c>
      <c r="S6" s="449" t="s">
        <v>781</v>
      </c>
      <c r="T6" s="447" t="s">
        <v>334</v>
      </c>
      <c r="U6" s="447" t="s">
        <v>363</v>
      </c>
      <c r="V6" s="449" t="s">
        <v>582</v>
      </c>
      <c r="W6" s="449" t="s">
        <v>116</v>
      </c>
      <c r="X6" s="926"/>
    </row>
    <row r="7" spans="2:24" s="450" customFormat="1" ht="12">
      <c r="B7" s="451"/>
      <c r="C7" s="451"/>
      <c r="D7" s="911"/>
      <c r="E7" s="452" t="s">
        <v>417</v>
      </c>
      <c r="F7" s="453" t="s">
        <v>418</v>
      </c>
      <c r="G7" s="454" t="s">
        <v>418</v>
      </c>
      <c r="H7" s="454" t="s">
        <v>419</v>
      </c>
      <c r="I7" s="455" t="s">
        <v>420</v>
      </c>
      <c r="J7" s="452" t="s">
        <v>421</v>
      </c>
      <c r="K7" s="452" t="s">
        <v>422</v>
      </c>
      <c r="L7" s="455" t="s">
        <v>424</v>
      </c>
      <c r="M7" s="455" t="s">
        <v>425</v>
      </c>
      <c r="N7" s="455" t="s">
        <v>376</v>
      </c>
      <c r="O7" s="455" t="s">
        <v>377</v>
      </c>
      <c r="P7" s="454" t="s">
        <v>378</v>
      </c>
      <c r="Q7" s="454" t="s">
        <v>379</v>
      </c>
      <c r="R7" s="455" t="s">
        <v>380</v>
      </c>
      <c r="S7" s="455" t="s">
        <v>381</v>
      </c>
      <c r="T7" s="456" t="s">
        <v>382</v>
      </c>
      <c r="U7" s="457" t="s">
        <v>383</v>
      </c>
      <c r="V7" s="458" t="s">
        <v>756</v>
      </c>
      <c r="W7" s="457" t="s">
        <v>984</v>
      </c>
      <c r="X7" s="458" t="s">
        <v>983</v>
      </c>
    </row>
    <row r="8" spans="1:24" s="466" customFormat="1" ht="24">
      <c r="A8" s="435"/>
      <c r="B8" s="436"/>
      <c r="C8" s="436" t="s">
        <v>58</v>
      </c>
      <c r="D8" s="459" t="s">
        <v>384</v>
      </c>
      <c r="E8" s="460" t="s">
        <v>59</v>
      </c>
      <c r="F8" s="461"/>
      <c r="G8" s="462">
        <f>34989435+6600+347826+45939+241500</f>
        <v>35631300</v>
      </c>
      <c r="H8" s="462">
        <f>8083672+1155+52174-45939+44564+37432</f>
        <v>8173058</v>
      </c>
      <c r="I8" s="463">
        <f>15275133+16823647+92377+6500+4615000+30000</f>
        <v>36842657</v>
      </c>
      <c r="J8" s="463"/>
      <c r="K8" s="463"/>
      <c r="L8" s="463">
        <f>22297000-70000</f>
        <v>22227000</v>
      </c>
      <c r="M8" s="463">
        <v>100000</v>
      </c>
      <c r="N8" s="463"/>
      <c r="O8" s="463"/>
      <c r="P8" s="463"/>
      <c r="Q8" s="463"/>
      <c r="R8" s="463"/>
      <c r="S8" s="463"/>
      <c r="T8" s="462"/>
      <c r="U8" s="463"/>
      <c r="V8" s="464"/>
      <c r="W8" s="463"/>
      <c r="X8" s="465">
        <f aca="true" t="shared" si="0" ref="X8:X52">SUM(G8:W8)</f>
        <v>102974015</v>
      </c>
    </row>
    <row r="9" spans="1:24" s="466" customFormat="1" ht="24">
      <c r="A9" s="435"/>
      <c r="B9" s="436" t="s">
        <v>52</v>
      </c>
      <c r="C9" s="436" t="s">
        <v>55</v>
      </c>
      <c r="D9" s="467" t="s">
        <v>385</v>
      </c>
      <c r="E9" s="468" t="s">
        <v>56</v>
      </c>
      <c r="F9" s="469"/>
      <c r="G9" s="470"/>
      <c r="H9" s="470"/>
      <c r="I9" s="464">
        <f>40527704-54000+500000+308085+1143000+9534431+200000+1505094</f>
        <v>53664314</v>
      </c>
      <c r="J9" s="464"/>
      <c r="K9" s="464"/>
      <c r="L9" s="464">
        <f>42084000-4779000</f>
        <v>37305000</v>
      </c>
      <c r="M9" s="464"/>
      <c r="N9" s="464"/>
      <c r="O9" s="464"/>
      <c r="P9" s="464"/>
      <c r="Q9" s="464"/>
      <c r="R9" s="464"/>
      <c r="S9" s="464"/>
      <c r="T9" s="470">
        <f>452341169+4790554-13005804+22387266+2197500</f>
        <v>468710685</v>
      </c>
      <c r="U9" s="464">
        <f>8794813-5098639</f>
        <v>3696174</v>
      </c>
      <c r="V9" s="464">
        <v>449520</v>
      </c>
      <c r="W9" s="464"/>
      <c r="X9" s="465">
        <f t="shared" si="0"/>
        <v>563825693</v>
      </c>
    </row>
    <row r="10" spans="1:24" s="466" customFormat="1" ht="23.25" customHeight="1">
      <c r="A10" s="435"/>
      <c r="B10" s="436"/>
      <c r="C10" s="436" t="s">
        <v>60</v>
      </c>
      <c r="D10" s="467" t="s">
        <v>386</v>
      </c>
      <c r="E10" s="468" t="s">
        <v>368</v>
      </c>
      <c r="F10" s="469"/>
      <c r="G10" s="470"/>
      <c r="H10" s="470">
        <v>311347</v>
      </c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64"/>
      <c r="V10" s="464"/>
      <c r="W10" s="464"/>
      <c r="X10" s="465">
        <f t="shared" si="0"/>
        <v>311347</v>
      </c>
    </row>
    <row r="11" spans="1:24" s="466" customFormat="1" ht="23.25" customHeight="1">
      <c r="A11" s="435"/>
      <c r="B11" s="436"/>
      <c r="C11" s="436" t="s">
        <v>987</v>
      </c>
      <c r="D11" s="467" t="s">
        <v>387</v>
      </c>
      <c r="E11" s="468" t="s">
        <v>985</v>
      </c>
      <c r="F11" s="469"/>
      <c r="G11" s="470"/>
      <c r="H11" s="470"/>
      <c r="I11" s="470"/>
      <c r="J11" s="470"/>
      <c r="K11" s="470">
        <v>36263474</v>
      </c>
      <c r="L11" s="470"/>
      <c r="M11" s="470"/>
      <c r="N11" s="470"/>
      <c r="O11" s="470"/>
      <c r="P11" s="470"/>
      <c r="Q11" s="470"/>
      <c r="R11" s="470"/>
      <c r="S11" s="470"/>
      <c r="T11" s="470"/>
      <c r="U11" s="464"/>
      <c r="V11" s="464"/>
      <c r="W11" s="464"/>
      <c r="X11" s="465">
        <f t="shared" si="0"/>
        <v>36263474</v>
      </c>
    </row>
    <row r="12" spans="1:24" s="466" customFormat="1" ht="23.25" customHeight="1">
      <c r="A12" s="435"/>
      <c r="B12" s="436"/>
      <c r="C12" s="436" t="s">
        <v>571</v>
      </c>
      <c r="D12" s="467" t="s">
        <v>388</v>
      </c>
      <c r="E12" s="468" t="s">
        <v>572</v>
      </c>
      <c r="F12" s="469"/>
      <c r="G12" s="470"/>
      <c r="H12" s="470"/>
      <c r="I12" s="470">
        <v>558233</v>
      </c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64"/>
      <c r="V12" s="464"/>
      <c r="W12" s="464">
        <v>19299537</v>
      </c>
      <c r="X12" s="465">
        <f t="shared" si="0"/>
        <v>19857770</v>
      </c>
    </row>
    <row r="13" spans="1:24" s="466" customFormat="1" ht="23.25" customHeight="1">
      <c r="A13" s="435"/>
      <c r="B13" s="436"/>
      <c r="C13" s="436" t="s">
        <v>988</v>
      </c>
      <c r="D13" s="467" t="s">
        <v>389</v>
      </c>
      <c r="E13" s="468" t="s">
        <v>989</v>
      </c>
      <c r="F13" s="469"/>
      <c r="G13" s="470"/>
      <c r="H13" s="470"/>
      <c r="I13" s="470"/>
      <c r="J13" s="470"/>
      <c r="K13" s="470"/>
      <c r="L13" s="470"/>
      <c r="M13" s="470">
        <v>15000</v>
      </c>
      <c r="N13" s="470"/>
      <c r="O13" s="470"/>
      <c r="P13" s="470"/>
      <c r="Q13" s="470"/>
      <c r="R13" s="470"/>
      <c r="S13" s="470"/>
      <c r="T13" s="470"/>
      <c r="U13" s="464"/>
      <c r="V13" s="464"/>
      <c r="W13" s="464"/>
      <c r="X13" s="465">
        <f t="shared" si="0"/>
        <v>15000</v>
      </c>
    </row>
    <row r="14" spans="1:24" s="466" customFormat="1" ht="24">
      <c r="A14" s="435">
        <v>20215</v>
      </c>
      <c r="B14" s="436" t="s">
        <v>55</v>
      </c>
      <c r="C14" s="436" t="s">
        <v>63</v>
      </c>
      <c r="D14" s="467" t="s">
        <v>390</v>
      </c>
      <c r="E14" s="468" t="s">
        <v>64</v>
      </c>
      <c r="F14" s="469"/>
      <c r="G14" s="470"/>
      <c r="H14" s="470"/>
      <c r="I14" s="464"/>
      <c r="J14" s="464"/>
      <c r="K14" s="464"/>
      <c r="L14" s="464">
        <v>12311385</v>
      </c>
      <c r="M14" s="464"/>
      <c r="N14" s="464"/>
      <c r="O14" s="464"/>
      <c r="P14" s="464"/>
      <c r="Q14" s="464"/>
      <c r="R14" s="464"/>
      <c r="S14" s="464"/>
      <c r="T14" s="470"/>
      <c r="U14" s="464"/>
      <c r="V14" s="464"/>
      <c r="W14" s="464"/>
      <c r="X14" s="465">
        <f t="shared" si="0"/>
        <v>12311385</v>
      </c>
    </row>
    <row r="15" spans="1:24" s="466" customFormat="1" ht="24">
      <c r="A15" s="435"/>
      <c r="B15" s="436"/>
      <c r="C15" s="436" t="s">
        <v>699</v>
      </c>
      <c r="D15" s="467" t="s">
        <v>391</v>
      </c>
      <c r="E15" s="468" t="s">
        <v>693</v>
      </c>
      <c r="F15" s="469"/>
      <c r="G15" s="470">
        <f>3693375+11080125</f>
        <v>14773500</v>
      </c>
      <c r="H15" s="470">
        <f>323170+969525+3163</f>
        <v>1295858</v>
      </c>
      <c r="I15" s="470">
        <f>4441343+61586</f>
        <v>4502929</v>
      </c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>
        <f>190500</f>
        <v>190500</v>
      </c>
      <c r="U15" s="464"/>
      <c r="V15" s="470"/>
      <c r="W15" s="464"/>
      <c r="X15" s="465">
        <f t="shared" si="0"/>
        <v>20762787</v>
      </c>
    </row>
    <row r="16" spans="1:24" s="466" customFormat="1" ht="22.5" customHeight="1">
      <c r="A16" s="435"/>
      <c r="B16" s="436"/>
      <c r="C16" s="436" t="s">
        <v>700</v>
      </c>
      <c r="D16" s="467" t="s">
        <v>392</v>
      </c>
      <c r="E16" s="468" t="s">
        <v>694</v>
      </c>
      <c r="F16" s="469"/>
      <c r="G16" s="470">
        <f>12115695+23197320+4891800</f>
        <v>40204815</v>
      </c>
      <c r="H16" s="470">
        <f>1060123+2029806+81181+428040</f>
        <v>3599150</v>
      </c>
      <c r="I16" s="470">
        <f>52070+1310301+267157</f>
        <v>1629528</v>
      </c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>
        <f>74295</f>
        <v>74295</v>
      </c>
      <c r="U16" s="464"/>
      <c r="V16" s="470"/>
      <c r="W16" s="464"/>
      <c r="X16" s="465">
        <f t="shared" si="0"/>
        <v>45507788</v>
      </c>
    </row>
    <row r="17" spans="1:24" s="466" customFormat="1" ht="22.5" customHeight="1">
      <c r="A17" s="435"/>
      <c r="B17" s="436"/>
      <c r="C17" s="436" t="s">
        <v>573</v>
      </c>
      <c r="D17" s="467" t="s">
        <v>393</v>
      </c>
      <c r="E17" s="468" t="s">
        <v>787</v>
      </c>
      <c r="F17" s="469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>
        <f>25000000-20000000</f>
        <v>5000000</v>
      </c>
      <c r="U17" s="464"/>
      <c r="V17" s="470"/>
      <c r="W17" s="464"/>
      <c r="X17" s="465">
        <f t="shared" si="0"/>
        <v>5000000</v>
      </c>
    </row>
    <row r="18" spans="2:24" ht="24">
      <c r="B18" s="436" t="s">
        <v>58</v>
      </c>
      <c r="C18" s="436" t="s">
        <v>53</v>
      </c>
      <c r="D18" s="467" t="s">
        <v>394</v>
      </c>
      <c r="E18" s="468" t="s">
        <v>487</v>
      </c>
      <c r="F18" s="469"/>
      <c r="G18" s="470"/>
      <c r="H18" s="470"/>
      <c r="I18" s="464">
        <v>15377340</v>
      </c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>
        <v>363120</v>
      </c>
      <c r="U18" s="464"/>
      <c r="V18" s="464"/>
      <c r="W18" s="464"/>
      <c r="X18" s="465">
        <f t="shared" si="0"/>
        <v>15740460</v>
      </c>
    </row>
    <row r="19" spans="2:24" ht="24">
      <c r="B19" s="436" t="s">
        <v>60</v>
      </c>
      <c r="C19" s="436" t="s">
        <v>65</v>
      </c>
      <c r="D19" s="467" t="s">
        <v>395</v>
      </c>
      <c r="E19" s="468" t="s">
        <v>66</v>
      </c>
      <c r="F19" s="469"/>
      <c r="G19" s="470"/>
      <c r="H19" s="470"/>
      <c r="I19" s="464">
        <f>5249710</f>
        <v>5249710</v>
      </c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>
        <f>101682090-3817843-5373648</f>
        <v>92490599</v>
      </c>
      <c r="U19" s="464"/>
      <c r="V19" s="464"/>
      <c r="W19" s="464"/>
      <c r="X19" s="465">
        <f t="shared" si="0"/>
        <v>97740309</v>
      </c>
    </row>
    <row r="20" spans="3:24" ht="24">
      <c r="C20" s="436" t="s">
        <v>750</v>
      </c>
      <c r="D20" s="467" t="s">
        <v>396</v>
      </c>
      <c r="E20" s="468" t="s">
        <v>732</v>
      </c>
      <c r="F20" s="471"/>
      <c r="G20" s="470"/>
      <c r="H20" s="470"/>
      <c r="I20" s="464">
        <v>4571244</v>
      </c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>
        <f>187978206-911000</f>
        <v>187067206</v>
      </c>
      <c r="U20" s="464"/>
      <c r="V20" s="464"/>
      <c r="W20" s="464"/>
      <c r="X20" s="465">
        <f t="shared" si="0"/>
        <v>191638450</v>
      </c>
    </row>
    <row r="21" spans="1:24" ht="24">
      <c r="A21" s="435">
        <v>751791</v>
      </c>
      <c r="B21" s="436" t="s">
        <v>61</v>
      </c>
      <c r="C21" s="436" t="s">
        <v>49</v>
      </c>
      <c r="D21" s="467" t="s">
        <v>397</v>
      </c>
      <c r="E21" s="468" t="s">
        <v>50</v>
      </c>
      <c r="F21" s="471"/>
      <c r="G21" s="464"/>
      <c r="H21" s="470"/>
      <c r="I21" s="464">
        <v>3416864</v>
      </c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5">
        <f t="shared" si="0"/>
        <v>3416864</v>
      </c>
    </row>
    <row r="22" spans="1:24" ht="24">
      <c r="A22" s="435">
        <v>751834</v>
      </c>
      <c r="B22" s="436" t="s">
        <v>62</v>
      </c>
      <c r="C22" s="436" t="s">
        <v>51</v>
      </c>
      <c r="D22" s="467" t="s">
        <v>398</v>
      </c>
      <c r="E22" s="468" t="s">
        <v>366</v>
      </c>
      <c r="F22" s="469"/>
      <c r="G22" s="470"/>
      <c r="H22" s="470"/>
      <c r="I22" s="464">
        <v>9798424</v>
      </c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>
        <v>1000000</v>
      </c>
      <c r="U22" s="464"/>
      <c r="V22" s="464"/>
      <c r="W22" s="464"/>
      <c r="X22" s="465">
        <f t="shared" si="0"/>
        <v>10798424</v>
      </c>
    </row>
    <row r="23" spans="3:24" ht="24">
      <c r="C23" s="436" t="s">
        <v>52</v>
      </c>
      <c r="D23" s="467" t="s">
        <v>399</v>
      </c>
      <c r="E23" s="468" t="s">
        <v>733</v>
      </c>
      <c r="F23" s="469"/>
      <c r="G23" s="470"/>
      <c r="H23" s="470">
        <v>110</v>
      </c>
      <c r="I23" s="464">
        <f>4276480+33191447</f>
        <v>37467927</v>
      </c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70">
        <v>1940000</v>
      </c>
      <c r="U23" s="464"/>
      <c r="V23" s="464">
        <v>5000000</v>
      </c>
      <c r="W23" s="464"/>
      <c r="X23" s="465">
        <f t="shared" si="0"/>
        <v>44408037</v>
      </c>
    </row>
    <row r="24" spans="3:24" ht="24">
      <c r="C24" s="436" t="s">
        <v>751</v>
      </c>
      <c r="D24" s="467" t="s">
        <v>400</v>
      </c>
      <c r="E24" s="468" t="s">
        <v>734</v>
      </c>
      <c r="F24" s="469"/>
      <c r="G24" s="470"/>
      <c r="H24" s="470"/>
      <c r="I24" s="464">
        <f>1377000+726390</f>
        <v>2103390</v>
      </c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70"/>
      <c r="U24" s="464">
        <v>21830061</v>
      </c>
      <c r="V24" s="464"/>
      <c r="W24" s="464"/>
      <c r="X24" s="465">
        <f t="shared" si="0"/>
        <v>23933451</v>
      </c>
    </row>
    <row r="25" spans="3:24" ht="24">
      <c r="C25" s="436" t="s">
        <v>826</v>
      </c>
      <c r="D25" s="467" t="s">
        <v>401</v>
      </c>
      <c r="E25" s="468" t="s">
        <v>788</v>
      </c>
      <c r="F25" s="469"/>
      <c r="G25" s="470">
        <v>1044000</v>
      </c>
      <c r="H25" s="470">
        <v>164430</v>
      </c>
      <c r="I25" s="464">
        <f>640554-254000</f>
        <v>386554</v>
      </c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70">
        <f>973100-755546</f>
        <v>217554</v>
      </c>
      <c r="U25" s="464"/>
      <c r="V25" s="464"/>
      <c r="W25" s="464"/>
      <c r="X25" s="465">
        <f t="shared" si="0"/>
        <v>1812538</v>
      </c>
    </row>
    <row r="26" spans="3:24" ht="24">
      <c r="C26" s="436" t="s">
        <v>752</v>
      </c>
      <c r="D26" s="467" t="s">
        <v>402</v>
      </c>
      <c r="E26" s="468" t="s">
        <v>735</v>
      </c>
      <c r="F26" s="469"/>
      <c r="G26" s="470">
        <v>609406</v>
      </c>
      <c r="H26" s="470">
        <v>143206</v>
      </c>
      <c r="I26" s="464">
        <v>4667808</v>
      </c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70">
        <f>19510500-1730500-17780000</f>
        <v>0</v>
      </c>
      <c r="U26" s="464">
        <f>91442680+863600</f>
        <v>92306280</v>
      </c>
      <c r="V26" s="464"/>
      <c r="W26" s="464"/>
      <c r="X26" s="465">
        <f t="shared" si="0"/>
        <v>97726700</v>
      </c>
    </row>
    <row r="27" spans="3:24" ht="24" customHeight="1">
      <c r="C27" s="436" t="s">
        <v>695</v>
      </c>
      <c r="D27" s="467" t="s">
        <v>403</v>
      </c>
      <c r="E27" s="468" t="s">
        <v>696</v>
      </c>
      <c r="F27" s="469"/>
      <c r="G27" s="470"/>
      <c r="H27" s="464"/>
      <c r="I27" s="464">
        <v>416194</v>
      </c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70"/>
      <c r="U27" s="464">
        <v>6759599</v>
      </c>
      <c r="V27" s="464"/>
      <c r="W27" s="464"/>
      <c r="X27" s="465">
        <f t="shared" si="0"/>
        <v>7175793</v>
      </c>
    </row>
    <row r="28" spans="1:24" ht="24" customHeight="1">
      <c r="A28" s="435">
        <v>751966</v>
      </c>
      <c r="B28" s="436" t="s">
        <v>63</v>
      </c>
      <c r="C28" s="436" t="s">
        <v>61</v>
      </c>
      <c r="D28" s="467" t="s">
        <v>404</v>
      </c>
      <c r="E28" s="468" t="s">
        <v>369</v>
      </c>
      <c r="F28" s="469"/>
      <c r="G28" s="470"/>
      <c r="H28" s="464"/>
      <c r="I28" s="464">
        <f>24094440+414268</f>
        <v>24508708</v>
      </c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70"/>
      <c r="U28" s="464">
        <v>2794000</v>
      </c>
      <c r="V28" s="464"/>
      <c r="W28" s="464"/>
      <c r="X28" s="465">
        <f t="shared" si="0"/>
        <v>27302708</v>
      </c>
    </row>
    <row r="29" spans="1:24" ht="24" customHeight="1">
      <c r="A29" s="435">
        <v>751999</v>
      </c>
      <c r="B29" s="436" t="s">
        <v>65</v>
      </c>
      <c r="C29" s="436" t="s">
        <v>57</v>
      </c>
      <c r="D29" s="467" t="s">
        <v>405</v>
      </c>
      <c r="E29" s="468" t="s">
        <v>488</v>
      </c>
      <c r="F29" s="469"/>
      <c r="G29" s="470"/>
      <c r="H29" s="470"/>
      <c r="I29" s="464">
        <v>2640000</v>
      </c>
      <c r="J29" s="464"/>
      <c r="K29" s="464"/>
      <c r="L29" s="464">
        <f>32277000-1444000</f>
        <v>30833000</v>
      </c>
      <c r="M29" s="464"/>
      <c r="N29" s="464"/>
      <c r="O29" s="464"/>
      <c r="P29" s="464"/>
      <c r="Q29" s="464"/>
      <c r="R29" s="464"/>
      <c r="S29" s="464"/>
      <c r="T29" s="470"/>
      <c r="U29" s="464"/>
      <c r="V29" s="464"/>
      <c r="W29" s="464"/>
      <c r="X29" s="465">
        <f t="shared" si="0"/>
        <v>33473000</v>
      </c>
    </row>
    <row r="30" spans="2:25" ht="24">
      <c r="B30" s="436" t="s">
        <v>67</v>
      </c>
      <c r="C30" s="436" t="s">
        <v>62</v>
      </c>
      <c r="D30" s="467" t="s">
        <v>448</v>
      </c>
      <c r="E30" s="468" t="s">
        <v>489</v>
      </c>
      <c r="F30" s="469"/>
      <c r="G30" s="470">
        <f>25000+33000</f>
        <v>58000</v>
      </c>
      <c r="H30" s="470">
        <f>3938+5197</f>
        <v>9135</v>
      </c>
      <c r="I30" s="464">
        <f>14028933+401078+382588+349267</f>
        <v>15161866</v>
      </c>
      <c r="J30" s="464"/>
      <c r="K30" s="464"/>
      <c r="L30" s="464">
        <f>14018000-6364000-3280000</f>
        <v>4374000</v>
      </c>
      <c r="M30" s="464"/>
      <c r="N30" s="464"/>
      <c r="O30" s="464"/>
      <c r="P30" s="464"/>
      <c r="Q30" s="464"/>
      <c r="R30" s="464"/>
      <c r="S30" s="464"/>
      <c r="T30" s="470">
        <v>3348220</v>
      </c>
      <c r="U30" s="464">
        <v>2000000</v>
      </c>
      <c r="V30" s="464"/>
      <c r="W30" s="464"/>
      <c r="X30" s="465">
        <f t="shared" si="0"/>
        <v>24951221</v>
      </c>
      <c r="Y30" s="472"/>
    </row>
    <row r="31" spans="2:25" ht="24" customHeight="1">
      <c r="B31" s="436" t="s">
        <v>68</v>
      </c>
      <c r="C31" s="436" t="s">
        <v>68</v>
      </c>
      <c r="D31" s="904" t="s">
        <v>990</v>
      </c>
      <c r="E31" s="468" t="s">
        <v>371</v>
      </c>
      <c r="F31" s="473"/>
      <c r="G31" s="464"/>
      <c r="H31" s="464"/>
      <c r="I31" s="464">
        <v>360000</v>
      </c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5">
        <f t="shared" si="0"/>
        <v>360000</v>
      </c>
      <c r="Y31" s="472"/>
    </row>
    <row r="32" spans="2:26" ht="24" customHeight="1">
      <c r="B32" s="436" t="s">
        <v>69</v>
      </c>
      <c r="C32" s="436" t="s">
        <v>69</v>
      </c>
      <c r="D32" s="904"/>
      <c r="E32" s="468" t="s">
        <v>372</v>
      </c>
      <c r="F32" s="473"/>
      <c r="G32" s="464"/>
      <c r="H32" s="464">
        <v>492</v>
      </c>
      <c r="I32" s="464">
        <f>27644450+2513</f>
        <v>27646963</v>
      </c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5">
        <f t="shared" si="0"/>
        <v>27647455</v>
      </c>
      <c r="Z32" s="435" t="s">
        <v>676</v>
      </c>
    </row>
    <row r="33" spans="1:26" ht="24" customHeight="1">
      <c r="A33" s="435">
        <v>851286</v>
      </c>
      <c r="B33" s="436" t="s">
        <v>70</v>
      </c>
      <c r="C33" s="436" t="s">
        <v>70</v>
      </c>
      <c r="D33" s="904"/>
      <c r="E33" s="468" t="s">
        <v>373</v>
      </c>
      <c r="F33" s="473"/>
      <c r="G33" s="464"/>
      <c r="H33" s="464"/>
      <c r="I33" s="464">
        <v>120000</v>
      </c>
      <c r="J33" s="464"/>
      <c r="K33" s="464"/>
      <c r="L33" s="464">
        <f>2626200+2307500</f>
        <v>4933700</v>
      </c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5">
        <f t="shared" si="0"/>
        <v>5053700</v>
      </c>
      <c r="Z33" s="472">
        <f>SUM(X31:X34)</f>
        <v>71278392</v>
      </c>
    </row>
    <row r="34" spans="1:24" s="466" customFormat="1" ht="27" customHeight="1">
      <c r="A34" s="435">
        <v>851297</v>
      </c>
      <c r="B34" s="436" t="s">
        <v>71</v>
      </c>
      <c r="C34" s="436" t="s">
        <v>71</v>
      </c>
      <c r="D34" s="904"/>
      <c r="E34" s="468" t="s">
        <v>427</v>
      </c>
      <c r="F34" s="473"/>
      <c r="G34" s="464">
        <f>27396716+2500000</f>
        <v>29896716</v>
      </c>
      <c r="H34" s="464">
        <f>4793101+387500</f>
        <v>5180601</v>
      </c>
      <c r="I34" s="464">
        <v>2949420</v>
      </c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>
        <v>190500</v>
      </c>
      <c r="U34" s="464"/>
      <c r="V34" s="464"/>
      <c r="W34" s="464"/>
      <c r="X34" s="465">
        <f t="shared" si="0"/>
        <v>38217237</v>
      </c>
    </row>
    <row r="35" spans="1:24" s="466" customFormat="1" ht="24" customHeight="1">
      <c r="A35" s="435"/>
      <c r="B35" s="436"/>
      <c r="C35" s="436" t="s">
        <v>907</v>
      </c>
      <c r="D35" s="467" t="s">
        <v>450</v>
      </c>
      <c r="E35" s="468" t="s">
        <v>908</v>
      </c>
      <c r="F35" s="474"/>
      <c r="G35" s="464"/>
      <c r="H35" s="464"/>
      <c r="I35" s="464">
        <f>600000+1275000</f>
        <v>1875000</v>
      </c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>
        <f>400000+100000</f>
        <v>500000</v>
      </c>
      <c r="U35" s="464"/>
      <c r="V35" s="464"/>
      <c r="W35" s="464"/>
      <c r="X35" s="465">
        <f t="shared" si="0"/>
        <v>2375000</v>
      </c>
    </row>
    <row r="36" spans="1:24" s="466" customFormat="1" ht="24" customHeight="1">
      <c r="A36" s="435">
        <v>853322</v>
      </c>
      <c r="B36" s="436" t="s">
        <v>72</v>
      </c>
      <c r="C36" s="436" t="s">
        <v>80</v>
      </c>
      <c r="D36" s="467" t="s">
        <v>439</v>
      </c>
      <c r="E36" s="468" t="s">
        <v>81</v>
      </c>
      <c r="F36" s="474"/>
      <c r="G36" s="464"/>
      <c r="H36" s="464"/>
      <c r="I36" s="464">
        <v>1500000</v>
      </c>
      <c r="J36" s="464"/>
      <c r="K36" s="464"/>
      <c r="L36" s="464">
        <f>16949000</f>
        <v>16949000</v>
      </c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5">
        <f t="shared" si="0"/>
        <v>18449000</v>
      </c>
    </row>
    <row r="37" spans="1:24" s="466" customFormat="1" ht="24" customHeight="1">
      <c r="A37" s="435"/>
      <c r="B37" s="436"/>
      <c r="C37" s="436" t="s">
        <v>54</v>
      </c>
      <c r="D37" s="467" t="s">
        <v>451</v>
      </c>
      <c r="E37" s="468" t="s">
        <v>736</v>
      </c>
      <c r="F37" s="474"/>
      <c r="G37" s="464"/>
      <c r="H37" s="464"/>
      <c r="I37" s="464"/>
      <c r="J37" s="464"/>
      <c r="K37" s="464"/>
      <c r="L37" s="464"/>
      <c r="M37" s="464">
        <v>15000</v>
      </c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5">
        <f t="shared" si="0"/>
        <v>15000</v>
      </c>
    </row>
    <row r="38" spans="1:24" s="466" customFormat="1" ht="24">
      <c r="A38" s="435"/>
      <c r="B38" s="436" t="s">
        <v>73</v>
      </c>
      <c r="C38" s="436" t="s">
        <v>486</v>
      </c>
      <c r="D38" s="467" t="s">
        <v>406</v>
      </c>
      <c r="E38" s="475" t="s">
        <v>551</v>
      </c>
      <c r="F38" s="474"/>
      <c r="G38" s="464">
        <v>80000</v>
      </c>
      <c r="H38" s="464">
        <v>38963</v>
      </c>
      <c r="I38" s="464">
        <f>1830220+31383</f>
        <v>1861603</v>
      </c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>
        <v>730250</v>
      </c>
      <c r="U38" s="464"/>
      <c r="V38" s="464"/>
      <c r="W38" s="464"/>
      <c r="X38" s="465">
        <f t="shared" si="0"/>
        <v>2710816</v>
      </c>
    </row>
    <row r="39" spans="2:26" ht="20.25" customHeight="1">
      <c r="B39" s="436" t="s">
        <v>75</v>
      </c>
      <c r="C39" s="436" t="s">
        <v>753</v>
      </c>
      <c r="D39" s="477" t="s">
        <v>407</v>
      </c>
      <c r="E39" s="468" t="s">
        <v>83</v>
      </c>
      <c r="F39" s="473"/>
      <c r="G39" s="464"/>
      <c r="H39" s="464"/>
      <c r="I39" s="464">
        <v>73660</v>
      </c>
      <c r="J39" s="464"/>
      <c r="K39" s="476"/>
      <c r="L39" s="476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5">
        <f t="shared" si="0"/>
        <v>73660</v>
      </c>
      <c r="Z39" s="472">
        <f>SUM(X39:X39)</f>
        <v>73660</v>
      </c>
    </row>
    <row r="40" spans="3:26" ht="27" customHeight="1">
      <c r="C40" s="436" t="s">
        <v>754</v>
      </c>
      <c r="D40" s="477" t="s">
        <v>408</v>
      </c>
      <c r="E40" s="468" t="s">
        <v>737</v>
      </c>
      <c r="F40" s="473"/>
      <c r="G40" s="464">
        <v>5400000</v>
      </c>
      <c r="H40" s="464">
        <v>927500</v>
      </c>
      <c r="I40" s="464">
        <f>5902169+55552</f>
        <v>5957721</v>
      </c>
      <c r="J40" s="464"/>
      <c r="K40" s="476"/>
      <c r="L40" s="476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5">
        <f t="shared" si="0"/>
        <v>12285221</v>
      </c>
      <c r="Z40" s="472"/>
    </row>
    <row r="41" spans="3:26" ht="26.25" customHeight="1">
      <c r="C41" s="436" t="s">
        <v>67</v>
      </c>
      <c r="D41" s="477" t="s">
        <v>452</v>
      </c>
      <c r="E41" s="468" t="s">
        <v>738</v>
      </c>
      <c r="F41" s="473"/>
      <c r="G41" s="464"/>
      <c r="H41" s="464"/>
      <c r="I41" s="464"/>
      <c r="J41" s="464"/>
      <c r="K41" s="476"/>
      <c r="L41" s="476"/>
      <c r="M41" s="464"/>
      <c r="N41" s="464"/>
      <c r="O41" s="464"/>
      <c r="P41" s="464"/>
      <c r="Q41" s="464"/>
      <c r="R41" s="464"/>
      <c r="S41" s="464"/>
      <c r="T41" s="464"/>
      <c r="U41" s="464">
        <v>31599998</v>
      </c>
      <c r="V41" s="464"/>
      <c r="W41" s="464"/>
      <c r="X41" s="465">
        <f t="shared" si="0"/>
        <v>31599998</v>
      </c>
      <c r="Z41" s="472"/>
    </row>
    <row r="42" spans="3:26" ht="24.75" customHeight="1">
      <c r="C42" s="436" t="s">
        <v>755</v>
      </c>
      <c r="D42" s="477" t="s">
        <v>409</v>
      </c>
      <c r="E42" s="468" t="s">
        <v>739</v>
      </c>
      <c r="F42" s="473"/>
      <c r="G42" s="464">
        <f>8650000+5000000</f>
        <v>13650000</v>
      </c>
      <c r="H42" s="464">
        <f>1409909+875000</f>
        <v>2284909</v>
      </c>
      <c r="I42" s="464">
        <f>2242300+18063936-10911298</f>
        <v>9394938</v>
      </c>
      <c r="J42" s="464"/>
      <c r="K42" s="476"/>
      <c r="L42" s="476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5">
        <f t="shared" si="0"/>
        <v>25329847</v>
      </c>
      <c r="Z42" s="472"/>
    </row>
    <row r="43" spans="3:24" ht="24">
      <c r="C43" s="436" t="s">
        <v>578</v>
      </c>
      <c r="D43" s="477" t="s">
        <v>426</v>
      </c>
      <c r="E43" s="468" t="s">
        <v>579</v>
      </c>
      <c r="F43" s="473"/>
      <c r="G43" s="464">
        <v>2543600</v>
      </c>
      <c r="H43" s="464">
        <v>445130</v>
      </c>
      <c r="I43" s="464">
        <v>57876511</v>
      </c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>
        <v>74930</v>
      </c>
      <c r="U43" s="464"/>
      <c r="V43" s="464"/>
      <c r="W43" s="464"/>
      <c r="X43" s="465">
        <f t="shared" si="0"/>
        <v>60940171</v>
      </c>
    </row>
    <row r="44" spans="2:24" ht="24" customHeight="1">
      <c r="B44" s="436" t="s">
        <v>76</v>
      </c>
      <c r="C44" s="436" t="s">
        <v>575</v>
      </c>
      <c r="D44" s="477" t="s">
        <v>453</v>
      </c>
      <c r="E44" s="468" t="s">
        <v>576</v>
      </c>
      <c r="F44" s="473"/>
      <c r="G44" s="464"/>
      <c r="H44" s="464"/>
      <c r="I44" s="464">
        <f>11650000+951095</f>
        <v>12601095</v>
      </c>
      <c r="J44" s="464"/>
      <c r="K44" s="464"/>
      <c r="L44" s="464">
        <v>10000000</v>
      </c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5">
        <f t="shared" si="0"/>
        <v>22601095</v>
      </c>
    </row>
    <row r="45" spans="3:24" ht="24">
      <c r="C45" s="436" t="s">
        <v>580</v>
      </c>
      <c r="D45" s="477" t="s">
        <v>454</v>
      </c>
      <c r="E45" s="468" t="s">
        <v>581</v>
      </c>
      <c r="F45" s="473"/>
      <c r="G45" s="464"/>
      <c r="H45" s="464"/>
      <c r="I45" s="464">
        <v>1812600</v>
      </c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5">
        <f t="shared" si="0"/>
        <v>1812600</v>
      </c>
    </row>
    <row r="46" spans="3:26" ht="24" customHeight="1">
      <c r="C46" s="436" t="s">
        <v>76</v>
      </c>
      <c r="D46" s="477" t="s">
        <v>744</v>
      </c>
      <c r="E46" s="468" t="s">
        <v>697</v>
      </c>
      <c r="F46" s="473"/>
      <c r="G46" s="464">
        <v>24650000</v>
      </c>
      <c r="H46" s="464">
        <v>4900455</v>
      </c>
      <c r="I46" s="464">
        <f>17254444+13881090-519024</f>
        <v>30616510</v>
      </c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>
        <v>6000000</v>
      </c>
      <c r="U46" s="464"/>
      <c r="V46" s="464"/>
      <c r="W46" s="464"/>
      <c r="X46" s="465">
        <f t="shared" si="0"/>
        <v>66166965</v>
      </c>
      <c r="Z46" s="472">
        <f>SUM(X44:X47)</f>
        <v>114171429</v>
      </c>
    </row>
    <row r="47" spans="2:24" ht="24" customHeight="1">
      <c r="B47" s="436" t="s">
        <v>78</v>
      </c>
      <c r="C47" s="436" t="s">
        <v>74</v>
      </c>
      <c r="D47" s="477" t="s">
        <v>745</v>
      </c>
      <c r="E47" s="468" t="s">
        <v>435</v>
      </c>
      <c r="F47" s="473"/>
      <c r="G47" s="464">
        <f>1344830</f>
        <v>1344830</v>
      </c>
      <c r="H47" s="464">
        <f>208449</f>
        <v>208449</v>
      </c>
      <c r="I47" s="464">
        <f>2600000+17596440+265050</f>
        <v>20461490</v>
      </c>
      <c r="J47" s="464"/>
      <c r="K47" s="464"/>
      <c r="L47" s="464">
        <f>2032000-1016000</f>
        <v>1016000</v>
      </c>
      <c r="M47" s="464"/>
      <c r="N47" s="464"/>
      <c r="O47" s="464"/>
      <c r="P47" s="464"/>
      <c r="Q47" s="464"/>
      <c r="R47" s="464"/>
      <c r="S47" s="464"/>
      <c r="T47" s="464">
        <v>560000</v>
      </c>
      <c r="U47" s="464"/>
      <c r="V47" s="464"/>
      <c r="W47" s="464"/>
      <c r="X47" s="465">
        <f t="shared" si="0"/>
        <v>23590769</v>
      </c>
    </row>
    <row r="48" spans="3:24" ht="24" customHeight="1">
      <c r="C48" s="436" t="s">
        <v>740</v>
      </c>
      <c r="D48" s="477" t="s">
        <v>746</v>
      </c>
      <c r="E48" s="468" t="s">
        <v>741</v>
      </c>
      <c r="F48" s="473"/>
      <c r="G48" s="464">
        <f>3459090</f>
        <v>3459090</v>
      </c>
      <c r="H48" s="464">
        <f>536159</f>
        <v>536159</v>
      </c>
      <c r="I48" s="464">
        <v>175000</v>
      </c>
      <c r="J48" s="464"/>
      <c r="K48" s="464"/>
      <c r="L48" s="464">
        <f>2286000-1143000</f>
        <v>1143000</v>
      </c>
      <c r="M48" s="464"/>
      <c r="N48" s="464"/>
      <c r="O48" s="464"/>
      <c r="P48" s="464"/>
      <c r="Q48" s="464"/>
      <c r="R48" s="464"/>
      <c r="S48" s="464"/>
      <c r="T48" s="464">
        <v>250000</v>
      </c>
      <c r="U48" s="464"/>
      <c r="V48" s="478"/>
      <c r="W48" s="464"/>
      <c r="X48" s="465">
        <f t="shared" si="0"/>
        <v>5563249</v>
      </c>
    </row>
    <row r="49" spans="2:24" ht="24">
      <c r="B49" s="436" t="s">
        <v>80</v>
      </c>
      <c r="C49" s="436" t="s">
        <v>77</v>
      </c>
      <c r="D49" s="477" t="s">
        <v>747</v>
      </c>
      <c r="E49" s="468" t="s">
        <v>577</v>
      </c>
      <c r="F49" s="473"/>
      <c r="G49" s="464"/>
      <c r="H49" s="464"/>
      <c r="I49" s="464"/>
      <c r="J49" s="464">
        <v>3804900</v>
      </c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78"/>
      <c r="W49" s="464"/>
      <c r="X49" s="465">
        <f t="shared" si="0"/>
        <v>3804900</v>
      </c>
    </row>
    <row r="50" spans="3:24" ht="24">
      <c r="C50" s="436" t="s">
        <v>742</v>
      </c>
      <c r="D50" s="477" t="s">
        <v>748</v>
      </c>
      <c r="E50" s="468" t="s">
        <v>743</v>
      </c>
      <c r="F50" s="479"/>
      <c r="G50" s="480">
        <f>18342800+1350000+1125000+16410600-416917</f>
        <v>36811483</v>
      </c>
      <c r="H50" s="478">
        <f>3773040+236250+196875+2543643-64622</f>
        <v>6685186</v>
      </c>
      <c r="I50" s="478">
        <f>22523810+60657486-13077629-18954243</f>
        <v>51149424</v>
      </c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>
        <v>2460790</v>
      </c>
      <c r="U50" s="478">
        <v>523290</v>
      </c>
      <c r="V50" s="480"/>
      <c r="W50" s="478"/>
      <c r="X50" s="465">
        <f t="shared" si="0"/>
        <v>97630173</v>
      </c>
    </row>
    <row r="51" spans="4:24" ht="24">
      <c r="D51" s="477" t="s">
        <v>749</v>
      </c>
      <c r="E51" s="468" t="s">
        <v>370</v>
      </c>
      <c r="F51" s="479"/>
      <c r="G51" s="480"/>
      <c r="H51" s="478"/>
      <c r="I51" s="478"/>
      <c r="J51" s="478"/>
      <c r="K51" s="478"/>
      <c r="L51" s="478"/>
      <c r="M51" s="478"/>
      <c r="N51" s="478">
        <f>1000000-1000000</f>
        <v>0</v>
      </c>
      <c r="O51" s="478">
        <f>350000+1841851</f>
        <v>2191851</v>
      </c>
      <c r="P51" s="478">
        <v>1000000</v>
      </c>
      <c r="Q51" s="478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1" s="478">
        <v>15055017</v>
      </c>
      <c r="S51" s="478">
        <v>200000</v>
      </c>
      <c r="T51" s="478"/>
      <c r="U51" s="478"/>
      <c r="V51" s="480"/>
      <c r="W51" s="478"/>
      <c r="X51" s="465">
        <f t="shared" si="0"/>
        <v>18446868</v>
      </c>
    </row>
    <row r="52" spans="3:24" ht="24">
      <c r="C52" s="436" t="s">
        <v>698</v>
      </c>
      <c r="D52" s="477" t="s">
        <v>909</v>
      </c>
      <c r="E52" s="482" t="s">
        <v>550</v>
      </c>
      <c r="F52" s="479"/>
      <c r="G52" s="480"/>
      <c r="H52" s="480"/>
      <c r="I52" s="480">
        <v>8285000</v>
      </c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65">
        <f t="shared" si="0"/>
        <v>8285000</v>
      </c>
    </row>
    <row r="53" spans="1:27" s="483" customFormat="1" ht="24" customHeight="1" thickBot="1">
      <c r="A53" s="483">
        <v>999997</v>
      </c>
      <c r="B53" s="481"/>
      <c r="D53" s="484" t="s">
        <v>991</v>
      </c>
      <c r="E53" s="485" t="s">
        <v>357</v>
      </c>
      <c r="F53" s="486">
        <f>SUM(F8:F49)</f>
        <v>0</v>
      </c>
      <c r="G53" s="487">
        <f aca="true" t="shared" si="1" ref="G53:X53">SUM(G8:G52)</f>
        <v>210156740</v>
      </c>
      <c r="H53" s="487">
        <f t="shared" si="1"/>
        <v>34904138</v>
      </c>
      <c r="I53" s="487">
        <f t="shared" si="1"/>
        <v>457680625</v>
      </c>
      <c r="J53" s="487">
        <f t="shared" si="1"/>
        <v>3804900</v>
      </c>
      <c r="K53" s="487">
        <f t="shared" si="1"/>
        <v>36263474</v>
      </c>
      <c r="L53" s="487">
        <f t="shared" si="1"/>
        <v>141092085</v>
      </c>
      <c r="M53" s="487">
        <f t="shared" si="1"/>
        <v>130000</v>
      </c>
      <c r="N53" s="487">
        <f t="shared" si="1"/>
        <v>0</v>
      </c>
      <c r="O53" s="487">
        <f t="shared" si="1"/>
        <v>2191851</v>
      </c>
      <c r="P53" s="487">
        <f t="shared" si="1"/>
        <v>1000000</v>
      </c>
      <c r="Q53" s="487">
        <f t="shared" si="1"/>
        <v>0</v>
      </c>
      <c r="R53" s="487">
        <f t="shared" si="1"/>
        <v>15055017</v>
      </c>
      <c r="S53" s="487">
        <f t="shared" si="1"/>
        <v>200000</v>
      </c>
      <c r="T53" s="487">
        <f t="shared" si="1"/>
        <v>771168649</v>
      </c>
      <c r="U53" s="487">
        <f t="shared" si="1"/>
        <v>161509402</v>
      </c>
      <c r="V53" s="487">
        <f t="shared" si="1"/>
        <v>5449520</v>
      </c>
      <c r="W53" s="487">
        <f t="shared" si="1"/>
        <v>19299537</v>
      </c>
      <c r="X53" s="488">
        <f t="shared" si="1"/>
        <v>1859905938</v>
      </c>
      <c r="Y53" s="489">
        <f>SUM(G53:W53)</f>
        <v>1859905938</v>
      </c>
      <c r="Z53" s="490"/>
      <c r="AA53" s="490"/>
    </row>
    <row r="54" ht="12.75">
      <c r="E54" s="491"/>
    </row>
    <row r="58" ht="12">
      <c r="F58" s="493"/>
    </row>
  </sheetData>
  <sheetProtection/>
  <mergeCells count="10">
    <mergeCell ref="D31:D34"/>
    <mergeCell ref="C1:C2"/>
    <mergeCell ref="S1:X1"/>
    <mergeCell ref="E2:X2"/>
    <mergeCell ref="D4:D7"/>
    <mergeCell ref="E4:E6"/>
    <mergeCell ref="F4:F6"/>
    <mergeCell ref="K5:S5"/>
    <mergeCell ref="G4:W4"/>
    <mergeCell ref="X4:X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38"/>
  <sheetViews>
    <sheetView zoomScalePageLayoutView="0" workbookViewId="0" topLeftCell="C1">
      <selection activeCell="K3" sqref="K3"/>
    </sheetView>
  </sheetViews>
  <sheetFormatPr defaultColWidth="8.875" defaultRowHeight="12.75"/>
  <cols>
    <col min="1" max="1" width="1.37890625" style="435" hidden="1" customWidth="1"/>
    <col min="2" max="2" width="8.00390625" style="436" hidden="1" customWidth="1"/>
    <col min="3" max="3" width="8.00390625" style="436" customWidth="1"/>
    <col min="4" max="4" width="7.625" style="437" customWidth="1"/>
    <col min="5" max="5" width="38.00390625" style="435" customWidth="1"/>
    <col min="6" max="10" width="13.125" style="435" customWidth="1"/>
    <col min="11" max="11" width="16.75390625" style="492" customWidth="1"/>
    <col min="12" max="12" width="14.375" style="435" customWidth="1"/>
    <col min="13" max="13" width="9.875" style="435" bestFit="1" customWidth="1"/>
    <col min="14" max="16384" width="8.875" style="435" customWidth="1"/>
  </cols>
  <sheetData>
    <row r="1" spans="3:11" ht="15">
      <c r="C1" s="905"/>
      <c r="I1" s="907"/>
      <c r="J1" s="907"/>
      <c r="K1" s="907"/>
    </row>
    <row r="2" spans="3:14" ht="15">
      <c r="C2" s="905"/>
      <c r="H2" s="509"/>
      <c r="I2" s="509"/>
      <c r="J2" s="510"/>
      <c r="K2" s="509" t="s">
        <v>1022</v>
      </c>
      <c r="L2" s="510"/>
      <c r="M2" s="510"/>
      <c r="N2" s="510"/>
    </row>
    <row r="3" spans="3:14" ht="15">
      <c r="C3" s="905"/>
      <c r="H3" s="509"/>
      <c r="I3" s="509"/>
      <c r="J3" s="510"/>
      <c r="K3" s="509"/>
      <c r="L3" s="510"/>
      <c r="M3" s="510"/>
      <c r="N3" s="510"/>
    </row>
    <row r="4" spans="1:11" s="569" customFormat="1" ht="39" customHeight="1">
      <c r="A4" s="439"/>
      <c r="B4" s="440"/>
      <c r="C4" s="905"/>
      <c r="D4" s="927" t="s">
        <v>789</v>
      </c>
      <c r="E4" s="927"/>
      <c r="F4" s="927"/>
      <c r="G4" s="927"/>
      <c r="H4" s="927"/>
      <c r="I4" s="927"/>
      <c r="J4" s="927"/>
      <c r="K4" s="927"/>
    </row>
    <row r="5" ht="12">
      <c r="K5" s="570"/>
    </row>
    <row r="6" ht="12">
      <c r="K6" s="570"/>
    </row>
    <row r="7" ht="12.75" thickBot="1">
      <c r="K7" s="441"/>
    </row>
    <row r="8" spans="2:11" s="442" customFormat="1" ht="12.75" customHeight="1">
      <c r="B8" s="443"/>
      <c r="C8" s="443"/>
      <c r="D8" s="909" t="s">
        <v>423</v>
      </c>
      <c r="E8" s="912" t="s">
        <v>353</v>
      </c>
      <c r="F8" s="921" t="s">
        <v>360</v>
      </c>
      <c r="G8" s="922"/>
      <c r="H8" s="922"/>
      <c r="I8" s="922"/>
      <c r="J8" s="922"/>
      <c r="K8" s="924" t="s">
        <v>361</v>
      </c>
    </row>
    <row r="9" spans="2:11" s="444" customFormat="1" ht="12" customHeight="1">
      <c r="B9" s="445"/>
      <c r="C9" s="445"/>
      <c r="D9" s="910"/>
      <c r="E9" s="913"/>
      <c r="F9" s="446" t="s">
        <v>1</v>
      </c>
      <c r="G9" s="446" t="s">
        <v>3</v>
      </c>
      <c r="H9" s="446" t="s">
        <v>5</v>
      </c>
      <c r="I9" s="448" t="s">
        <v>111</v>
      </c>
      <c r="J9" s="448" t="s">
        <v>113</v>
      </c>
      <c r="K9" s="925"/>
    </row>
    <row r="10" spans="2:11" s="444" customFormat="1" ht="63.75" customHeight="1">
      <c r="B10" s="445"/>
      <c r="C10" s="445"/>
      <c r="D10" s="910"/>
      <c r="E10" s="914"/>
      <c r="F10" s="449" t="s">
        <v>336</v>
      </c>
      <c r="G10" s="449" t="s">
        <v>574</v>
      </c>
      <c r="H10" s="449" t="s">
        <v>355</v>
      </c>
      <c r="I10" s="447" t="s">
        <v>334</v>
      </c>
      <c r="J10" s="447" t="s">
        <v>363</v>
      </c>
      <c r="K10" s="926"/>
    </row>
    <row r="11" spans="2:11" s="518" customFormat="1" ht="12.75" thickBot="1">
      <c r="B11" s="519"/>
      <c r="C11" s="519"/>
      <c r="D11" s="910"/>
      <c r="E11" s="520" t="s">
        <v>417</v>
      </c>
      <c r="F11" s="521" t="s">
        <v>418</v>
      </c>
      <c r="G11" s="521" t="s">
        <v>419</v>
      </c>
      <c r="H11" s="522" t="s">
        <v>420</v>
      </c>
      <c r="I11" s="522" t="s">
        <v>421</v>
      </c>
      <c r="J11" s="522" t="s">
        <v>422</v>
      </c>
      <c r="K11" s="523" t="s">
        <v>424</v>
      </c>
    </row>
    <row r="12" spans="1:11" s="466" customFormat="1" ht="36" customHeight="1">
      <c r="A12" s="435"/>
      <c r="B12" s="436"/>
      <c r="C12" s="436"/>
      <c r="D12" s="934" t="s">
        <v>362</v>
      </c>
      <c r="E12" s="935"/>
      <c r="F12" s="935"/>
      <c r="G12" s="935"/>
      <c r="H12" s="935"/>
      <c r="I12" s="935"/>
      <c r="J12" s="935"/>
      <c r="K12" s="936"/>
    </row>
    <row r="13" spans="2:11" s="527" customFormat="1" ht="34.5" customHeight="1">
      <c r="B13" s="528" t="s">
        <v>52</v>
      </c>
      <c r="C13" s="528"/>
      <c r="D13" s="529" t="s">
        <v>384</v>
      </c>
      <c r="E13" s="530" t="s">
        <v>714</v>
      </c>
      <c r="F13" s="532">
        <f>91562414+103400+1263600-340425+513114+334626</f>
        <v>93436729</v>
      </c>
      <c r="G13" s="532">
        <f>16696818+18095+221130-59575-513114</f>
        <v>16363354</v>
      </c>
      <c r="H13" s="532">
        <f>26913440+2000</f>
        <v>26915440</v>
      </c>
      <c r="I13" s="532">
        <f>1934590-1204167</f>
        <v>730423</v>
      </c>
      <c r="J13" s="532">
        <f>1204167</f>
        <v>1204167</v>
      </c>
      <c r="K13" s="533">
        <f>SUM(F13:J13)</f>
        <v>138650113</v>
      </c>
    </row>
    <row r="14" spans="2:11" s="527" customFormat="1" ht="71.25">
      <c r="B14" s="528" t="s">
        <v>53</v>
      </c>
      <c r="C14" s="528"/>
      <c r="D14" s="529" t="s">
        <v>385</v>
      </c>
      <c r="E14" s="535" t="s">
        <v>790</v>
      </c>
      <c r="F14" s="532">
        <v>4740000</v>
      </c>
      <c r="G14" s="532">
        <v>829500</v>
      </c>
      <c r="H14" s="532">
        <v>0</v>
      </c>
      <c r="I14" s="532">
        <v>0</v>
      </c>
      <c r="J14" s="532">
        <v>0</v>
      </c>
      <c r="K14" s="533">
        <f>SUM(F14:J14)</f>
        <v>5569500</v>
      </c>
    </row>
    <row r="15" spans="2:11" s="527" customFormat="1" ht="72" thickBot="1">
      <c r="B15" s="528"/>
      <c r="C15" s="528"/>
      <c r="D15" s="534" t="s">
        <v>386</v>
      </c>
      <c r="E15" s="535" t="s">
        <v>791</v>
      </c>
      <c r="F15" s="536">
        <f>2452125+416917</f>
        <v>2869042</v>
      </c>
      <c r="G15" s="536">
        <f>429122+64622</f>
        <v>493744</v>
      </c>
      <c r="H15" s="536">
        <v>0</v>
      </c>
      <c r="I15" s="536">
        <v>0</v>
      </c>
      <c r="J15" s="536">
        <v>0</v>
      </c>
      <c r="K15" s="537">
        <f>SUM(F15:J15)</f>
        <v>3362786</v>
      </c>
    </row>
    <row r="16" spans="1:14" s="538" customFormat="1" ht="24" customHeight="1" thickBot="1">
      <c r="A16" s="538">
        <v>999997</v>
      </c>
      <c r="B16" s="539"/>
      <c r="D16" s="540" t="s">
        <v>387</v>
      </c>
      <c r="E16" s="541" t="s">
        <v>357</v>
      </c>
      <c r="F16" s="542">
        <f aca="true" t="shared" si="0" ref="F16:K16">SUM(F10:F15)</f>
        <v>101045771</v>
      </c>
      <c r="G16" s="542">
        <f t="shared" si="0"/>
        <v>17686598</v>
      </c>
      <c r="H16" s="542">
        <f t="shared" si="0"/>
        <v>26915440</v>
      </c>
      <c r="I16" s="542">
        <f t="shared" si="0"/>
        <v>730423</v>
      </c>
      <c r="J16" s="542">
        <f t="shared" si="0"/>
        <v>1204167</v>
      </c>
      <c r="K16" s="543">
        <f t="shared" si="0"/>
        <v>147582399</v>
      </c>
      <c r="L16" s="544">
        <f>SUM(F16:J16)</f>
        <v>147582399</v>
      </c>
      <c r="M16" s="545"/>
      <c r="N16" s="545"/>
    </row>
    <row r="17" spans="1:11" s="526" customFormat="1" ht="36.75" customHeight="1">
      <c r="A17" s="524"/>
      <c r="B17" s="525"/>
      <c r="C17" s="525"/>
      <c r="D17" s="928" t="s">
        <v>678</v>
      </c>
      <c r="E17" s="929"/>
      <c r="F17" s="929"/>
      <c r="G17" s="929"/>
      <c r="H17" s="929"/>
      <c r="I17" s="929"/>
      <c r="J17" s="929"/>
      <c r="K17" s="930"/>
    </row>
    <row r="18" spans="2:11" s="527" customFormat="1" ht="23.25" customHeight="1">
      <c r="B18" s="528" t="s">
        <v>52</v>
      </c>
      <c r="C18" s="528"/>
      <c r="D18" s="529" t="s">
        <v>384</v>
      </c>
      <c r="E18" s="530" t="s">
        <v>828</v>
      </c>
      <c r="F18" s="531">
        <v>0</v>
      </c>
      <c r="G18" s="531">
        <v>0</v>
      </c>
      <c r="H18" s="531">
        <v>31853858</v>
      </c>
      <c r="I18" s="531">
        <v>0</v>
      </c>
      <c r="J18" s="532">
        <v>0</v>
      </c>
      <c r="K18" s="533">
        <f aca="true" t="shared" si="1" ref="K18:K29">SUM(F18:J18)</f>
        <v>31853858</v>
      </c>
    </row>
    <row r="19" spans="2:11" s="527" customFormat="1" ht="23.25" customHeight="1">
      <c r="B19" s="528" t="s">
        <v>53</v>
      </c>
      <c r="C19" s="528"/>
      <c r="D19" s="529" t="s">
        <v>385</v>
      </c>
      <c r="E19" s="530" t="s">
        <v>728</v>
      </c>
      <c r="F19" s="531">
        <f>106347224+3215520-330000-1461600+216700</f>
        <v>107987844</v>
      </c>
      <c r="G19" s="531">
        <f>22358469+562716-57750-255780+37923</f>
        <v>22645578</v>
      </c>
      <c r="H19" s="531">
        <v>0</v>
      </c>
      <c r="I19" s="531">
        <v>0</v>
      </c>
      <c r="J19" s="532">
        <v>0</v>
      </c>
      <c r="K19" s="533">
        <f t="shared" si="1"/>
        <v>130633422</v>
      </c>
    </row>
    <row r="20" spans="2:11" s="527" customFormat="1" ht="23.25" customHeight="1">
      <c r="B20" s="528"/>
      <c r="C20" s="528"/>
      <c r="D20" s="529" t="s">
        <v>386</v>
      </c>
      <c r="E20" s="530" t="s">
        <v>792</v>
      </c>
      <c r="F20" s="531">
        <v>0</v>
      </c>
      <c r="G20" s="531">
        <v>0</v>
      </c>
      <c r="H20" s="531">
        <f>10508378+550024</f>
        <v>11058402</v>
      </c>
      <c r="I20" s="531">
        <f>309245+1130000</f>
        <v>1439245</v>
      </c>
      <c r="J20" s="532">
        <f>508000+507849</f>
        <v>1015849</v>
      </c>
      <c r="K20" s="533">
        <f t="shared" si="1"/>
        <v>13513496</v>
      </c>
    </row>
    <row r="21" spans="2:11" s="527" customFormat="1" ht="23.25" customHeight="1">
      <c r="B21" s="528"/>
      <c r="C21" s="528"/>
      <c r="D21" s="529" t="s">
        <v>387</v>
      </c>
      <c r="E21" s="530" t="s">
        <v>491</v>
      </c>
      <c r="F21" s="531">
        <v>5287200</v>
      </c>
      <c r="G21" s="531">
        <v>925260</v>
      </c>
      <c r="H21" s="531">
        <f>1916238-781083-47925+348851</f>
        <v>1436081</v>
      </c>
      <c r="I21" s="531">
        <f>63500+47925</f>
        <v>111425</v>
      </c>
      <c r="J21" s="532">
        <v>0</v>
      </c>
      <c r="K21" s="533">
        <f t="shared" si="1"/>
        <v>7759966</v>
      </c>
    </row>
    <row r="22" spans="2:11" s="527" customFormat="1" ht="23.25" customHeight="1">
      <c r="B22" s="528"/>
      <c r="C22" s="528"/>
      <c r="D22" s="529" t="s">
        <v>388</v>
      </c>
      <c r="E22" s="530" t="s">
        <v>530</v>
      </c>
      <c r="F22" s="531">
        <f>24097710+1249875-1245375+1125000</f>
        <v>25227210</v>
      </c>
      <c r="G22" s="531">
        <f>4222056+218728-217940+196875</f>
        <v>4419719</v>
      </c>
      <c r="H22" s="531">
        <f>4796826+91000</f>
        <v>4887826</v>
      </c>
      <c r="I22" s="531">
        <v>304800</v>
      </c>
      <c r="J22" s="532">
        <v>0</v>
      </c>
      <c r="K22" s="533">
        <f t="shared" si="1"/>
        <v>34839555</v>
      </c>
    </row>
    <row r="23" spans="1:11" s="527" customFormat="1" ht="23.25" customHeight="1">
      <c r="A23" s="527">
        <v>20215</v>
      </c>
      <c r="B23" s="528" t="s">
        <v>55</v>
      </c>
      <c r="C23" s="528"/>
      <c r="D23" s="529" t="s">
        <v>389</v>
      </c>
      <c r="E23" s="530" t="s">
        <v>643</v>
      </c>
      <c r="F23" s="531">
        <f>11177496+981000-976500+1035000</f>
        <v>12216996</v>
      </c>
      <c r="G23" s="531">
        <f>1927326+171675-170887+181125</f>
        <v>2109239</v>
      </c>
      <c r="H23" s="531">
        <f>2955612+91000</f>
        <v>3046612</v>
      </c>
      <c r="I23" s="531">
        <v>401320</v>
      </c>
      <c r="J23" s="532">
        <v>0</v>
      </c>
      <c r="K23" s="533">
        <f t="shared" si="1"/>
        <v>17774167</v>
      </c>
    </row>
    <row r="24" spans="2:11" s="527" customFormat="1" ht="23.25" customHeight="1">
      <c r="B24" s="528"/>
      <c r="C24" s="528"/>
      <c r="D24" s="529" t="s">
        <v>390</v>
      </c>
      <c r="E24" s="530" t="s">
        <v>644</v>
      </c>
      <c r="F24" s="531">
        <f>10053189+639450</f>
        <v>10692639</v>
      </c>
      <c r="G24" s="531">
        <f>1759308+111904</f>
        <v>1871212</v>
      </c>
      <c r="H24" s="531">
        <v>1190218</v>
      </c>
      <c r="I24" s="531">
        <v>95250</v>
      </c>
      <c r="J24" s="532">
        <v>0</v>
      </c>
      <c r="K24" s="533">
        <f t="shared" si="1"/>
        <v>13849319</v>
      </c>
    </row>
    <row r="25" spans="2:11" s="527" customFormat="1" ht="24.75" customHeight="1">
      <c r="B25" s="528"/>
      <c r="C25" s="528"/>
      <c r="D25" s="529" t="s">
        <v>391</v>
      </c>
      <c r="E25" s="530" t="s">
        <v>827</v>
      </c>
      <c r="F25" s="531">
        <v>0</v>
      </c>
      <c r="G25" s="531">
        <v>0</v>
      </c>
      <c r="H25" s="531">
        <v>2677147</v>
      </c>
      <c r="I25" s="531">
        <v>0</v>
      </c>
      <c r="J25" s="532">
        <v>0</v>
      </c>
      <c r="K25" s="533">
        <f t="shared" si="1"/>
        <v>2677147</v>
      </c>
    </row>
    <row r="26" spans="2:11" s="527" customFormat="1" ht="24.75" customHeight="1">
      <c r="B26" s="528"/>
      <c r="C26" s="528"/>
      <c r="D26" s="529" t="s">
        <v>392</v>
      </c>
      <c r="E26" s="530" t="s">
        <v>993</v>
      </c>
      <c r="F26" s="531">
        <v>1690500</v>
      </c>
      <c r="G26" s="531">
        <v>262078</v>
      </c>
      <c r="H26" s="531">
        <v>0</v>
      </c>
      <c r="I26" s="531">
        <v>0</v>
      </c>
      <c r="J26" s="532">
        <v>0</v>
      </c>
      <c r="K26" s="533">
        <f t="shared" si="1"/>
        <v>1952578</v>
      </c>
    </row>
    <row r="27" spans="2:11" s="527" customFormat="1" ht="71.25">
      <c r="B27" s="528"/>
      <c r="C27" s="528"/>
      <c r="D27" s="529" t="s">
        <v>393</v>
      </c>
      <c r="E27" s="530" t="s">
        <v>730</v>
      </c>
      <c r="F27" s="531">
        <f>3600000</f>
        <v>3600000</v>
      </c>
      <c r="G27" s="531">
        <v>630000</v>
      </c>
      <c r="H27" s="531">
        <v>0</v>
      </c>
      <c r="I27" s="531">
        <v>0</v>
      </c>
      <c r="J27" s="532">
        <v>0</v>
      </c>
      <c r="K27" s="533">
        <f t="shared" si="1"/>
        <v>4230000</v>
      </c>
    </row>
    <row r="28" spans="2:11" s="527" customFormat="1" ht="57">
      <c r="B28" s="528"/>
      <c r="C28" s="528"/>
      <c r="D28" s="529" t="s">
        <v>394</v>
      </c>
      <c r="E28" s="530" t="s">
        <v>729</v>
      </c>
      <c r="F28" s="531">
        <f>6562063+2756937</f>
        <v>9319000</v>
      </c>
      <c r="G28" s="531">
        <f>1148361+482464</f>
        <v>1630825</v>
      </c>
      <c r="H28" s="531">
        <f>50000+2114762+10500000</f>
        <v>12664762</v>
      </c>
      <c r="I28" s="531">
        <v>0</v>
      </c>
      <c r="J28" s="532">
        <v>0</v>
      </c>
      <c r="K28" s="533">
        <f t="shared" si="1"/>
        <v>23614587</v>
      </c>
    </row>
    <row r="29" spans="2:12" s="527" customFormat="1" ht="29.25" thickBot="1">
      <c r="B29" s="528"/>
      <c r="C29" s="528"/>
      <c r="D29" s="843" t="s">
        <v>395</v>
      </c>
      <c r="E29" s="530" t="s">
        <v>992</v>
      </c>
      <c r="F29" s="844">
        <v>0</v>
      </c>
      <c r="G29" s="844">
        <v>0</v>
      </c>
      <c r="H29" s="844">
        <v>31954</v>
      </c>
      <c r="I29" s="844">
        <v>0</v>
      </c>
      <c r="J29" s="844">
        <v>0</v>
      </c>
      <c r="K29" s="533">
        <f t="shared" si="1"/>
        <v>31954</v>
      </c>
      <c r="L29" s="544"/>
    </row>
    <row r="30" spans="1:14" s="538" customFormat="1" ht="24" customHeight="1" thickBot="1">
      <c r="A30" s="538">
        <v>999997</v>
      </c>
      <c r="B30" s="539"/>
      <c r="D30" s="540" t="s">
        <v>396</v>
      </c>
      <c r="E30" s="541" t="s">
        <v>357</v>
      </c>
      <c r="F30" s="542">
        <f aca="true" t="shared" si="2" ref="F30:K30">SUM(F17:F29)</f>
        <v>176021389</v>
      </c>
      <c r="G30" s="542">
        <f t="shared" si="2"/>
        <v>34493911</v>
      </c>
      <c r="H30" s="542">
        <f t="shared" si="2"/>
        <v>68846860</v>
      </c>
      <c r="I30" s="542">
        <f t="shared" si="2"/>
        <v>2352040</v>
      </c>
      <c r="J30" s="542">
        <f t="shared" si="2"/>
        <v>1015849</v>
      </c>
      <c r="K30" s="542">
        <f t="shared" si="2"/>
        <v>282730049</v>
      </c>
      <c r="L30" s="544">
        <f>SUM(F30:J30)</f>
        <v>282730049</v>
      </c>
      <c r="M30" s="545"/>
      <c r="N30" s="545"/>
    </row>
    <row r="31" spans="1:11" s="466" customFormat="1" ht="39" customHeight="1">
      <c r="A31" s="435"/>
      <c r="B31" s="436"/>
      <c r="C31" s="436"/>
      <c r="D31" s="931" t="s">
        <v>715</v>
      </c>
      <c r="E31" s="932"/>
      <c r="F31" s="932"/>
      <c r="G31" s="932"/>
      <c r="H31" s="932"/>
      <c r="I31" s="932"/>
      <c r="J31" s="932"/>
      <c r="K31" s="933"/>
    </row>
    <row r="32" spans="2:11" s="527" customFormat="1" ht="31.5" customHeight="1">
      <c r="B32" s="528" t="s">
        <v>52</v>
      </c>
      <c r="C32" s="528"/>
      <c r="D32" s="529" t="s">
        <v>384</v>
      </c>
      <c r="E32" s="530" t="s">
        <v>490</v>
      </c>
      <c r="F32" s="532">
        <v>0</v>
      </c>
      <c r="G32" s="532">
        <v>0</v>
      </c>
      <c r="H32" s="532">
        <f>1082115-800000</f>
        <v>282115</v>
      </c>
      <c r="I32" s="532">
        <f>800000</f>
        <v>800000</v>
      </c>
      <c r="J32" s="532">
        <v>0</v>
      </c>
      <c r="K32" s="533">
        <f aca="true" t="shared" si="3" ref="K32:K37">SUM(F32:J32)</f>
        <v>1082115</v>
      </c>
    </row>
    <row r="33" spans="2:11" s="527" customFormat="1" ht="23.25" customHeight="1">
      <c r="B33" s="528" t="s">
        <v>53</v>
      </c>
      <c r="C33" s="528"/>
      <c r="D33" s="529" t="s">
        <v>385</v>
      </c>
      <c r="E33" s="530" t="s">
        <v>374</v>
      </c>
      <c r="F33" s="532">
        <v>2802000</v>
      </c>
      <c r="G33" s="532">
        <v>490350</v>
      </c>
      <c r="H33" s="532">
        <v>290700</v>
      </c>
      <c r="I33" s="532">
        <v>0</v>
      </c>
      <c r="J33" s="532">
        <v>0</v>
      </c>
      <c r="K33" s="533">
        <f t="shared" si="3"/>
        <v>3583050</v>
      </c>
    </row>
    <row r="34" spans="2:11" s="527" customFormat="1" ht="33" customHeight="1">
      <c r="B34" s="528"/>
      <c r="C34" s="528"/>
      <c r="D34" s="529" t="s">
        <v>386</v>
      </c>
      <c r="E34" s="530" t="s">
        <v>701</v>
      </c>
      <c r="F34" s="532">
        <f>11931088+300000</f>
        <v>12231088</v>
      </c>
      <c r="G34" s="532">
        <f>2122958+367133</f>
        <v>2490091</v>
      </c>
      <c r="H34" s="532">
        <f>14446890-317500+144779+2954117</f>
        <v>17228286</v>
      </c>
      <c r="I34" s="532">
        <f>304800-177800+700000</f>
        <v>827000</v>
      </c>
      <c r="J34" s="532">
        <f>578000-578000</f>
        <v>0</v>
      </c>
      <c r="K34" s="533">
        <f t="shared" si="3"/>
        <v>32776465</v>
      </c>
    </row>
    <row r="35" spans="2:11" s="527" customFormat="1" ht="33" customHeight="1">
      <c r="B35" s="528"/>
      <c r="C35" s="528"/>
      <c r="D35" s="534" t="s">
        <v>387</v>
      </c>
      <c r="E35" s="535" t="s">
        <v>793</v>
      </c>
      <c r="F35" s="536">
        <f>1980314-775591</f>
        <v>1204723</v>
      </c>
      <c r="G35" s="536">
        <f>964502-377745</f>
        <v>586757</v>
      </c>
      <c r="H35" s="536">
        <f>7003586-2575544</f>
        <v>4428042</v>
      </c>
      <c r="I35" s="536">
        <v>0</v>
      </c>
      <c r="J35" s="536">
        <v>0</v>
      </c>
      <c r="K35" s="537">
        <f t="shared" si="3"/>
        <v>6219522</v>
      </c>
    </row>
    <row r="36" spans="2:11" s="527" customFormat="1" ht="24.75" customHeight="1">
      <c r="B36" s="528"/>
      <c r="C36" s="528"/>
      <c r="D36" s="529" t="s">
        <v>388</v>
      </c>
      <c r="E36" s="530" t="s">
        <v>993</v>
      </c>
      <c r="F36" s="531">
        <v>241500</v>
      </c>
      <c r="G36" s="531">
        <v>37432</v>
      </c>
      <c r="H36" s="531">
        <v>0</v>
      </c>
      <c r="I36" s="531">
        <v>0</v>
      </c>
      <c r="J36" s="532">
        <v>0</v>
      </c>
      <c r="K36" s="533">
        <f t="shared" si="3"/>
        <v>278932</v>
      </c>
    </row>
    <row r="37" spans="2:11" s="527" customFormat="1" ht="33" customHeight="1" thickBot="1">
      <c r="B37" s="528"/>
      <c r="C37" s="528"/>
      <c r="D37" s="534" t="s">
        <v>389</v>
      </c>
      <c r="E37" s="535" t="s">
        <v>727</v>
      </c>
      <c r="F37" s="536">
        <f>1800000+1000000</f>
        <v>2800000</v>
      </c>
      <c r="G37" s="536">
        <f>315000+13166+175000</f>
        <v>503166</v>
      </c>
      <c r="H37" s="536">
        <f>3527681-13166-1175000</f>
        <v>2339515</v>
      </c>
      <c r="I37" s="536">
        <v>0</v>
      </c>
      <c r="J37" s="536">
        <v>0</v>
      </c>
      <c r="K37" s="537">
        <f t="shared" si="3"/>
        <v>5642681</v>
      </c>
    </row>
    <row r="38" spans="1:14" s="538" customFormat="1" ht="24" customHeight="1" thickBot="1">
      <c r="A38" s="538">
        <v>999997</v>
      </c>
      <c r="B38" s="539"/>
      <c r="D38" s="540" t="s">
        <v>390</v>
      </c>
      <c r="E38" s="541" t="s">
        <v>357</v>
      </c>
      <c r="F38" s="542">
        <f aca="true" t="shared" si="4" ref="F38:K38">SUM(F31:F37)</f>
        <v>19279311</v>
      </c>
      <c r="G38" s="542">
        <f t="shared" si="4"/>
        <v>4107796</v>
      </c>
      <c r="H38" s="542">
        <f t="shared" si="4"/>
        <v>24568658</v>
      </c>
      <c r="I38" s="542">
        <f t="shared" si="4"/>
        <v>1627000</v>
      </c>
      <c r="J38" s="542">
        <f t="shared" si="4"/>
        <v>0</v>
      </c>
      <c r="K38" s="611">
        <f t="shared" si="4"/>
        <v>49582765</v>
      </c>
      <c r="L38" s="544">
        <f>SUM(F38:J38)</f>
        <v>49582765</v>
      </c>
      <c r="M38" s="545"/>
      <c r="N38" s="545"/>
    </row>
  </sheetData>
  <sheetProtection/>
  <mergeCells count="10">
    <mergeCell ref="D4:K4"/>
    <mergeCell ref="D17:K17"/>
    <mergeCell ref="D31:K31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6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123" customWidth="1"/>
    <col min="2" max="2" width="31.75390625" style="123" customWidth="1"/>
    <col min="3" max="3" width="14.375" style="123" customWidth="1"/>
    <col min="4" max="4" width="16.25390625" style="123" bestFit="1" customWidth="1"/>
    <col min="5" max="5" width="14.625" style="123" bestFit="1" customWidth="1"/>
    <col min="6" max="6" width="16.375" style="123" bestFit="1" customWidth="1"/>
    <col min="7" max="8" width="14.75390625" style="123" bestFit="1" customWidth="1"/>
    <col min="9" max="9" width="16.375" style="123" bestFit="1" customWidth="1"/>
    <col min="10" max="11" width="12.875" style="123" customWidth="1"/>
    <col min="12" max="12" width="15.00390625" style="123" customWidth="1"/>
    <col min="13" max="13" width="17.125" style="123" bestFit="1" customWidth="1"/>
    <col min="14" max="15" width="9.125" style="123" customWidth="1"/>
    <col min="16" max="16" width="13.00390625" style="123" bestFit="1" customWidth="1"/>
    <col min="17" max="16384" width="9.125" style="123" customWidth="1"/>
  </cols>
  <sheetData>
    <row r="1" spans="1:21" ht="12.75">
      <c r="A1" s="189"/>
      <c r="B1" s="190"/>
      <c r="C1" s="191"/>
      <c r="D1" s="191"/>
      <c r="E1" s="191"/>
      <c r="F1" s="191"/>
      <c r="G1" s="937" t="s">
        <v>1023</v>
      </c>
      <c r="H1" s="937"/>
      <c r="I1" s="938"/>
      <c r="J1" s="938"/>
      <c r="K1" s="938"/>
      <c r="L1" s="938"/>
      <c r="M1" s="938"/>
      <c r="N1" s="190"/>
      <c r="O1" s="190"/>
      <c r="P1" s="190"/>
      <c r="Q1" s="190"/>
      <c r="R1" s="192"/>
      <c r="S1" s="192"/>
      <c r="T1" s="192"/>
      <c r="U1" s="190"/>
    </row>
    <row r="2" spans="1:21" ht="12.75">
      <c r="A2" s="189"/>
      <c r="B2" s="190"/>
      <c r="C2" s="191"/>
      <c r="D2" s="191"/>
      <c r="E2" s="191"/>
      <c r="F2" s="191"/>
      <c r="G2" s="193"/>
      <c r="H2" s="193"/>
      <c r="I2" s="194"/>
      <c r="J2" s="194"/>
      <c r="K2" s="194"/>
      <c r="L2" s="194"/>
      <c r="M2" s="194"/>
      <c r="N2" s="190"/>
      <c r="O2" s="190"/>
      <c r="P2" s="190"/>
      <c r="Q2" s="190"/>
      <c r="R2" s="192"/>
      <c r="S2" s="192"/>
      <c r="T2" s="192"/>
      <c r="U2" s="190"/>
    </row>
    <row r="3" spans="1:27" ht="15.75" customHeight="1">
      <c r="A3" s="942" t="s">
        <v>815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3.5" thickBot="1">
      <c r="A4" s="942"/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6.5" thickBot="1">
      <c r="A5" s="964" t="s">
        <v>423</v>
      </c>
      <c r="B5" s="961" t="s">
        <v>353</v>
      </c>
      <c r="C5" s="967" t="s">
        <v>443</v>
      </c>
      <c r="D5" s="967"/>
      <c r="E5" s="967"/>
      <c r="F5" s="967"/>
      <c r="G5" s="967"/>
      <c r="H5" s="967"/>
      <c r="I5" s="967"/>
      <c r="J5" s="967"/>
      <c r="K5" s="967"/>
      <c r="L5" s="967"/>
      <c r="M5" s="968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7"/>
    </row>
    <row r="6" spans="1:13" ht="12.75" customHeight="1">
      <c r="A6" s="965"/>
      <c r="B6" s="962"/>
      <c r="C6" s="943" t="s">
        <v>444</v>
      </c>
      <c r="D6" s="946" t="s">
        <v>445</v>
      </c>
      <c r="E6" s="947"/>
      <c r="F6" s="948"/>
      <c r="G6" s="946" t="s">
        <v>446</v>
      </c>
      <c r="H6" s="947"/>
      <c r="I6" s="948"/>
      <c r="J6" s="946" t="s">
        <v>447</v>
      </c>
      <c r="K6" s="947"/>
      <c r="L6" s="948"/>
      <c r="M6" s="939" t="s">
        <v>361</v>
      </c>
    </row>
    <row r="7" spans="1:13" ht="12.75" customHeight="1">
      <c r="A7" s="965"/>
      <c r="B7" s="962"/>
      <c r="C7" s="944"/>
      <c r="D7" s="949"/>
      <c r="E7" s="950"/>
      <c r="F7" s="951"/>
      <c r="G7" s="949"/>
      <c r="H7" s="950"/>
      <c r="I7" s="951"/>
      <c r="J7" s="949"/>
      <c r="K7" s="950"/>
      <c r="L7" s="951"/>
      <c r="M7" s="940"/>
    </row>
    <row r="8" spans="1:13" ht="24" customHeight="1" thickBot="1">
      <c r="A8" s="966"/>
      <c r="B8" s="963"/>
      <c r="C8" s="945"/>
      <c r="D8" s="198" t="s">
        <v>84</v>
      </c>
      <c r="E8" s="199" t="s">
        <v>85</v>
      </c>
      <c r="F8" s="200" t="s">
        <v>89</v>
      </c>
      <c r="G8" s="201" t="s">
        <v>84</v>
      </c>
      <c r="H8" s="199" t="s">
        <v>85</v>
      </c>
      <c r="I8" s="200" t="s">
        <v>89</v>
      </c>
      <c r="J8" s="201" t="s">
        <v>84</v>
      </c>
      <c r="K8" s="199" t="s">
        <v>85</v>
      </c>
      <c r="L8" s="200" t="s">
        <v>89</v>
      </c>
      <c r="M8" s="941"/>
    </row>
    <row r="9" spans="1:13" ht="29.25" customHeight="1">
      <c r="A9" s="202" t="s">
        <v>384</v>
      </c>
      <c r="B9" s="203" t="s">
        <v>59</v>
      </c>
      <c r="C9" s="204" t="s">
        <v>656</v>
      </c>
      <c r="D9" s="205">
        <f>80745240-70000+6600+1155+16823647+92377+6500+347826+52174+45939-45939+4615000+44564+30000</f>
        <v>102695083</v>
      </c>
      <c r="E9" s="547"/>
      <c r="F9" s="207">
        <f>SUM(D9:E9)</f>
        <v>102695083</v>
      </c>
      <c r="G9" s="208">
        <f>241500+37432</f>
        <v>278932</v>
      </c>
      <c r="H9" s="547"/>
      <c r="I9" s="207">
        <f>SUM(G9:H9)</f>
        <v>278932</v>
      </c>
      <c r="J9" s="209"/>
      <c r="K9" s="210"/>
      <c r="L9" s="207">
        <f>SUM(J9:K9)</f>
        <v>0</v>
      </c>
      <c r="M9" s="211">
        <f aca="true" t="shared" si="0" ref="M9:M53">SUM(F9+I9+L9)</f>
        <v>102974015</v>
      </c>
    </row>
    <row r="10" spans="1:13" ht="29.25" customHeight="1">
      <c r="A10" s="212" t="s">
        <v>385</v>
      </c>
      <c r="B10" s="214" t="s">
        <v>56</v>
      </c>
      <c r="C10" s="213" t="s">
        <v>646</v>
      </c>
      <c r="D10" s="205">
        <f>69965834-4779000+308085+1143000+9534431+200000+1505094</f>
        <v>77877444</v>
      </c>
      <c r="E10" s="206">
        <f>5000000+449520+8794813+4790554-5098639</f>
        <v>13936248</v>
      </c>
      <c r="F10" s="207">
        <f aca="true" t="shared" si="1" ref="F10:F53">SUM(D10:E10)</f>
        <v>91813692</v>
      </c>
      <c r="G10" s="208">
        <f>12645870-54000+500000</f>
        <v>13091870</v>
      </c>
      <c r="H10" s="206">
        <f>447341169-13005804+22387266+2197500</f>
        <v>458920131</v>
      </c>
      <c r="I10" s="207">
        <f aca="true" t="shared" si="2" ref="I10:I53">SUM(G10:H10)</f>
        <v>472012001</v>
      </c>
      <c r="J10" s="209"/>
      <c r="K10" s="210"/>
      <c r="L10" s="207">
        <f aca="true" t="shared" si="3" ref="L10:L53">SUM(J10:K10)</f>
        <v>0</v>
      </c>
      <c r="M10" s="211">
        <f t="shared" si="0"/>
        <v>563825693</v>
      </c>
    </row>
    <row r="11" spans="1:13" ht="29.25" customHeight="1">
      <c r="A11" s="212" t="s">
        <v>386</v>
      </c>
      <c r="B11" s="468" t="s">
        <v>368</v>
      </c>
      <c r="C11" s="213"/>
      <c r="D11" s="205"/>
      <c r="E11" s="206"/>
      <c r="F11" s="207">
        <f t="shared" si="1"/>
        <v>0</v>
      </c>
      <c r="G11" s="208">
        <v>311347</v>
      </c>
      <c r="H11" s="206"/>
      <c r="I11" s="207">
        <f t="shared" si="2"/>
        <v>311347</v>
      </c>
      <c r="J11" s="209"/>
      <c r="K11" s="210"/>
      <c r="L11" s="207">
        <f t="shared" si="3"/>
        <v>0</v>
      </c>
      <c r="M11" s="211">
        <f t="shared" si="0"/>
        <v>311347</v>
      </c>
    </row>
    <row r="12" spans="1:13" ht="29.25" customHeight="1">
      <c r="A12" s="212" t="s">
        <v>387</v>
      </c>
      <c r="B12" s="468" t="s">
        <v>985</v>
      </c>
      <c r="C12" s="207" t="s">
        <v>702</v>
      </c>
      <c r="D12" s="205">
        <v>36263474</v>
      </c>
      <c r="E12" s="206"/>
      <c r="F12" s="207">
        <f t="shared" si="1"/>
        <v>36263474</v>
      </c>
      <c r="G12" s="208"/>
      <c r="H12" s="206"/>
      <c r="I12" s="207">
        <f t="shared" si="2"/>
        <v>0</v>
      </c>
      <c r="J12" s="209"/>
      <c r="K12" s="210"/>
      <c r="L12" s="207">
        <f t="shared" si="3"/>
        <v>0</v>
      </c>
      <c r="M12" s="211">
        <f t="shared" si="0"/>
        <v>36263474</v>
      </c>
    </row>
    <row r="13" spans="1:13" ht="21.75" customHeight="1">
      <c r="A13" s="212" t="s">
        <v>388</v>
      </c>
      <c r="B13" s="229" t="s">
        <v>572</v>
      </c>
      <c r="C13" s="207" t="s">
        <v>702</v>
      </c>
      <c r="D13" s="216">
        <f>19299537+558233</f>
        <v>19857770</v>
      </c>
      <c r="E13" s="549"/>
      <c r="F13" s="207">
        <f t="shared" si="1"/>
        <v>19857770</v>
      </c>
      <c r="G13" s="553"/>
      <c r="H13" s="549"/>
      <c r="I13" s="207">
        <f t="shared" si="2"/>
        <v>0</v>
      </c>
      <c r="J13" s="219"/>
      <c r="K13" s="220"/>
      <c r="L13" s="207">
        <f t="shared" si="3"/>
        <v>0</v>
      </c>
      <c r="M13" s="211">
        <f t="shared" si="0"/>
        <v>19857770</v>
      </c>
    </row>
    <row r="14" spans="1:13" ht="21.75" customHeight="1">
      <c r="A14" s="212" t="s">
        <v>389</v>
      </c>
      <c r="B14" s="468" t="s">
        <v>989</v>
      </c>
      <c r="C14" s="207"/>
      <c r="D14" s="205"/>
      <c r="E14" s="547"/>
      <c r="F14" s="207">
        <f t="shared" si="1"/>
        <v>0</v>
      </c>
      <c r="G14" s="208">
        <v>15000</v>
      </c>
      <c r="H14" s="547"/>
      <c r="I14" s="207">
        <f t="shared" si="2"/>
        <v>15000</v>
      </c>
      <c r="J14" s="209"/>
      <c r="K14" s="210"/>
      <c r="L14" s="207">
        <f t="shared" si="3"/>
        <v>0</v>
      </c>
      <c r="M14" s="211">
        <f t="shared" si="0"/>
        <v>15000</v>
      </c>
    </row>
    <row r="15" spans="1:13" ht="29.25" customHeight="1">
      <c r="A15" s="212" t="s">
        <v>390</v>
      </c>
      <c r="B15" s="214" t="s">
        <v>64</v>
      </c>
      <c r="C15" s="207" t="s">
        <v>829</v>
      </c>
      <c r="D15" s="546"/>
      <c r="E15" s="547"/>
      <c r="F15" s="207">
        <f t="shared" si="1"/>
        <v>0</v>
      </c>
      <c r="G15" s="552"/>
      <c r="H15" s="547"/>
      <c r="I15" s="207">
        <f t="shared" si="2"/>
        <v>0</v>
      </c>
      <c r="J15" s="209">
        <v>12311385</v>
      </c>
      <c r="K15" s="210"/>
      <c r="L15" s="207">
        <f t="shared" si="3"/>
        <v>12311385</v>
      </c>
      <c r="M15" s="211">
        <f t="shared" si="0"/>
        <v>12311385</v>
      </c>
    </row>
    <row r="16" spans="1:13" ht="29.25" customHeight="1">
      <c r="A16" s="212" t="s">
        <v>391</v>
      </c>
      <c r="B16" s="214" t="s">
        <v>693</v>
      </c>
      <c r="C16" s="213" t="s">
        <v>830</v>
      </c>
      <c r="D16" s="205">
        <f>4016545+11080125+969525+4441343+3163+61586</f>
        <v>20572287</v>
      </c>
      <c r="E16" s="206">
        <f>190500</f>
        <v>190500</v>
      </c>
      <c r="F16" s="207">
        <f t="shared" si="1"/>
        <v>20762787</v>
      </c>
      <c r="G16" s="552"/>
      <c r="H16" s="547"/>
      <c r="I16" s="207">
        <f t="shared" si="2"/>
        <v>0</v>
      </c>
      <c r="J16" s="209"/>
      <c r="K16" s="210"/>
      <c r="L16" s="207">
        <f t="shared" si="3"/>
        <v>0</v>
      </c>
      <c r="M16" s="211">
        <f t="shared" si="0"/>
        <v>20762787</v>
      </c>
    </row>
    <row r="17" spans="1:13" ht="29.25" customHeight="1">
      <c r="A17" s="212" t="s">
        <v>392</v>
      </c>
      <c r="B17" s="214" t="s">
        <v>694</v>
      </c>
      <c r="C17" s="213" t="s">
        <v>830</v>
      </c>
      <c r="D17" s="205">
        <f>13227888+23197320+2029806+1310301+81181+4891800+428040+267157</f>
        <v>45433493</v>
      </c>
      <c r="E17" s="206">
        <v>74295</v>
      </c>
      <c r="F17" s="207">
        <f t="shared" si="1"/>
        <v>45507788</v>
      </c>
      <c r="G17" s="552"/>
      <c r="H17" s="547"/>
      <c r="I17" s="207">
        <f t="shared" si="2"/>
        <v>0</v>
      </c>
      <c r="J17" s="209"/>
      <c r="K17" s="210"/>
      <c r="L17" s="207">
        <f t="shared" si="3"/>
        <v>0</v>
      </c>
      <c r="M17" s="211">
        <f t="shared" si="0"/>
        <v>45507788</v>
      </c>
    </row>
    <row r="18" spans="1:13" ht="21.75" customHeight="1">
      <c r="A18" s="212" t="s">
        <v>393</v>
      </c>
      <c r="B18" s="229" t="s">
        <v>787</v>
      </c>
      <c r="C18" s="213" t="s">
        <v>647</v>
      </c>
      <c r="D18" s="548"/>
      <c r="E18" s="217">
        <f>25000000-20000000</f>
        <v>5000000</v>
      </c>
      <c r="F18" s="207">
        <f t="shared" si="1"/>
        <v>5000000</v>
      </c>
      <c r="G18" s="553"/>
      <c r="H18" s="217"/>
      <c r="I18" s="207">
        <f t="shared" si="2"/>
        <v>0</v>
      </c>
      <c r="J18" s="219"/>
      <c r="K18" s="220"/>
      <c r="L18" s="207">
        <f t="shared" si="3"/>
        <v>0</v>
      </c>
      <c r="M18" s="211">
        <f t="shared" si="0"/>
        <v>5000000</v>
      </c>
    </row>
    <row r="19" spans="1:13" ht="29.25" customHeight="1">
      <c r="A19" s="215" t="s">
        <v>394</v>
      </c>
      <c r="B19" s="214" t="s">
        <v>335</v>
      </c>
      <c r="C19" s="213" t="s">
        <v>647</v>
      </c>
      <c r="D19" s="205">
        <v>15377340</v>
      </c>
      <c r="E19" s="206">
        <v>363120</v>
      </c>
      <c r="F19" s="207">
        <f t="shared" si="1"/>
        <v>15740460</v>
      </c>
      <c r="G19" s="552"/>
      <c r="H19" s="547"/>
      <c r="I19" s="207">
        <f t="shared" si="2"/>
        <v>0</v>
      </c>
      <c r="J19" s="209"/>
      <c r="K19" s="210"/>
      <c r="L19" s="207">
        <f t="shared" si="3"/>
        <v>0</v>
      </c>
      <c r="M19" s="211">
        <f t="shared" si="0"/>
        <v>15740460</v>
      </c>
    </row>
    <row r="20" spans="1:13" ht="29.25" customHeight="1">
      <c r="A20" s="212" t="s">
        <v>395</v>
      </c>
      <c r="B20" s="214" t="s">
        <v>66</v>
      </c>
      <c r="C20" s="213" t="s">
        <v>648</v>
      </c>
      <c r="D20" s="205">
        <v>5249710</v>
      </c>
      <c r="E20" s="206">
        <f>101682090-3817843-5373648</f>
        <v>92490599</v>
      </c>
      <c r="F20" s="207">
        <f t="shared" si="1"/>
        <v>97740309</v>
      </c>
      <c r="G20" s="552"/>
      <c r="H20" s="547"/>
      <c r="I20" s="207">
        <f t="shared" si="2"/>
        <v>0</v>
      </c>
      <c r="J20" s="209"/>
      <c r="K20" s="210"/>
      <c r="L20" s="207">
        <f t="shared" si="3"/>
        <v>0</v>
      </c>
      <c r="M20" s="211">
        <f t="shared" si="0"/>
        <v>97740309</v>
      </c>
    </row>
    <row r="21" spans="1:13" ht="29.25" customHeight="1">
      <c r="A21" s="212" t="s">
        <v>396</v>
      </c>
      <c r="B21" s="214" t="s">
        <v>732</v>
      </c>
      <c r="C21" s="213"/>
      <c r="D21" s="205"/>
      <c r="E21" s="206"/>
      <c r="F21" s="207">
        <f t="shared" si="1"/>
        <v>0</v>
      </c>
      <c r="G21" s="208">
        <v>4571244</v>
      </c>
      <c r="H21" s="206">
        <f>187978206-911000</f>
        <v>187067206</v>
      </c>
      <c r="I21" s="207">
        <f t="shared" si="2"/>
        <v>191638450</v>
      </c>
      <c r="J21" s="209"/>
      <c r="K21" s="210"/>
      <c r="L21" s="207">
        <f t="shared" si="3"/>
        <v>0</v>
      </c>
      <c r="M21" s="211">
        <f t="shared" si="0"/>
        <v>191638450</v>
      </c>
    </row>
    <row r="22" spans="1:13" ht="30.75" customHeight="1">
      <c r="A22" s="212" t="s">
        <v>397</v>
      </c>
      <c r="B22" s="214" t="s">
        <v>50</v>
      </c>
      <c r="C22" s="213" t="s">
        <v>649</v>
      </c>
      <c r="D22" s="216">
        <v>3416864</v>
      </c>
      <c r="E22" s="549"/>
      <c r="F22" s="207">
        <f t="shared" si="1"/>
        <v>3416864</v>
      </c>
      <c r="G22" s="553"/>
      <c r="H22" s="549"/>
      <c r="I22" s="207">
        <f t="shared" si="2"/>
        <v>0</v>
      </c>
      <c r="J22" s="219"/>
      <c r="K22" s="220"/>
      <c r="L22" s="207">
        <f t="shared" si="3"/>
        <v>0</v>
      </c>
      <c r="M22" s="211">
        <f t="shared" si="0"/>
        <v>3416864</v>
      </c>
    </row>
    <row r="23" spans="1:13" ht="31.5" customHeight="1">
      <c r="A23" s="212" t="s">
        <v>398</v>
      </c>
      <c r="B23" s="214" t="s">
        <v>366</v>
      </c>
      <c r="C23" s="213" t="s">
        <v>650</v>
      </c>
      <c r="D23" s="216">
        <v>9798424</v>
      </c>
      <c r="E23" s="217">
        <v>1000000</v>
      </c>
      <c r="F23" s="207">
        <f t="shared" si="1"/>
        <v>10798424</v>
      </c>
      <c r="G23" s="553"/>
      <c r="H23" s="549"/>
      <c r="I23" s="207">
        <f t="shared" si="2"/>
        <v>0</v>
      </c>
      <c r="J23" s="219"/>
      <c r="K23" s="220"/>
      <c r="L23" s="207">
        <f t="shared" si="3"/>
        <v>0</v>
      </c>
      <c r="M23" s="211">
        <f t="shared" si="0"/>
        <v>10798424</v>
      </c>
    </row>
    <row r="24" spans="1:13" ht="31.5" customHeight="1">
      <c r="A24" s="212" t="s">
        <v>399</v>
      </c>
      <c r="B24" s="214" t="s">
        <v>733</v>
      </c>
      <c r="C24" s="213" t="s">
        <v>831</v>
      </c>
      <c r="D24" s="216">
        <f>4276480+33191447+110</f>
        <v>37468037</v>
      </c>
      <c r="E24" s="217">
        <f>1940000+5000000</f>
        <v>6940000</v>
      </c>
      <c r="F24" s="207">
        <f t="shared" si="1"/>
        <v>44408037</v>
      </c>
      <c r="G24" s="553"/>
      <c r="H24" s="549"/>
      <c r="I24" s="207">
        <f t="shared" si="2"/>
        <v>0</v>
      </c>
      <c r="J24" s="219"/>
      <c r="K24" s="220"/>
      <c r="L24" s="207">
        <f t="shared" si="3"/>
        <v>0</v>
      </c>
      <c r="M24" s="211">
        <f t="shared" si="0"/>
        <v>44408037</v>
      </c>
    </row>
    <row r="25" spans="1:13" ht="31.5" customHeight="1">
      <c r="A25" s="212" t="s">
        <v>400</v>
      </c>
      <c r="B25" s="214" t="s">
        <v>734</v>
      </c>
      <c r="C25" s="213" t="s">
        <v>648</v>
      </c>
      <c r="D25" s="216">
        <f>1377000+726390</f>
        <v>2103390</v>
      </c>
      <c r="E25" s="217">
        <v>21830061</v>
      </c>
      <c r="F25" s="207">
        <f t="shared" si="1"/>
        <v>23933451</v>
      </c>
      <c r="G25" s="553"/>
      <c r="H25" s="549"/>
      <c r="I25" s="207">
        <f t="shared" si="2"/>
        <v>0</v>
      </c>
      <c r="J25" s="219"/>
      <c r="K25" s="220"/>
      <c r="L25" s="207">
        <f t="shared" si="3"/>
        <v>0</v>
      </c>
      <c r="M25" s="211">
        <f t="shared" si="0"/>
        <v>23933451</v>
      </c>
    </row>
    <row r="26" spans="1:13" ht="31.5" customHeight="1">
      <c r="A26" s="212" t="s">
        <v>401</v>
      </c>
      <c r="B26" s="214" t="s">
        <v>788</v>
      </c>
      <c r="C26" s="213"/>
      <c r="D26" s="216"/>
      <c r="E26" s="217"/>
      <c r="F26" s="207">
        <f t="shared" si="1"/>
        <v>0</v>
      </c>
      <c r="G26" s="218">
        <f>1044000+164430+640554-254000</f>
        <v>1594984</v>
      </c>
      <c r="H26" s="217">
        <f>973100-755546</f>
        <v>217554</v>
      </c>
      <c r="I26" s="207">
        <f t="shared" si="2"/>
        <v>1812538</v>
      </c>
      <c r="J26" s="219"/>
      <c r="K26" s="220"/>
      <c r="L26" s="207">
        <f t="shared" si="3"/>
        <v>0</v>
      </c>
      <c r="M26" s="211">
        <f t="shared" si="0"/>
        <v>1812538</v>
      </c>
    </row>
    <row r="27" spans="1:13" ht="31.5" customHeight="1">
      <c r="A27" s="212" t="s">
        <v>402</v>
      </c>
      <c r="B27" s="214" t="s">
        <v>735</v>
      </c>
      <c r="C27" s="224" t="s">
        <v>832</v>
      </c>
      <c r="D27" s="216">
        <f>609406+143206+4667808</f>
        <v>5420420</v>
      </c>
      <c r="E27" s="217">
        <f>19510500+91442680+863600-1730500-17780000</f>
        <v>92306280</v>
      </c>
      <c r="F27" s="207">
        <f t="shared" si="1"/>
        <v>97726700</v>
      </c>
      <c r="G27" s="553"/>
      <c r="H27" s="217"/>
      <c r="I27" s="207">
        <f t="shared" si="2"/>
        <v>0</v>
      </c>
      <c r="J27" s="219"/>
      <c r="K27" s="220"/>
      <c r="L27" s="207">
        <f t="shared" si="3"/>
        <v>0</v>
      </c>
      <c r="M27" s="211">
        <f t="shared" si="0"/>
        <v>97726700</v>
      </c>
    </row>
    <row r="28" spans="1:13" ht="21.75" customHeight="1">
      <c r="A28" s="212" t="s">
        <v>403</v>
      </c>
      <c r="B28" s="229" t="s">
        <v>696</v>
      </c>
      <c r="C28" s="224" t="s">
        <v>833</v>
      </c>
      <c r="D28" s="216">
        <v>416194</v>
      </c>
      <c r="E28" s="217">
        <v>6759599</v>
      </c>
      <c r="F28" s="207">
        <f t="shared" si="1"/>
        <v>7175793</v>
      </c>
      <c r="G28" s="553"/>
      <c r="H28" s="549"/>
      <c r="I28" s="207">
        <f t="shared" si="2"/>
        <v>0</v>
      </c>
      <c r="J28" s="219"/>
      <c r="K28" s="220"/>
      <c r="L28" s="207">
        <f t="shared" si="3"/>
        <v>0</v>
      </c>
      <c r="M28" s="211">
        <f t="shared" si="0"/>
        <v>7175793</v>
      </c>
    </row>
    <row r="29" spans="1:13" ht="21.75" customHeight="1">
      <c r="A29" s="212" t="s">
        <v>404</v>
      </c>
      <c r="B29" s="229" t="s">
        <v>369</v>
      </c>
      <c r="C29" s="224" t="s">
        <v>647</v>
      </c>
      <c r="D29" s="216">
        <f>24094440+414268</f>
        <v>24508708</v>
      </c>
      <c r="E29" s="217">
        <v>2794000</v>
      </c>
      <c r="F29" s="207">
        <f t="shared" si="1"/>
        <v>27302708</v>
      </c>
      <c r="G29" s="553"/>
      <c r="H29" s="549"/>
      <c r="I29" s="207">
        <f t="shared" si="2"/>
        <v>0</v>
      </c>
      <c r="J29" s="219"/>
      <c r="K29" s="220"/>
      <c r="L29" s="207">
        <f t="shared" si="3"/>
        <v>0</v>
      </c>
      <c r="M29" s="211">
        <f t="shared" si="0"/>
        <v>27302708</v>
      </c>
    </row>
    <row r="30" spans="1:13" ht="21.75" customHeight="1">
      <c r="A30" s="212" t="s">
        <v>405</v>
      </c>
      <c r="B30" s="229" t="s">
        <v>367</v>
      </c>
      <c r="C30" s="224" t="s">
        <v>647</v>
      </c>
      <c r="D30" s="216">
        <f>34917000-1444000</f>
        <v>33473000</v>
      </c>
      <c r="E30" s="217"/>
      <c r="F30" s="207">
        <f t="shared" si="1"/>
        <v>33473000</v>
      </c>
      <c r="G30" s="553"/>
      <c r="H30" s="549"/>
      <c r="I30" s="207">
        <f t="shared" si="2"/>
        <v>0</v>
      </c>
      <c r="J30" s="219"/>
      <c r="K30" s="220"/>
      <c r="L30" s="207">
        <f t="shared" si="3"/>
        <v>0</v>
      </c>
      <c r="M30" s="211">
        <f t="shared" si="0"/>
        <v>33473000</v>
      </c>
    </row>
    <row r="31" spans="1:13" ht="22.5" customHeight="1">
      <c r="A31" s="212" t="s">
        <v>448</v>
      </c>
      <c r="B31" s="229" t="s">
        <v>82</v>
      </c>
      <c r="C31" s="646" t="s">
        <v>834</v>
      </c>
      <c r="D31" s="216">
        <f>25000+3938+14028933-1454446+14018000-6364000-3280000+38197+401078+382588+349267</f>
        <v>18148555</v>
      </c>
      <c r="E31" s="217">
        <f>3348220+2000000</f>
        <v>5348220</v>
      </c>
      <c r="F31" s="207">
        <f t="shared" si="1"/>
        <v>23496775</v>
      </c>
      <c r="G31" s="218">
        <v>1454446</v>
      </c>
      <c r="H31" s="549"/>
      <c r="I31" s="207">
        <f t="shared" si="2"/>
        <v>1454446</v>
      </c>
      <c r="J31" s="219"/>
      <c r="K31" s="220"/>
      <c r="L31" s="207">
        <f t="shared" si="3"/>
        <v>0</v>
      </c>
      <c r="M31" s="211">
        <f t="shared" si="0"/>
        <v>24951221</v>
      </c>
    </row>
    <row r="32" spans="1:13" ht="23.25" customHeight="1">
      <c r="A32" s="212" t="s">
        <v>449</v>
      </c>
      <c r="B32" s="229" t="s">
        <v>371</v>
      </c>
      <c r="C32" s="224" t="s">
        <v>835</v>
      </c>
      <c r="D32" s="216">
        <v>360000</v>
      </c>
      <c r="E32" s="549"/>
      <c r="F32" s="207">
        <f t="shared" si="1"/>
        <v>360000</v>
      </c>
      <c r="G32" s="553"/>
      <c r="H32" s="549"/>
      <c r="I32" s="207">
        <f t="shared" si="2"/>
        <v>0</v>
      </c>
      <c r="J32" s="219"/>
      <c r="K32" s="220"/>
      <c r="L32" s="207">
        <f t="shared" si="3"/>
        <v>0</v>
      </c>
      <c r="M32" s="211">
        <f t="shared" si="0"/>
        <v>360000</v>
      </c>
    </row>
    <row r="33" spans="1:13" ht="22.5" customHeight="1">
      <c r="A33" s="212" t="s">
        <v>450</v>
      </c>
      <c r="B33" s="229" t="s">
        <v>372</v>
      </c>
      <c r="C33" s="224" t="s">
        <v>835</v>
      </c>
      <c r="D33" s="216">
        <f>27644450+492+2513</f>
        <v>27647455</v>
      </c>
      <c r="E33" s="217"/>
      <c r="F33" s="207">
        <f t="shared" si="1"/>
        <v>27647455</v>
      </c>
      <c r="G33" s="553"/>
      <c r="H33" s="549"/>
      <c r="I33" s="207">
        <f t="shared" si="2"/>
        <v>0</v>
      </c>
      <c r="J33" s="219"/>
      <c r="K33" s="220"/>
      <c r="L33" s="207">
        <f t="shared" si="3"/>
        <v>0</v>
      </c>
      <c r="M33" s="211">
        <f t="shared" si="0"/>
        <v>27647455</v>
      </c>
    </row>
    <row r="34" spans="1:13" ht="22.5" customHeight="1">
      <c r="A34" s="212" t="s">
        <v>439</v>
      </c>
      <c r="B34" s="229" t="s">
        <v>373</v>
      </c>
      <c r="C34" s="224" t="s">
        <v>651</v>
      </c>
      <c r="D34" s="216">
        <f>120000+2626200+2307500</f>
        <v>5053700</v>
      </c>
      <c r="E34" s="549"/>
      <c r="F34" s="207">
        <f t="shared" si="1"/>
        <v>5053700</v>
      </c>
      <c r="G34" s="553"/>
      <c r="H34" s="549"/>
      <c r="I34" s="207">
        <f t="shared" si="2"/>
        <v>0</v>
      </c>
      <c r="J34" s="219"/>
      <c r="K34" s="220"/>
      <c r="L34" s="207">
        <f t="shared" si="3"/>
        <v>0</v>
      </c>
      <c r="M34" s="211">
        <f t="shared" si="0"/>
        <v>5053700</v>
      </c>
    </row>
    <row r="35" spans="1:13" ht="29.25" customHeight="1">
      <c r="A35" s="212" t="s">
        <v>451</v>
      </c>
      <c r="B35" s="214" t="s">
        <v>658</v>
      </c>
      <c r="C35" s="213" t="s">
        <v>835</v>
      </c>
      <c r="D35" s="216">
        <f>27396716+4793101+2949420+2500000+387500</f>
        <v>38026737</v>
      </c>
      <c r="E35" s="217">
        <v>190500</v>
      </c>
      <c r="F35" s="207">
        <f t="shared" si="1"/>
        <v>38217237</v>
      </c>
      <c r="G35" s="553"/>
      <c r="H35" s="549"/>
      <c r="I35" s="207">
        <f t="shared" si="2"/>
        <v>0</v>
      </c>
      <c r="J35" s="219"/>
      <c r="K35" s="220"/>
      <c r="L35" s="207">
        <f t="shared" si="3"/>
        <v>0</v>
      </c>
      <c r="M35" s="211">
        <f t="shared" si="0"/>
        <v>38217237</v>
      </c>
    </row>
    <row r="36" spans="1:13" ht="29.25" customHeight="1">
      <c r="A36" s="212" t="s">
        <v>406</v>
      </c>
      <c r="B36" s="468" t="s">
        <v>908</v>
      </c>
      <c r="C36" s="207" t="s">
        <v>910</v>
      </c>
      <c r="D36" s="216">
        <f>600000+1275000</f>
        <v>1875000</v>
      </c>
      <c r="E36" s="217">
        <f>400000+100000</f>
        <v>500000</v>
      </c>
      <c r="F36" s="207">
        <f t="shared" si="1"/>
        <v>2375000</v>
      </c>
      <c r="G36" s="553"/>
      <c r="H36" s="549"/>
      <c r="I36" s="207">
        <f t="shared" si="2"/>
        <v>0</v>
      </c>
      <c r="J36" s="219"/>
      <c r="K36" s="220"/>
      <c r="L36" s="207">
        <f t="shared" si="3"/>
        <v>0</v>
      </c>
      <c r="M36" s="211">
        <f t="shared" si="0"/>
        <v>2375000</v>
      </c>
    </row>
    <row r="37" spans="1:13" ht="29.25" customHeight="1">
      <c r="A37" s="212" t="s">
        <v>407</v>
      </c>
      <c r="B37" s="221" t="s">
        <v>81</v>
      </c>
      <c r="C37" s="207" t="s">
        <v>652</v>
      </c>
      <c r="D37" s="216">
        <f>16949000+1500000</f>
        <v>18449000</v>
      </c>
      <c r="E37" s="549"/>
      <c r="F37" s="207">
        <f t="shared" si="1"/>
        <v>18449000</v>
      </c>
      <c r="G37" s="554"/>
      <c r="H37" s="217"/>
      <c r="I37" s="207">
        <f t="shared" si="2"/>
        <v>0</v>
      </c>
      <c r="J37" s="219"/>
      <c r="K37" s="220"/>
      <c r="L37" s="207">
        <f t="shared" si="3"/>
        <v>0</v>
      </c>
      <c r="M37" s="211">
        <f t="shared" si="0"/>
        <v>18449000</v>
      </c>
    </row>
    <row r="38" spans="1:13" ht="29.25" customHeight="1">
      <c r="A38" s="212" t="s">
        <v>408</v>
      </c>
      <c r="B38" s="221" t="s">
        <v>764</v>
      </c>
      <c r="C38" s="207"/>
      <c r="D38" s="216"/>
      <c r="E38" s="549"/>
      <c r="F38" s="207">
        <f t="shared" si="1"/>
        <v>0</v>
      </c>
      <c r="G38" s="613">
        <v>15000</v>
      </c>
      <c r="H38" s="217"/>
      <c r="I38" s="207">
        <f t="shared" si="2"/>
        <v>15000</v>
      </c>
      <c r="J38" s="219"/>
      <c r="K38" s="220"/>
      <c r="L38" s="207">
        <f t="shared" si="3"/>
        <v>0</v>
      </c>
      <c r="M38" s="211">
        <f t="shared" si="0"/>
        <v>15000</v>
      </c>
    </row>
    <row r="39" spans="1:13" ht="30.75" customHeight="1">
      <c r="A39" s="212" t="s">
        <v>452</v>
      </c>
      <c r="B39" s="236" t="s">
        <v>552</v>
      </c>
      <c r="C39" s="207"/>
      <c r="D39" s="548"/>
      <c r="E39" s="549"/>
      <c r="F39" s="207">
        <f t="shared" si="1"/>
        <v>0</v>
      </c>
      <c r="G39" s="223">
        <f>80000+38963+1830220+31383</f>
        <v>1980566</v>
      </c>
      <c r="H39" s="217">
        <v>730250</v>
      </c>
      <c r="I39" s="207">
        <f t="shared" si="2"/>
        <v>2710816</v>
      </c>
      <c r="J39" s="219"/>
      <c r="K39" s="220"/>
      <c r="L39" s="207">
        <f t="shared" si="3"/>
        <v>0</v>
      </c>
      <c r="M39" s="211">
        <f t="shared" si="0"/>
        <v>2710816</v>
      </c>
    </row>
    <row r="40" spans="1:13" ht="23.25" customHeight="1">
      <c r="A40" s="212" t="s">
        <v>409</v>
      </c>
      <c r="B40" s="214" t="s">
        <v>83</v>
      </c>
      <c r="C40" s="228"/>
      <c r="D40" s="550"/>
      <c r="E40" s="551"/>
      <c r="F40" s="207">
        <f t="shared" si="1"/>
        <v>0</v>
      </c>
      <c r="G40" s="227">
        <v>73660</v>
      </c>
      <c r="H40" s="551"/>
      <c r="I40" s="207">
        <f t="shared" si="2"/>
        <v>73660</v>
      </c>
      <c r="J40" s="219"/>
      <c r="K40" s="220"/>
      <c r="L40" s="207">
        <f t="shared" si="3"/>
        <v>0</v>
      </c>
      <c r="M40" s="211">
        <f t="shared" si="0"/>
        <v>73660</v>
      </c>
    </row>
    <row r="41" spans="1:13" ht="23.25" customHeight="1">
      <c r="A41" s="212" t="s">
        <v>426</v>
      </c>
      <c r="B41" s="214" t="s">
        <v>765</v>
      </c>
      <c r="C41" s="228"/>
      <c r="D41" s="550"/>
      <c r="E41" s="551"/>
      <c r="F41" s="207">
        <f t="shared" si="1"/>
        <v>0</v>
      </c>
      <c r="G41" s="227">
        <f>12229669+55552</f>
        <v>12285221</v>
      </c>
      <c r="H41" s="226"/>
      <c r="I41" s="207">
        <f t="shared" si="2"/>
        <v>12285221</v>
      </c>
      <c r="J41" s="219"/>
      <c r="K41" s="220"/>
      <c r="L41" s="207">
        <f t="shared" si="3"/>
        <v>0</v>
      </c>
      <c r="M41" s="211">
        <f t="shared" si="0"/>
        <v>12285221</v>
      </c>
    </row>
    <row r="42" spans="1:13" ht="23.25" customHeight="1">
      <c r="A42" s="212" t="s">
        <v>453</v>
      </c>
      <c r="B42" s="214" t="s">
        <v>738</v>
      </c>
      <c r="C42" s="207" t="s">
        <v>657</v>
      </c>
      <c r="D42" s="550"/>
      <c r="E42" s="226">
        <v>31599998</v>
      </c>
      <c r="F42" s="207">
        <f t="shared" si="1"/>
        <v>31599998</v>
      </c>
      <c r="G42" s="227"/>
      <c r="H42" s="551"/>
      <c r="I42" s="207">
        <f t="shared" si="2"/>
        <v>0</v>
      </c>
      <c r="J42" s="219"/>
      <c r="K42" s="220"/>
      <c r="L42" s="207">
        <f t="shared" si="3"/>
        <v>0</v>
      </c>
      <c r="M42" s="211">
        <f t="shared" si="0"/>
        <v>31599998</v>
      </c>
    </row>
    <row r="43" spans="1:13" ht="23.25" customHeight="1">
      <c r="A43" s="212" t="s">
        <v>454</v>
      </c>
      <c r="B43" s="214" t="s">
        <v>739</v>
      </c>
      <c r="C43" s="228"/>
      <c r="D43" s="550"/>
      <c r="E43" s="226"/>
      <c r="F43" s="207">
        <f t="shared" si="1"/>
        <v>0</v>
      </c>
      <c r="G43" s="227">
        <f>12302209+5000000+875000+18063936-10911298</f>
        <v>25329847</v>
      </c>
      <c r="H43" s="551"/>
      <c r="I43" s="207">
        <f t="shared" si="2"/>
        <v>25329847</v>
      </c>
      <c r="J43" s="219"/>
      <c r="K43" s="220"/>
      <c r="L43" s="207">
        <f t="shared" si="3"/>
        <v>0</v>
      </c>
      <c r="M43" s="211">
        <f t="shared" si="0"/>
        <v>25329847</v>
      </c>
    </row>
    <row r="44" spans="1:13" ht="24" customHeight="1">
      <c r="A44" s="212" t="s">
        <v>744</v>
      </c>
      <c r="B44" s="214" t="s">
        <v>579</v>
      </c>
      <c r="C44" s="222" t="s">
        <v>836</v>
      </c>
      <c r="D44" s="225">
        <f>2543600+445130+57876511</f>
        <v>60865241</v>
      </c>
      <c r="E44" s="226">
        <v>74930</v>
      </c>
      <c r="F44" s="207">
        <f t="shared" si="1"/>
        <v>60940171</v>
      </c>
      <c r="G44" s="555"/>
      <c r="H44" s="551"/>
      <c r="I44" s="207">
        <f t="shared" si="2"/>
        <v>0</v>
      </c>
      <c r="J44" s="219"/>
      <c r="K44" s="220"/>
      <c r="L44" s="207">
        <f t="shared" si="3"/>
        <v>0</v>
      </c>
      <c r="M44" s="211">
        <f t="shared" si="0"/>
        <v>60940171</v>
      </c>
    </row>
    <row r="45" spans="1:13" ht="21.75" customHeight="1">
      <c r="A45" s="212" t="s">
        <v>745</v>
      </c>
      <c r="B45" s="229" t="s">
        <v>641</v>
      </c>
      <c r="C45" s="224"/>
      <c r="D45" s="548"/>
      <c r="E45" s="549"/>
      <c r="F45" s="207">
        <f t="shared" si="1"/>
        <v>0</v>
      </c>
      <c r="G45" s="218">
        <f>21650000+951095</f>
        <v>22601095</v>
      </c>
      <c r="H45" s="549"/>
      <c r="I45" s="207">
        <f t="shared" si="2"/>
        <v>22601095</v>
      </c>
      <c r="J45" s="219"/>
      <c r="K45" s="220"/>
      <c r="L45" s="207">
        <f t="shared" si="3"/>
        <v>0</v>
      </c>
      <c r="M45" s="211">
        <f t="shared" si="0"/>
        <v>22601095</v>
      </c>
    </row>
    <row r="46" spans="1:13" ht="24" customHeight="1">
      <c r="A46" s="212" t="s">
        <v>746</v>
      </c>
      <c r="B46" s="214" t="s">
        <v>581</v>
      </c>
      <c r="C46" s="222" t="s">
        <v>666</v>
      </c>
      <c r="D46" s="225">
        <v>1812600</v>
      </c>
      <c r="E46" s="551"/>
      <c r="F46" s="207">
        <f t="shared" si="1"/>
        <v>1812600</v>
      </c>
      <c r="G46" s="555"/>
      <c r="H46" s="551"/>
      <c r="I46" s="207">
        <f t="shared" si="2"/>
        <v>0</v>
      </c>
      <c r="J46" s="219"/>
      <c r="K46" s="220"/>
      <c r="L46" s="207">
        <f t="shared" si="3"/>
        <v>0</v>
      </c>
      <c r="M46" s="211">
        <f>SUM(F46+I46+L46)</f>
        <v>1812600</v>
      </c>
    </row>
    <row r="47" spans="1:13" ht="29.25" customHeight="1">
      <c r="A47" s="212" t="s">
        <v>747</v>
      </c>
      <c r="B47" s="229" t="s">
        <v>697</v>
      </c>
      <c r="C47" s="224"/>
      <c r="D47" s="548"/>
      <c r="E47" s="549"/>
      <c r="F47" s="207">
        <f t="shared" si="1"/>
        <v>0</v>
      </c>
      <c r="G47" s="218">
        <f>46804899+13881090-519024</f>
        <v>60166965</v>
      </c>
      <c r="H47" s="217">
        <f>6000000</f>
        <v>6000000</v>
      </c>
      <c r="I47" s="207">
        <f t="shared" si="2"/>
        <v>66166965</v>
      </c>
      <c r="J47" s="219"/>
      <c r="K47" s="220"/>
      <c r="L47" s="207">
        <f t="shared" si="3"/>
        <v>0</v>
      </c>
      <c r="M47" s="211">
        <f t="shared" si="0"/>
        <v>66166965</v>
      </c>
    </row>
    <row r="48" spans="1:13" ht="21.75" customHeight="1">
      <c r="A48" s="212" t="s">
        <v>748</v>
      </c>
      <c r="B48" s="229" t="s">
        <v>435</v>
      </c>
      <c r="C48" s="224" t="s">
        <v>655</v>
      </c>
      <c r="D48" s="216">
        <f>4632000-1016000+1344830+208449+17596440+265050</f>
        <v>23030769</v>
      </c>
      <c r="E48" s="217">
        <f>560000</f>
        <v>560000</v>
      </c>
      <c r="F48" s="207">
        <f t="shared" si="1"/>
        <v>23590769</v>
      </c>
      <c r="G48" s="553"/>
      <c r="H48" s="549"/>
      <c r="I48" s="207">
        <f t="shared" si="2"/>
        <v>0</v>
      </c>
      <c r="J48" s="219"/>
      <c r="K48" s="220"/>
      <c r="L48" s="207">
        <f t="shared" si="3"/>
        <v>0</v>
      </c>
      <c r="M48" s="211">
        <f t="shared" si="0"/>
        <v>23590769</v>
      </c>
    </row>
    <row r="49" spans="1:13" ht="21.75" customHeight="1">
      <c r="A49" s="212" t="s">
        <v>749</v>
      </c>
      <c r="B49" s="229" t="s">
        <v>741</v>
      </c>
      <c r="C49" s="224" t="s">
        <v>766</v>
      </c>
      <c r="D49" s="216">
        <f>2286000-1143000+3459090+536159+175000</f>
        <v>5313249</v>
      </c>
      <c r="E49" s="217">
        <f>250000</f>
        <v>250000</v>
      </c>
      <c r="F49" s="207">
        <f t="shared" si="1"/>
        <v>5563249</v>
      </c>
      <c r="G49" s="553"/>
      <c r="H49" s="549"/>
      <c r="I49" s="207">
        <f t="shared" si="2"/>
        <v>0</v>
      </c>
      <c r="J49" s="219"/>
      <c r="K49" s="220"/>
      <c r="L49" s="207">
        <f t="shared" si="3"/>
        <v>0</v>
      </c>
      <c r="M49" s="211">
        <f t="shared" si="0"/>
        <v>5563249</v>
      </c>
    </row>
    <row r="50" spans="1:13" ht="26.25" customHeight="1">
      <c r="A50" s="212" t="s">
        <v>909</v>
      </c>
      <c r="B50" s="214" t="s">
        <v>553</v>
      </c>
      <c r="C50" s="207" t="s">
        <v>662</v>
      </c>
      <c r="D50" s="216">
        <v>3804900</v>
      </c>
      <c r="E50" s="549"/>
      <c r="F50" s="207">
        <f t="shared" si="1"/>
        <v>3804900</v>
      </c>
      <c r="G50" s="553"/>
      <c r="H50" s="549"/>
      <c r="I50" s="207">
        <f t="shared" si="2"/>
        <v>0</v>
      </c>
      <c r="J50" s="219"/>
      <c r="K50" s="220"/>
      <c r="L50" s="207">
        <f t="shared" si="3"/>
        <v>0</v>
      </c>
      <c r="M50" s="211">
        <f t="shared" si="0"/>
        <v>3804900</v>
      </c>
    </row>
    <row r="51" spans="1:13" ht="26.25" customHeight="1">
      <c r="A51" s="212" t="s">
        <v>991</v>
      </c>
      <c r="B51" s="214" t="s">
        <v>743</v>
      </c>
      <c r="C51" s="213"/>
      <c r="D51" s="216"/>
      <c r="E51" s="549"/>
      <c r="F51" s="207">
        <f t="shared" si="1"/>
        <v>0</v>
      </c>
      <c r="G51" s="218">
        <f>18342800+3773040+22523810+1586250+1321875+60657486-13077629+16410600+2543643-18954243-416917-64622</f>
        <v>94646093</v>
      </c>
      <c r="H51" s="217">
        <f>2460790+523290</f>
        <v>2984080</v>
      </c>
      <c r="I51" s="207">
        <f t="shared" si="2"/>
        <v>97630173</v>
      </c>
      <c r="J51" s="219"/>
      <c r="K51" s="219"/>
      <c r="L51" s="207">
        <f t="shared" si="3"/>
        <v>0</v>
      </c>
      <c r="M51" s="211">
        <f t="shared" si="0"/>
        <v>97630173</v>
      </c>
    </row>
    <row r="52" spans="1:13" s="183" customFormat="1" ht="27.75" customHeight="1">
      <c r="A52" s="212" t="s">
        <v>994</v>
      </c>
      <c r="B52" s="214" t="s">
        <v>370</v>
      </c>
      <c r="C52" s="213" t="s">
        <v>656</v>
      </c>
      <c r="D52" s="216">
        <f>2350000-1000000+121735509-9534431-33191447-2702314-8864634-558233-36263474-4615000-22387266+911000-2197500+5373648-726390-55552+519024+13077629+755546+10911298-15055017-2307500-440857-15000-200000-401078-382588-3610256-510500-7422766</f>
        <v>3191851</v>
      </c>
      <c r="E52" s="217">
        <v>15055017</v>
      </c>
      <c r="F52" s="207">
        <f t="shared" si="1"/>
        <v>18246868</v>
      </c>
      <c r="G52" s="216">
        <v>200000</v>
      </c>
      <c r="H52" s="549"/>
      <c r="I52" s="207">
        <f t="shared" si="2"/>
        <v>200000</v>
      </c>
      <c r="J52" s="231"/>
      <c r="K52" s="231"/>
      <c r="L52" s="207">
        <f t="shared" si="3"/>
        <v>0</v>
      </c>
      <c r="M52" s="211">
        <f t="shared" si="0"/>
        <v>18446868</v>
      </c>
    </row>
    <row r="53" spans="1:13" ht="24.75" customHeight="1" thickBot="1">
      <c r="A53" s="212" t="s">
        <v>995</v>
      </c>
      <c r="B53" s="214" t="s">
        <v>550</v>
      </c>
      <c r="C53" s="233"/>
      <c r="D53" s="559"/>
      <c r="E53" s="560"/>
      <c r="F53" s="207">
        <f t="shared" si="1"/>
        <v>0</v>
      </c>
      <c r="G53" s="561">
        <v>8285000</v>
      </c>
      <c r="H53" s="560"/>
      <c r="I53" s="207">
        <f t="shared" si="2"/>
        <v>8285000</v>
      </c>
      <c r="J53" s="562"/>
      <c r="K53" s="562"/>
      <c r="L53" s="207">
        <f t="shared" si="3"/>
        <v>0</v>
      </c>
      <c r="M53" s="563">
        <f t="shared" si="0"/>
        <v>8285000</v>
      </c>
    </row>
    <row r="54" spans="1:16" s="651" customFormat="1" ht="23.25" customHeight="1" thickBot="1">
      <c r="A54" s="955" t="s">
        <v>642</v>
      </c>
      <c r="B54" s="956"/>
      <c r="C54" s="957"/>
      <c r="D54" s="648">
        <f aca="true" t="shared" si="4" ref="D54:M54">SUM(D9:D53)</f>
        <v>647510695</v>
      </c>
      <c r="E54" s="649">
        <f t="shared" si="4"/>
        <v>297263367</v>
      </c>
      <c r="F54" s="650">
        <f t="shared" si="4"/>
        <v>944774062</v>
      </c>
      <c r="G54" s="649">
        <f t="shared" si="4"/>
        <v>246901270</v>
      </c>
      <c r="H54" s="649">
        <f t="shared" si="4"/>
        <v>655919221</v>
      </c>
      <c r="I54" s="650">
        <f t="shared" si="4"/>
        <v>902820491</v>
      </c>
      <c r="J54" s="649">
        <f t="shared" si="4"/>
        <v>12311385</v>
      </c>
      <c r="K54" s="649">
        <f t="shared" si="4"/>
        <v>0</v>
      </c>
      <c r="L54" s="650">
        <f t="shared" si="4"/>
        <v>12311385</v>
      </c>
      <c r="M54" s="650">
        <f t="shared" si="4"/>
        <v>1859905938</v>
      </c>
      <c r="P54" s="658">
        <f>SUM(L54,I54,F54)</f>
        <v>1859905938</v>
      </c>
    </row>
    <row r="55" spans="1:16" ht="30.75" customHeight="1">
      <c r="A55" s="215" t="s">
        <v>384</v>
      </c>
      <c r="B55" s="214" t="s">
        <v>59</v>
      </c>
      <c r="C55" s="204" t="s">
        <v>656</v>
      </c>
      <c r="D55" s="234">
        <f>91562414+16696818+26913440+103400+18095+1263600+221130-340425-59575-513114+513114+334626+2000</f>
        <v>136715523</v>
      </c>
      <c r="E55" s="235">
        <f>1934590+1204167-1204167</f>
        <v>1934590</v>
      </c>
      <c r="F55" s="207">
        <f>SUM(D55:E55)</f>
        <v>138650113</v>
      </c>
      <c r="G55" s="234"/>
      <c r="H55" s="235"/>
      <c r="I55" s="204">
        <f>SUM(G55:H55)</f>
        <v>0</v>
      </c>
      <c r="J55" s="234"/>
      <c r="K55" s="235"/>
      <c r="L55" s="204">
        <f>SUM(J55:K55)</f>
        <v>0</v>
      </c>
      <c r="M55" s="211">
        <f>SUM(L55,I55,F55)</f>
        <v>138650113</v>
      </c>
      <c r="P55" s="652"/>
    </row>
    <row r="56" spans="1:16" ht="30.75" customHeight="1">
      <c r="A56" s="215" t="s">
        <v>385</v>
      </c>
      <c r="B56" s="214" t="s">
        <v>837</v>
      </c>
      <c r="C56" s="213"/>
      <c r="D56" s="205"/>
      <c r="E56" s="206"/>
      <c r="F56" s="207">
        <f>SUM(D56:E56)</f>
        <v>0</v>
      </c>
      <c r="G56" s="205">
        <v>5569500</v>
      </c>
      <c r="H56" s="206"/>
      <c r="I56" s="207">
        <f>SUM(G56:H56)</f>
        <v>5569500</v>
      </c>
      <c r="J56" s="205"/>
      <c r="K56" s="206"/>
      <c r="L56" s="207">
        <f>SUM(J56:K56)</f>
        <v>0</v>
      </c>
      <c r="M56" s="211">
        <f>SUM(L56,I56,F56)</f>
        <v>5569500</v>
      </c>
      <c r="P56" s="652"/>
    </row>
    <row r="57" spans="1:16" ht="36.75" thickBot="1">
      <c r="A57" s="215" t="s">
        <v>386</v>
      </c>
      <c r="B57" s="647" t="s">
        <v>838</v>
      </c>
      <c r="C57" s="237"/>
      <c r="D57" s="216"/>
      <c r="E57" s="217"/>
      <c r="F57" s="207">
        <f>SUM(D57:E57)</f>
        <v>0</v>
      </c>
      <c r="G57" s="216">
        <f>2881247+416917+64622</f>
        <v>3362786</v>
      </c>
      <c r="H57" s="217"/>
      <c r="I57" s="207">
        <f>SUM(G57:H57)</f>
        <v>3362786</v>
      </c>
      <c r="J57" s="216"/>
      <c r="K57" s="217"/>
      <c r="L57" s="207">
        <f>SUM(J57:K57)</f>
        <v>0</v>
      </c>
      <c r="M57" s="211">
        <f>SUM(L57,I57,F57)</f>
        <v>3362786</v>
      </c>
      <c r="P57" s="652"/>
    </row>
    <row r="58" spans="1:16" s="651" customFormat="1" ht="23.25" customHeight="1" thickBot="1">
      <c r="A58" s="955" t="s">
        <v>455</v>
      </c>
      <c r="B58" s="956"/>
      <c r="C58" s="957"/>
      <c r="D58" s="648">
        <f aca="true" t="shared" si="5" ref="D58:M58">SUM(D55:D57)</f>
        <v>136715523</v>
      </c>
      <c r="E58" s="649">
        <f t="shared" si="5"/>
        <v>1934590</v>
      </c>
      <c r="F58" s="650">
        <f t="shared" si="5"/>
        <v>138650113</v>
      </c>
      <c r="G58" s="649">
        <f t="shared" si="5"/>
        <v>8932286</v>
      </c>
      <c r="H58" s="649">
        <f t="shared" si="5"/>
        <v>0</v>
      </c>
      <c r="I58" s="650">
        <f t="shared" si="5"/>
        <v>8932286</v>
      </c>
      <c r="J58" s="649">
        <f t="shared" si="5"/>
        <v>0</v>
      </c>
      <c r="K58" s="649">
        <f t="shared" si="5"/>
        <v>0</v>
      </c>
      <c r="L58" s="650">
        <f t="shared" si="5"/>
        <v>0</v>
      </c>
      <c r="M58" s="650">
        <f t="shared" si="5"/>
        <v>147582399</v>
      </c>
      <c r="P58" s="658">
        <f>SUM(L58,I58,F58)</f>
        <v>147582399</v>
      </c>
    </row>
    <row r="59" spans="1:16" ht="23.25" customHeight="1">
      <c r="A59" s="202" t="s">
        <v>384</v>
      </c>
      <c r="B59" s="239" t="s">
        <v>456</v>
      </c>
      <c r="C59" s="222" t="s">
        <v>661</v>
      </c>
      <c r="D59" s="240">
        <v>31853858</v>
      </c>
      <c r="E59" s="241"/>
      <c r="F59" s="238">
        <f aca="true" t="shared" si="6" ref="F59:F70">SUM(D59:E59)</f>
        <v>31853858</v>
      </c>
      <c r="G59" s="240"/>
      <c r="H59" s="241"/>
      <c r="I59" s="238">
        <f aca="true" t="shared" si="7" ref="I59:I70">SUM(G59:H59)</f>
        <v>0</v>
      </c>
      <c r="J59" s="240"/>
      <c r="K59" s="241"/>
      <c r="L59" s="238">
        <f aca="true" t="shared" si="8" ref="L59:L70">SUM(J59:K59)</f>
        <v>0</v>
      </c>
      <c r="M59" s="211">
        <f aca="true" t="shared" si="9" ref="M59:M70">SUM(L59,I59,F59)</f>
        <v>31853858</v>
      </c>
      <c r="P59" s="652"/>
    </row>
    <row r="60" spans="1:16" ht="23.25" customHeight="1">
      <c r="A60" s="215" t="s">
        <v>385</v>
      </c>
      <c r="B60" s="214" t="s">
        <v>767</v>
      </c>
      <c r="C60" s="969" t="s">
        <v>657</v>
      </c>
      <c r="D60" s="225">
        <f>128705693+3215520+562716-330000-57750-1461600-255780+216700+37923</f>
        <v>130633422</v>
      </c>
      <c r="E60" s="226"/>
      <c r="F60" s="207">
        <f t="shared" si="6"/>
        <v>130633422</v>
      </c>
      <c r="G60" s="232"/>
      <c r="H60" s="230"/>
      <c r="I60" s="207">
        <f t="shared" si="7"/>
        <v>0</v>
      </c>
      <c r="J60" s="219"/>
      <c r="K60" s="219"/>
      <c r="L60" s="207">
        <f t="shared" si="8"/>
        <v>0</v>
      </c>
      <c r="M60" s="211">
        <f t="shared" si="9"/>
        <v>130633422</v>
      </c>
      <c r="P60" s="652"/>
    </row>
    <row r="61" spans="1:16" ht="23.25" customHeight="1">
      <c r="A61" s="212" t="s">
        <v>386</v>
      </c>
      <c r="B61" s="214" t="s">
        <v>792</v>
      </c>
      <c r="C61" s="970"/>
      <c r="D61" s="225">
        <f>10508378+550024</f>
        <v>11058402</v>
      </c>
      <c r="E61" s="226">
        <f>309245+508000+1130000+507849</f>
        <v>2455094</v>
      </c>
      <c r="F61" s="207">
        <f t="shared" si="6"/>
        <v>13513496</v>
      </c>
      <c r="G61" s="232"/>
      <c r="H61" s="230"/>
      <c r="I61" s="207">
        <f t="shared" si="7"/>
        <v>0</v>
      </c>
      <c r="J61" s="219"/>
      <c r="K61" s="219"/>
      <c r="L61" s="207">
        <f t="shared" si="8"/>
        <v>0</v>
      </c>
      <c r="M61" s="211">
        <f t="shared" si="9"/>
        <v>13513496</v>
      </c>
      <c r="P61" s="652"/>
    </row>
    <row r="62" spans="1:16" ht="23.25" customHeight="1">
      <c r="A62" s="212" t="s">
        <v>387</v>
      </c>
      <c r="B62" s="214" t="s">
        <v>530</v>
      </c>
      <c r="C62" s="252" t="s">
        <v>556</v>
      </c>
      <c r="D62" s="225">
        <f>24097710+1249875+4222056+218728+4796826+91000+1125000-1245375+196875-217940</f>
        <v>34534755</v>
      </c>
      <c r="E62" s="226">
        <v>304800</v>
      </c>
      <c r="F62" s="207">
        <f t="shared" si="6"/>
        <v>34839555</v>
      </c>
      <c r="G62" s="232"/>
      <c r="H62" s="230"/>
      <c r="I62" s="207">
        <f t="shared" si="7"/>
        <v>0</v>
      </c>
      <c r="J62" s="219"/>
      <c r="K62" s="219"/>
      <c r="L62" s="207">
        <f t="shared" si="8"/>
        <v>0</v>
      </c>
      <c r="M62" s="211">
        <f t="shared" si="9"/>
        <v>34839555</v>
      </c>
      <c r="P62" s="652"/>
    </row>
    <row r="63" spans="1:16" ht="23.25" customHeight="1">
      <c r="A63" s="212" t="s">
        <v>388</v>
      </c>
      <c r="B63" s="214" t="s">
        <v>643</v>
      </c>
      <c r="C63" s="252" t="s">
        <v>663</v>
      </c>
      <c r="D63" s="225">
        <f>11177496+981000+1927326+171675+2955612+91000+1035000-976500+181125-170887</f>
        <v>17372847</v>
      </c>
      <c r="E63" s="226">
        <v>401320</v>
      </c>
      <c r="F63" s="207">
        <f t="shared" si="6"/>
        <v>17774167</v>
      </c>
      <c r="G63" s="232"/>
      <c r="H63" s="230"/>
      <c r="I63" s="207">
        <f t="shared" si="7"/>
        <v>0</v>
      </c>
      <c r="J63" s="219"/>
      <c r="K63" s="219"/>
      <c r="L63" s="207">
        <f t="shared" si="8"/>
        <v>0</v>
      </c>
      <c r="M63" s="211">
        <f t="shared" si="9"/>
        <v>17774167</v>
      </c>
      <c r="P63" s="652"/>
    </row>
    <row r="64" spans="1:16" ht="23.25" customHeight="1">
      <c r="A64" s="212" t="s">
        <v>389</v>
      </c>
      <c r="B64" s="214" t="s">
        <v>644</v>
      </c>
      <c r="C64" s="252" t="s">
        <v>664</v>
      </c>
      <c r="D64" s="227">
        <f>10053189+1759308+1190218+639450+111904</f>
        <v>13754069</v>
      </c>
      <c r="E64" s="226">
        <v>95250</v>
      </c>
      <c r="F64" s="207">
        <f t="shared" si="6"/>
        <v>13849319</v>
      </c>
      <c r="G64" s="227"/>
      <c r="H64" s="226"/>
      <c r="I64" s="207">
        <f t="shared" si="7"/>
        <v>0</v>
      </c>
      <c r="J64" s="219"/>
      <c r="K64" s="219"/>
      <c r="L64" s="207">
        <f t="shared" si="8"/>
        <v>0</v>
      </c>
      <c r="M64" s="211">
        <f t="shared" si="9"/>
        <v>13849319</v>
      </c>
      <c r="P64" s="652"/>
    </row>
    <row r="65" spans="1:16" ht="23.25" customHeight="1">
      <c r="A65" s="212" t="s">
        <v>390</v>
      </c>
      <c r="B65" s="214" t="s">
        <v>645</v>
      </c>
      <c r="C65" s="222" t="s">
        <v>661</v>
      </c>
      <c r="D65" s="227">
        <v>2677147</v>
      </c>
      <c r="E65" s="226"/>
      <c r="F65" s="207">
        <f t="shared" si="6"/>
        <v>2677147</v>
      </c>
      <c r="G65" s="227"/>
      <c r="H65" s="226"/>
      <c r="I65" s="207">
        <f t="shared" si="7"/>
        <v>0</v>
      </c>
      <c r="J65" s="219"/>
      <c r="K65" s="219"/>
      <c r="L65" s="207">
        <f t="shared" si="8"/>
        <v>0</v>
      </c>
      <c r="M65" s="211">
        <f t="shared" si="9"/>
        <v>2677147</v>
      </c>
      <c r="P65" s="652"/>
    </row>
    <row r="66" spans="1:16" ht="23.25" customHeight="1">
      <c r="A66" s="215" t="s">
        <v>391</v>
      </c>
      <c r="B66" s="239" t="s">
        <v>491</v>
      </c>
      <c r="C66" s="222" t="s">
        <v>665</v>
      </c>
      <c r="D66" s="614"/>
      <c r="E66" s="615"/>
      <c r="F66" s="207">
        <f t="shared" si="6"/>
        <v>0</v>
      </c>
      <c r="G66" s="561">
        <f>5287200+925260+1916238-781083-47925+348851</f>
        <v>7648541</v>
      </c>
      <c r="H66" s="615">
        <f>63500+47925</f>
        <v>111425</v>
      </c>
      <c r="I66" s="207">
        <f t="shared" si="7"/>
        <v>7759966</v>
      </c>
      <c r="J66" s="562"/>
      <c r="K66" s="562"/>
      <c r="L66" s="207">
        <f t="shared" si="8"/>
        <v>0</v>
      </c>
      <c r="M66" s="211">
        <f t="shared" si="9"/>
        <v>7759966</v>
      </c>
      <c r="P66" s="652"/>
    </row>
    <row r="67" spans="1:16" ht="23.25" customHeight="1">
      <c r="A67" s="215" t="s">
        <v>392</v>
      </c>
      <c r="B67" s="214" t="s">
        <v>993</v>
      </c>
      <c r="C67" s="222"/>
      <c r="D67" s="614"/>
      <c r="E67" s="615"/>
      <c r="F67" s="207">
        <f t="shared" si="6"/>
        <v>0</v>
      </c>
      <c r="G67" s="561">
        <v>1952578</v>
      </c>
      <c r="H67" s="615"/>
      <c r="I67" s="207">
        <f t="shared" si="7"/>
        <v>1952578</v>
      </c>
      <c r="J67" s="562"/>
      <c r="K67" s="562"/>
      <c r="L67" s="207"/>
      <c r="M67" s="211">
        <f t="shared" si="9"/>
        <v>1952578</v>
      </c>
      <c r="P67" s="652"/>
    </row>
    <row r="68" spans="1:16" ht="23.25" customHeight="1">
      <c r="A68" s="215" t="s">
        <v>393</v>
      </c>
      <c r="B68" s="214" t="s">
        <v>992</v>
      </c>
      <c r="C68" s="222"/>
      <c r="D68" s="614"/>
      <c r="E68" s="615"/>
      <c r="F68" s="207">
        <f t="shared" si="6"/>
        <v>0</v>
      </c>
      <c r="G68" s="561">
        <v>31954</v>
      </c>
      <c r="H68" s="615"/>
      <c r="I68" s="207">
        <f t="shared" si="7"/>
        <v>31954</v>
      </c>
      <c r="J68" s="562"/>
      <c r="K68" s="562"/>
      <c r="L68" s="207"/>
      <c r="M68" s="211">
        <f t="shared" si="9"/>
        <v>31954</v>
      </c>
      <c r="P68" s="652"/>
    </row>
    <row r="69" spans="1:16" ht="38.25" customHeight="1">
      <c r="A69" s="215" t="s">
        <v>394</v>
      </c>
      <c r="B69" s="214" t="s">
        <v>839</v>
      </c>
      <c r="C69" s="222"/>
      <c r="D69" s="614"/>
      <c r="E69" s="615"/>
      <c r="F69" s="207">
        <f t="shared" si="6"/>
        <v>0</v>
      </c>
      <c r="G69" s="561">
        <f>3600000+630000</f>
        <v>4230000</v>
      </c>
      <c r="H69" s="615"/>
      <c r="I69" s="207">
        <f t="shared" si="7"/>
        <v>4230000</v>
      </c>
      <c r="J69" s="562"/>
      <c r="K69" s="562"/>
      <c r="L69" s="207">
        <f t="shared" si="8"/>
        <v>0</v>
      </c>
      <c r="M69" s="211">
        <f t="shared" si="9"/>
        <v>4230000</v>
      </c>
      <c r="P69" s="652"/>
    </row>
    <row r="70" spans="1:16" ht="27" customHeight="1" thickBot="1">
      <c r="A70" s="616" t="s">
        <v>395</v>
      </c>
      <c r="B70" s="214" t="s">
        <v>840</v>
      </c>
      <c r="C70" s="222"/>
      <c r="D70" s="240"/>
      <c r="E70" s="241"/>
      <c r="F70" s="238">
        <f t="shared" si="6"/>
        <v>0</v>
      </c>
      <c r="G70" s="240">
        <f>6562063+1148361+50000+2756937+482464+2114762+10500000</f>
        <v>23614587</v>
      </c>
      <c r="H70" s="241"/>
      <c r="I70" s="238">
        <f t="shared" si="7"/>
        <v>23614587</v>
      </c>
      <c r="J70" s="240"/>
      <c r="K70" s="241"/>
      <c r="L70" s="238">
        <f t="shared" si="8"/>
        <v>0</v>
      </c>
      <c r="M70" s="211">
        <f t="shared" si="9"/>
        <v>23614587</v>
      </c>
      <c r="P70" s="652"/>
    </row>
    <row r="71" spans="1:16" s="657" customFormat="1" ht="27.75" customHeight="1" thickBot="1">
      <c r="A71" s="958" t="s">
        <v>705</v>
      </c>
      <c r="B71" s="959"/>
      <c r="C71" s="960"/>
      <c r="D71" s="653">
        <f aca="true" t="shared" si="10" ref="D71:M71">SUM(D59:D70)</f>
        <v>241884500</v>
      </c>
      <c r="E71" s="654">
        <f t="shared" si="10"/>
        <v>3256464</v>
      </c>
      <c r="F71" s="655">
        <f t="shared" si="10"/>
        <v>245140964</v>
      </c>
      <c r="G71" s="653">
        <f t="shared" si="10"/>
        <v>37477660</v>
      </c>
      <c r="H71" s="654">
        <f t="shared" si="10"/>
        <v>111425</v>
      </c>
      <c r="I71" s="655">
        <f t="shared" si="10"/>
        <v>37589085</v>
      </c>
      <c r="J71" s="653">
        <f t="shared" si="10"/>
        <v>0</v>
      </c>
      <c r="K71" s="654">
        <f t="shared" si="10"/>
        <v>0</v>
      </c>
      <c r="L71" s="655">
        <f t="shared" si="10"/>
        <v>0</v>
      </c>
      <c r="M71" s="656">
        <f t="shared" si="10"/>
        <v>282730049</v>
      </c>
      <c r="P71" s="658">
        <f>SUM(L71,I71,F71)</f>
        <v>282730049</v>
      </c>
    </row>
    <row r="72" spans="1:16" ht="32.25" customHeight="1">
      <c r="A72" s="212" t="s">
        <v>384</v>
      </c>
      <c r="B72" s="221" t="s">
        <v>490</v>
      </c>
      <c r="C72" s="213" t="s">
        <v>653</v>
      </c>
      <c r="D72" s="216">
        <f>1082115-800000</f>
        <v>282115</v>
      </c>
      <c r="E72" s="217">
        <v>800000</v>
      </c>
      <c r="F72" s="207">
        <f aca="true" t="shared" si="11" ref="F72:F77">SUM(D72:E72)</f>
        <v>1082115</v>
      </c>
      <c r="G72" s="218"/>
      <c r="H72" s="217"/>
      <c r="I72" s="207">
        <f aca="true" t="shared" si="12" ref="I72:I77">SUM(G72:H72)</f>
        <v>0</v>
      </c>
      <c r="J72" s="219"/>
      <c r="K72" s="220"/>
      <c r="L72" s="207">
        <f>SUM(J72:K72)</f>
        <v>0</v>
      </c>
      <c r="M72" s="211">
        <f>SUM(F72+I72+L72)</f>
        <v>1082115</v>
      </c>
      <c r="P72" s="652"/>
    </row>
    <row r="73" spans="1:16" ht="22.5" customHeight="1">
      <c r="A73" s="212" t="s">
        <v>385</v>
      </c>
      <c r="B73" s="229" t="s">
        <v>374</v>
      </c>
      <c r="C73" s="224" t="s">
        <v>653</v>
      </c>
      <c r="D73" s="216">
        <v>3583050</v>
      </c>
      <c r="E73" s="217"/>
      <c r="F73" s="207">
        <f t="shared" si="11"/>
        <v>3583050</v>
      </c>
      <c r="G73" s="218"/>
      <c r="H73" s="217"/>
      <c r="I73" s="207">
        <f t="shared" si="12"/>
        <v>0</v>
      </c>
      <c r="J73" s="219"/>
      <c r="K73" s="220"/>
      <c r="L73" s="207">
        <f>SUM(J73:K73)</f>
        <v>0</v>
      </c>
      <c r="M73" s="211">
        <f>SUM(F73+I73+L73)</f>
        <v>3583050</v>
      </c>
      <c r="P73" s="652"/>
    </row>
    <row r="74" spans="1:16" ht="33.75" customHeight="1">
      <c r="A74" s="212" t="s">
        <v>386</v>
      </c>
      <c r="B74" s="214" t="s">
        <v>79</v>
      </c>
      <c r="C74" s="228" t="s">
        <v>654</v>
      </c>
      <c r="D74" s="225">
        <f>11931088+2122958+14446890-317500+144779+300000+367133+2954117</f>
        <v>31949465</v>
      </c>
      <c r="E74" s="226">
        <f>304800-177800+578000+700000-578000</f>
        <v>827000</v>
      </c>
      <c r="F74" s="207">
        <f t="shared" si="11"/>
        <v>32776465</v>
      </c>
      <c r="G74" s="227"/>
      <c r="H74" s="226"/>
      <c r="I74" s="207">
        <f t="shared" si="12"/>
        <v>0</v>
      </c>
      <c r="J74" s="219"/>
      <c r="K74" s="220"/>
      <c r="L74" s="207">
        <f>SUM(J74:K74)</f>
        <v>0</v>
      </c>
      <c r="M74" s="211">
        <f>SUM(F74+I74+L74)</f>
        <v>32776465</v>
      </c>
      <c r="P74" s="652"/>
    </row>
    <row r="75" spans="1:16" ht="33.75" customHeight="1">
      <c r="A75" s="212" t="s">
        <v>387</v>
      </c>
      <c r="B75" s="214" t="s">
        <v>368</v>
      </c>
      <c r="C75" s="228"/>
      <c r="D75" s="225"/>
      <c r="E75" s="226"/>
      <c r="F75" s="207">
        <f t="shared" si="11"/>
        <v>0</v>
      </c>
      <c r="G75" s="227">
        <f>1980314+964502+7003586-775591-377745-2575544</f>
        <v>6219522</v>
      </c>
      <c r="H75" s="226"/>
      <c r="I75" s="207">
        <f t="shared" si="12"/>
        <v>6219522</v>
      </c>
      <c r="J75" s="219"/>
      <c r="K75" s="220"/>
      <c r="L75" s="207">
        <f>SUM(J75:K75)</f>
        <v>0</v>
      </c>
      <c r="M75" s="211">
        <f>SUM(F75+I75+L75)</f>
        <v>6219522</v>
      </c>
      <c r="P75" s="652"/>
    </row>
    <row r="76" spans="1:16" ht="23.25" customHeight="1">
      <c r="A76" s="215" t="s">
        <v>388</v>
      </c>
      <c r="B76" s="214" t="s">
        <v>993</v>
      </c>
      <c r="C76" s="222"/>
      <c r="D76" s="614"/>
      <c r="E76" s="615"/>
      <c r="F76" s="207">
        <f t="shared" si="11"/>
        <v>0</v>
      </c>
      <c r="G76" s="561">
        <v>278932</v>
      </c>
      <c r="H76" s="615"/>
      <c r="I76" s="207">
        <f t="shared" si="12"/>
        <v>278932</v>
      </c>
      <c r="J76" s="562"/>
      <c r="K76" s="562"/>
      <c r="L76" s="207"/>
      <c r="M76" s="211">
        <f>SUM(L76,I76,F76)</f>
        <v>278932</v>
      </c>
      <c r="P76" s="652"/>
    </row>
    <row r="77" spans="1:16" ht="33.75" customHeight="1" thickBot="1">
      <c r="A77" s="212" t="s">
        <v>389</v>
      </c>
      <c r="B77" s="214" t="s">
        <v>816</v>
      </c>
      <c r="C77" s="228"/>
      <c r="D77" s="225"/>
      <c r="E77" s="226"/>
      <c r="F77" s="207">
        <f t="shared" si="11"/>
        <v>0</v>
      </c>
      <c r="G77" s="227">
        <f>1800000+315000+3527681+13166-13166+1000000+175000-1175000</f>
        <v>5642681</v>
      </c>
      <c r="H77" s="226"/>
      <c r="I77" s="207">
        <f t="shared" si="12"/>
        <v>5642681</v>
      </c>
      <c r="J77" s="219"/>
      <c r="K77" s="220"/>
      <c r="L77" s="207">
        <f>SUM(J77:K77)</f>
        <v>0</v>
      </c>
      <c r="M77" s="211">
        <f>SUM(F77+I77+L77)</f>
        <v>5642681</v>
      </c>
      <c r="P77" s="652"/>
    </row>
    <row r="78" spans="1:16" s="657" customFormat="1" ht="27.75" customHeight="1" thickBot="1">
      <c r="A78" s="958" t="s">
        <v>716</v>
      </c>
      <c r="B78" s="959"/>
      <c r="C78" s="960"/>
      <c r="D78" s="653">
        <f>SUM(D72:D77)</f>
        <v>35814630</v>
      </c>
      <c r="E78" s="654">
        <f aca="true" t="shared" si="13" ref="E78:K78">SUM(E72:E77)</f>
        <v>1627000</v>
      </c>
      <c r="F78" s="655">
        <f t="shared" si="13"/>
        <v>37441630</v>
      </c>
      <c r="G78" s="653">
        <f t="shared" si="13"/>
        <v>12141135</v>
      </c>
      <c r="H78" s="654">
        <f t="shared" si="13"/>
        <v>0</v>
      </c>
      <c r="I78" s="655">
        <f t="shared" si="13"/>
        <v>12141135</v>
      </c>
      <c r="J78" s="653">
        <f t="shared" si="13"/>
        <v>0</v>
      </c>
      <c r="K78" s="654">
        <f t="shared" si="13"/>
        <v>0</v>
      </c>
      <c r="L78" s="655">
        <f>SUM(L72:L77)</f>
        <v>0</v>
      </c>
      <c r="M78" s="656">
        <f>SUM(M72:M77)</f>
        <v>49582765</v>
      </c>
      <c r="P78" s="658">
        <f>SUM(L78,I78,F78)</f>
        <v>49582765</v>
      </c>
    </row>
    <row r="79" spans="1:16" s="187" customFormat="1" ht="16.5" thickBot="1">
      <c r="A79" s="952" t="s">
        <v>457</v>
      </c>
      <c r="B79" s="953"/>
      <c r="C79" s="954"/>
      <c r="D79" s="242">
        <f aca="true" t="shared" si="14" ref="D79:M79">D54+D58+D71+D78</f>
        <v>1061925348</v>
      </c>
      <c r="E79" s="242">
        <f t="shared" si="14"/>
        <v>304081421</v>
      </c>
      <c r="F79" s="556">
        <f t="shared" si="14"/>
        <v>1366006769</v>
      </c>
      <c r="G79" s="242">
        <f t="shared" si="14"/>
        <v>305452351</v>
      </c>
      <c r="H79" s="242">
        <f t="shared" si="14"/>
        <v>656030646</v>
      </c>
      <c r="I79" s="243">
        <f t="shared" si="14"/>
        <v>961482997</v>
      </c>
      <c r="J79" s="434">
        <f t="shared" si="14"/>
        <v>12311385</v>
      </c>
      <c r="K79" s="557">
        <f t="shared" si="14"/>
        <v>0</v>
      </c>
      <c r="L79" s="558">
        <f t="shared" si="14"/>
        <v>12311385</v>
      </c>
      <c r="M79" s="244">
        <f t="shared" si="14"/>
        <v>2339801151</v>
      </c>
      <c r="P79" s="652">
        <f>SUM(L79,I79,F79)</f>
        <v>2339801151</v>
      </c>
    </row>
    <row r="81" spans="1:2" ht="12.75">
      <c r="A81" s="123" t="s">
        <v>458</v>
      </c>
      <c r="B81" s="123" t="s">
        <v>459</v>
      </c>
    </row>
    <row r="82" spans="1:2" ht="12.75">
      <c r="A82" s="123" t="s">
        <v>460</v>
      </c>
      <c r="B82" s="123" t="s">
        <v>461</v>
      </c>
    </row>
    <row r="83" spans="1:2" ht="12.75">
      <c r="A83" s="123" t="s">
        <v>462</v>
      </c>
      <c r="B83" s="123" t="s">
        <v>463</v>
      </c>
    </row>
    <row r="84" spans="1:2" ht="12.75">
      <c r="A84" s="123" t="s">
        <v>464</v>
      </c>
      <c r="B84" s="123" t="s">
        <v>465</v>
      </c>
    </row>
    <row r="85" spans="1:2" ht="12.75">
      <c r="A85" s="123" t="s">
        <v>703</v>
      </c>
      <c r="B85" s="123" t="s">
        <v>704</v>
      </c>
    </row>
    <row r="86" spans="1:2" ht="12.75">
      <c r="A86" s="123" t="s">
        <v>555</v>
      </c>
      <c r="B86" s="123" t="s">
        <v>554</v>
      </c>
    </row>
  </sheetData>
  <sheetProtection/>
  <mergeCells count="16">
    <mergeCell ref="A79:C79"/>
    <mergeCell ref="A58:C58"/>
    <mergeCell ref="D6:F7"/>
    <mergeCell ref="A71:C71"/>
    <mergeCell ref="B5:B8"/>
    <mergeCell ref="A5:A8"/>
    <mergeCell ref="C5:M5"/>
    <mergeCell ref="A54:C54"/>
    <mergeCell ref="A78:C78"/>
    <mergeCell ref="C60:C61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9" r:id="rId1"/>
  <rowBreaks count="2" manualBreakCount="2">
    <brk id="32" max="12" man="1"/>
    <brk id="5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91"/>
  <sheetViews>
    <sheetView zoomScalePageLayoutView="0" workbookViewId="0" topLeftCell="S1">
      <pane ySplit="7" topLeftCell="A55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23" customWidth="1"/>
    <col min="3" max="3" width="19.125" style="123" customWidth="1"/>
    <col min="4" max="6" width="18.00390625" style="123" bestFit="1" customWidth="1"/>
    <col min="7" max="7" width="12.625" style="123" customWidth="1"/>
    <col min="8" max="8" width="18.875" style="123" customWidth="1"/>
    <col min="9" max="9" width="9.25390625" style="123" bestFit="1" customWidth="1"/>
    <col min="10" max="10" width="11.375" style="123" bestFit="1" customWidth="1"/>
    <col min="11" max="11" width="19.25390625" style="123" customWidth="1"/>
    <col min="12" max="12" width="9.75390625" style="123" customWidth="1"/>
    <col min="13" max="13" width="9.125" style="123" customWidth="1"/>
    <col min="14" max="14" width="12.625" style="123" customWidth="1"/>
    <col min="15" max="15" width="8.125" style="123" customWidth="1"/>
    <col min="16" max="16" width="10.375" style="123" bestFit="1" customWidth="1"/>
    <col min="17" max="17" width="14.00390625" style="123" bestFit="1" customWidth="1"/>
    <col min="18" max="20" width="9.125" style="123" customWidth="1"/>
    <col min="21" max="21" width="9.875" style="123" customWidth="1"/>
    <col min="22" max="22" width="13.125" style="123" customWidth="1"/>
    <col min="23" max="23" width="16.625" style="123" bestFit="1" customWidth="1"/>
    <col min="24" max="24" width="18.00390625" style="253" bestFit="1" customWidth="1"/>
    <col min="25" max="25" width="18.25390625" style="253" customWidth="1"/>
    <col min="26" max="26" width="18.75390625" style="253" customWidth="1"/>
    <col min="27" max="27" width="19.75390625" style="253" bestFit="1" customWidth="1"/>
    <col min="28" max="28" width="17.375" style="253" bestFit="1" customWidth="1"/>
    <col min="29" max="29" width="19.75390625" style="253" bestFit="1" customWidth="1"/>
    <col min="30" max="223" width="9.125" style="253" customWidth="1"/>
    <col min="224" max="16384" width="9.125" style="123" customWidth="1"/>
  </cols>
  <sheetData>
    <row r="1" spans="1:28" ht="15">
      <c r="A1" s="189"/>
      <c r="B1" s="190"/>
      <c r="C1" s="191"/>
      <c r="H1" s="190"/>
      <c r="I1" s="190"/>
      <c r="J1" s="190"/>
      <c r="K1" s="192"/>
      <c r="L1" s="192"/>
      <c r="M1" s="192"/>
      <c r="N1" s="190"/>
      <c r="T1" s="1114" t="s">
        <v>1024</v>
      </c>
      <c r="U1" s="1115"/>
      <c r="V1" s="1115"/>
      <c r="W1" s="1115"/>
      <c r="X1" s="1116"/>
      <c r="Y1" s="1116"/>
      <c r="Z1" s="1116"/>
      <c r="AA1" s="1116"/>
      <c r="AB1" s="1116"/>
    </row>
    <row r="2" spans="1:14" ht="12.75">
      <c r="A2" s="189"/>
      <c r="B2" s="190"/>
      <c r="C2" s="191"/>
      <c r="D2" s="193"/>
      <c r="E2" s="194"/>
      <c r="F2" s="194"/>
      <c r="G2" s="194"/>
      <c r="H2" s="190"/>
      <c r="I2" s="190"/>
      <c r="J2" s="190"/>
      <c r="K2" s="192"/>
      <c r="L2" s="192"/>
      <c r="M2" s="192"/>
      <c r="N2" s="190"/>
    </row>
    <row r="3" spans="1:29" ht="15.75" customHeight="1">
      <c r="A3" s="1118" t="s">
        <v>817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1118"/>
      <c r="R3" s="1118"/>
      <c r="S3" s="1118"/>
      <c r="T3" s="1118"/>
      <c r="U3" s="1118"/>
      <c r="V3" s="1118"/>
      <c r="W3" s="1118"/>
      <c r="X3" s="1118"/>
      <c r="Y3" s="1118"/>
      <c r="Z3" s="1118"/>
      <c r="AA3" s="1118"/>
      <c r="AB3" s="1118"/>
      <c r="AC3" s="1118"/>
    </row>
    <row r="4" spans="1:29" ht="15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</row>
    <row r="5" spans="1:29" ht="13.5" customHeight="1" thickBo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</row>
    <row r="6" spans="1:223" s="254" customFormat="1" ht="15" customHeight="1" thickBot="1" thickTop="1">
      <c r="A6" s="1070" t="s">
        <v>86</v>
      </c>
      <c r="B6" s="1071"/>
      <c r="C6" s="1071"/>
      <c r="D6" s="1016" t="s">
        <v>354</v>
      </c>
      <c r="E6" s="989"/>
      <c r="F6" s="1017"/>
      <c r="G6" s="988" t="s">
        <v>466</v>
      </c>
      <c r="H6" s="1106"/>
      <c r="I6" s="1106"/>
      <c r="J6" s="1106"/>
      <c r="K6" s="1107"/>
      <c r="L6" s="996" t="s">
        <v>467</v>
      </c>
      <c r="M6" s="1033"/>
      <c r="N6" s="1033"/>
      <c r="O6" s="1033"/>
      <c r="P6" s="1033"/>
      <c r="Q6" s="1034"/>
      <c r="R6" s="996" t="s">
        <v>468</v>
      </c>
      <c r="S6" s="1033"/>
      <c r="T6" s="1033"/>
      <c r="U6" s="1033"/>
      <c r="V6" s="1033"/>
      <c r="W6" s="1033"/>
      <c r="X6" s="1117" t="s">
        <v>469</v>
      </c>
      <c r="Y6" s="984"/>
      <c r="Z6" s="984"/>
      <c r="AA6" s="978" t="s">
        <v>87</v>
      </c>
      <c r="AB6" s="979"/>
      <c r="AC6" s="980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</row>
    <row r="7" spans="1:29" s="253" customFormat="1" ht="16.5" customHeight="1" thickBot="1">
      <c r="A7" s="1072"/>
      <c r="B7" s="1073"/>
      <c r="C7" s="1073"/>
      <c r="D7" s="401" t="s">
        <v>88</v>
      </c>
      <c r="E7" s="607" t="s">
        <v>85</v>
      </c>
      <c r="F7" s="256" t="s">
        <v>89</v>
      </c>
      <c r="G7" s="1108"/>
      <c r="H7" s="1109"/>
      <c r="I7" s="1109"/>
      <c r="J7" s="1109"/>
      <c r="K7" s="1110"/>
      <c r="L7" s="1035"/>
      <c r="M7" s="1036"/>
      <c r="N7" s="1036"/>
      <c r="O7" s="1036"/>
      <c r="P7" s="1036"/>
      <c r="Q7" s="1037"/>
      <c r="R7" s="1035"/>
      <c r="S7" s="1036"/>
      <c r="T7" s="1036"/>
      <c r="U7" s="1036"/>
      <c r="V7" s="1036"/>
      <c r="W7" s="1036"/>
      <c r="X7" s="255" t="s">
        <v>88</v>
      </c>
      <c r="Y7" s="401" t="s">
        <v>85</v>
      </c>
      <c r="Z7" s="594" t="s">
        <v>89</v>
      </c>
      <c r="AA7" s="255" t="s">
        <v>88</v>
      </c>
      <c r="AB7" s="401" t="s">
        <v>85</v>
      </c>
      <c r="AC7" s="256" t="s">
        <v>89</v>
      </c>
    </row>
    <row r="8" spans="1:29" s="271" customFormat="1" ht="26.25" customHeight="1">
      <c r="A8" s="257"/>
      <c r="B8" s="258"/>
      <c r="C8" s="259"/>
      <c r="D8" s="260"/>
      <c r="E8" s="258"/>
      <c r="F8" s="261"/>
      <c r="G8" s="1043" t="s">
        <v>470</v>
      </c>
      <c r="H8" s="999"/>
      <c r="I8" s="999"/>
      <c r="J8" s="428">
        <f>186857281-119812800+1038000+426173+10068391+848820-11343384</f>
        <v>68082481</v>
      </c>
      <c r="K8" s="971">
        <f>SUM(J8:J17)</f>
        <v>176515151</v>
      </c>
      <c r="L8" s="1113"/>
      <c r="M8" s="987"/>
      <c r="N8" s="987"/>
      <c r="O8" s="987"/>
      <c r="P8" s="263"/>
      <c r="Q8" s="1111">
        <f>SUM(P8:P17)</f>
        <v>94509494</v>
      </c>
      <c r="R8" s="1008" t="s">
        <v>224</v>
      </c>
      <c r="S8" s="1009"/>
      <c r="T8" s="1009"/>
      <c r="U8" s="1009"/>
      <c r="V8" s="428">
        <f>261700000-10269500-11730500</f>
        <v>239700000</v>
      </c>
      <c r="W8" s="1085">
        <f>SUM(V8:V17)</f>
        <v>416402809</v>
      </c>
      <c r="X8" s="265"/>
      <c r="Y8" s="266"/>
      <c r="Z8" s="267"/>
      <c r="AA8" s="268"/>
      <c r="AB8" s="269"/>
      <c r="AC8" s="270"/>
    </row>
    <row r="9" spans="1:29" s="271" customFormat="1" ht="27" customHeight="1">
      <c r="A9" s="257"/>
      <c r="B9" s="258"/>
      <c r="C9" s="260"/>
      <c r="D9" s="260"/>
      <c r="E9" s="258"/>
      <c r="F9" s="261"/>
      <c r="G9" s="981" t="s">
        <v>558</v>
      </c>
      <c r="H9" s="982"/>
      <c r="I9" s="982"/>
      <c r="J9" s="428">
        <v>1723560</v>
      </c>
      <c r="K9" s="995"/>
      <c r="L9" s="1025" t="s">
        <v>471</v>
      </c>
      <c r="M9" s="977"/>
      <c r="N9" s="977"/>
      <c r="O9" s="977"/>
      <c r="P9" s="428">
        <v>4572392</v>
      </c>
      <c r="Q9" s="1112"/>
      <c r="R9" s="1008" t="s">
        <v>107</v>
      </c>
      <c r="S9" s="1009"/>
      <c r="T9" s="1009"/>
      <c r="U9" s="1009"/>
      <c r="V9" s="428">
        <f>10142978+129870</f>
        <v>10272848</v>
      </c>
      <c r="W9" s="1086"/>
      <c r="X9" s="272"/>
      <c r="Y9" s="266"/>
      <c r="Z9" s="273"/>
      <c r="AA9" s="257"/>
      <c r="AB9" s="274"/>
      <c r="AC9" s="275"/>
    </row>
    <row r="10" spans="1:29" s="271" customFormat="1" ht="24.75" customHeight="1">
      <c r="A10" s="276"/>
      <c r="B10" s="277"/>
      <c r="C10" s="278" t="s">
        <v>445</v>
      </c>
      <c r="D10" s="279">
        <f>SUM('6. kiadások megbontása'!D54)</f>
        <v>647510695</v>
      </c>
      <c r="E10" s="280">
        <f>SUM('6. kiadások megbontása'!E54)</f>
        <v>297263367</v>
      </c>
      <c r="F10" s="281">
        <f>SUM(D10:E10)</f>
        <v>944774062</v>
      </c>
      <c r="G10" s="981" t="s">
        <v>674</v>
      </c>
      <c r="H10" s="982"/>
      <c r="I10" s="982"/>
      <c r="J10" s="635">
        <v>49781200</v>
      </c>
      <c r="K10" s="995"/>
      <c r="L10" s="1025" t="s">
        <v>822</v>
      </c>
      <c r="M10" s="977"/>
      <c r="N10" s="977"/>
      <c r="O10" s="977"/>
      <c r="P10" s="428">
        <v>29559000</v>
      </c>
      <c r="Q10" s="1112"/>
      <c r="R10" s="609" t="s">
        <v>708</v>
      </c>
      <c r="S10" s="612"/>
      <c r="T10" s="612"/>
      <c r="U10" s="612"/>
      <c r="V10" s="428">
        <v>80000</v>
      </c>
      <c r="W10" s="1086"/>
      <c r="X10" s="282"/>
      <c r="Y10" s="283"/>
      <c r="Z10" s="273"/>
      <c r="AA10" s="284"/>
      <c r="AB10" s="285"/>
      <c r="AC10" s="286"/>
    </row>
    <row r="11" spans="1:29" s="271" customFormat="1" ht="16.5" customHeight="1">
      <c r="A11" s="287"/>
      <c r="B11" s="288"/>
      <c r="C11" s="289"/>
      <c r="D11" s="289"/>
      <c r="E11" s="258"/>
      <c r="F11" s="261"/>
      <c r="G11" s="1030" t="s">
        <v>492</v>
      </c>
      <c r="H11" s="1030"/>
      <c r="I11" s="1030"/>
      <c r="J11" s="428">
        <v>48822917</v>
      </c>
      <c r="K11" s="995"/>
      <c r="L11" s="609" t="s">
        <v>769</v>
      </c>
      <c r="M11" s="610"/>
      <c r="N11" s="610"/>
      <c r="O11" s="610"/>
      <c r="P11" s="428">
        <f>4016545+16490993-2702314</f>
        <v>17805224</v>
      </c>
      <c r="Q11" s="1112"/>
      <c r="R11" s="609" t="s">
        <v>265</v>
      </c>
      <c r="S11" s="612"/>
      <c r="T11" s="612"/>
      <c r="U11" s="612"/>
      <c r="V11" s="428">
        <f>731000+15000</f>
        <v>746000</v>
      </c>
      <c r="W11" s="1086"/>
      <c r="X11" s="282"/>
      <c r="Y11" s="283"/>
      <c r="Z11" s="273"/>
      <c r="AA11" s="284"/>
      <c r="AB11" s="285"/>
      <c r="AC11" s="286"/>
    </row>
    <row r="12" spans="1:29" s="271" customFormat="1" ht="24.75" customHeight="1">
      <c r="A12" s="287"/>
      <c r="B12" s="288"/>
      <c r="C12" s="289"/>
      <c r="D12" s="289"/>
      <c r="E12" s="258"/>
      <c r="F12" s="261"/>
      <c r="G12" s="981" t="s">
        <v>895</v>
      </c>
      <c r="H12" s="982"/>
      <c r="I12" s="982"/>
      <c r="J12" s="262">
        <f>2232+6600+1155</f>
        <v>9987</v>
      </c>
      <c r="K12" s="995"/>
      <c r="L12" s="1008" t="s">
        <v>770</v>
      </c>
      <c r="M12" s="1009"/>
      <c r="N12" s="1009"/>
      <c r="O12" s="1009"/>
      <c r="P12" s="425">
        <f>13227888+26537427-8864634+5586997</f>
        <v>36487678</v>
      </c>
      <c r="Q12" s="1112"/>
      <c r="R12" s="609" t="s">
        <v>671</v>
      </c>
      <c r="S12" s="612"/>
      <c r="T12" s="612"/>
      <c r="U12" s="612"/>
      <c r="V12" s="428">
        <f>2666578+556176+599440</f>
        <v>3822194</v>
      </c>
      <c r="W12" s="1086"/>
      <c r="X12" s="282"/>
      <c r="Y12" s="283"/>
      <c r="Z12" s="273"/>
      <c r="AA12" s="284"/>
      <c r="AB12" s="285"/>
      <c r="AC12" s="286"/>
    </row>
    <row r="13" spans="1:29" s="271" customFormat="1" ht="15.75" customHeight="1">
      <c r="A13" s="287"/>
      <c r="B13" s="288"/>
      <c r="C13" s="289"/>
      <c r="D13" s="289"/>
      <c r="E13" s="258"/>
      <c r="F13" s="261"/>
      <c r="G13" s="1030" t="s">
        <v>975</v>
      </c>
      <c r="H13" s="1030"/>
      <c r="I13" s="1030"/>
      <c r="J13" s="262">
        <v>8095006</v>
      </c>
      <c r="K13" s="995"/>
      <c r="L13" s="1025" t="s">
        <v>915</v>
      </c>
      <c r="M13" s="977"/>
      <c r="N13" s="977"/>
      <c r="O13" s="977"/>
      <c r="P13" s="1002">
        <v>2626200</v>
      </c>
      <c r="Q13" s="1112"/>
      <c r="R13" s="609" t="s">
        <v>974</v>
      </c>
      <c r="S13" s="610"/>
      <c r="T13" s="610"/>
      <c r="U13" s="610"/>
      <c r="V13" s="574">
        <f>7524890+12898200+635625</f>
        <v>21058715</v>
      </c>
      <c r="W13" s="1086"/>
      <c r="X13" s="282"/>
      <c r="Y13" s="283"/>
      <c r="Z13" s="273"/>
      <c r="AA13" s="284"/>
      <c r="AB13" s="285"/>
      <c r="AC13" s="286"/>
    </row>
    <row r="14" spans="1:29" s="271" customFormat="1" ht="15.75" customHeight="1">
      <c r="A14" s="287"/>
      <c r="B14" s="288"/>
      <c r="C14" s="289"/>
      <c r="D14" s="289"/>
      <c r="E14" s="258"/>
      <c r="F14" s="261"/>
      <c r="G14" s="264"/>
      <c r="H14" s="264"/>
      <c r="I14" s="264"/>
      <c r="J14" s="262"/>
      <c r="K14" s="995"/>
      <c r="L14" s="1025"/>
      <c r="M14" s="977"/>
      <c r="N14" s="977"/>
      <c r="O14" s="977"/>
      <c r="P14" s="1002"/>
      <c r="Q14" s="1112"/>
      <c r="R14" s="1008" t="s">
        <v>821</v>
      </c>
      <c r="S14" s="1009"/>
      <c r="T14" s="1009"/>
      <c r="U14" s="1009"/>
      <c r="V14" s="574">
        <v>635000</v>
      </c>
      <c r="W14" s="1086"/>
      <c r="X14" s="282"/>
      <c r="Y14" s="283"/>
      <c r="Z14" s="273"/>
      <c r="AA14" s="284"/>
      <c r="AB14" s="285"/>
      <c r="AC14" s="286"/>
    </row>
    <row r="15" spans="1:29" s="271" customFormat="1" ht="16.5" customHeight="1">
      <c r="A15" s="287"/>
      <c r="B15" s="288"/>
      <c r="C15" s="289"/>
      <c r="D15" s="289"/>
      <c r="E15" s="258"/>
      <c r="F15" s="290"/>
      <c r="G15" s="1030"/>
      <c r="H15" s="1030"/>
      <c r="I15" s="1030"/>
      <c r="J15" s="262"/>
      <c r="K15" s="995"/>
      <c r="L15" s="1119" t="s">
        <v>977</v>
      </c>
      <c r="M15" s="1030"/>
      <c r="N15" s="1030"/>
      <c r="O15" s="1030"/>
      <c r="P15" s="428">
        <v>571500</v>
      </c>
      <c r="Q15" s="1112"/>
      <c r="R15" s="1008" t="s">
        <v>672</v>
      </c>
      <c r="S15" s="1009"/>
      <c r="T15" s="1009"/>
      <c r="U15" s="1009"/>
      <c r="V15" s="574">
        <v>500</v>
      </c>
      <c r="W15" s="1086"/>
      <c r="X15" s="292">
        <f>SUM(W8,Q8,K8)</f>
        <v>687427454</v>
      </c>
      <c r="Y15" s="293">
        <f>SUM(W18+Q18+K18)</f>
        <v>330528057</v>
      </c>
      <c r="Z15" s="294">
        <f>SUM(Y15,X15)</f>
        <v>1017955511</v>
      </c>
      <c r="AA15" s="292">
        <f>X15-D10</f>
        <v>39916759</v>
      </c>
      <c r="AB15" s="293">
        <f>Y15-E10</f>
        <v>33264690</v>
      </c>
      <c r="AC15" s="295">
        <f>SUM(AA15:AB15)</f>
        <v>73181449</v>
      </c>
    </row>
    <row r="16" spans="1:29" s="253" customFormat="1" ht="17.25" customHeight="1">
      <c r="A16" s="296"/>
      <c r="B16" s="297"/>
      <c r="C16" s="298"/>
      <c r="D16" s="298"/>
      <c r="E16" s="299"/>
      <c r="F16" s="300"/>
      <c r="G16" s="981"/>
      <c r="H16" s="982"/>
      <c r="I16" s="982"/>
      <c r="J16" s="262"/>
      <c r="K16" s="995"/>
      <c r="L16" s="1119" t="s">
        <v>978</v>
      </c>
      <c r="M16" s="1030"/>
      <c r="N16" s="1030"/>
      <c r="O16" s="1030"/>
      <c r="P16" s="428">
        <v>2887500</v>
      </c>
      <c r="Q16" s="1112"/>
      <c r="R16" s="1008" t="s">
        <v>673</v>
      </c>
      <c r="S16" s="1009"/>
      <c r="T16" s="1009"/>
      <c r="U16" s="1009"/>
      <c r="V16" s="574">
        <f>39431147+100281405</f>
        <v>139712552</v>
      </c>
      <c r="W16" s="1086"/>
      <c r="X16" s="282"/>
      <c r="Y16" s="283"/>
      <c r="Z16" s="273"/>
      <c r="AA16" s="284"/>
      <c r="AB16" s="285"/>
      <c r="AC16" s="286"/>
    </row>
    <row r="17" spans="1:29" s="253" customFormat="1" ht="16.5" customHeight="1" thickBot="1">
      <c r="A17" s="296"/>
      <c r="B17" s="297"/>
      <c r="C17" s="298"/>
      <c r="D17" s="298"/>
      <c r="E17" s="299"/>
      <c r="F17" s="300"/>
      <c r="G17" s="981"/>
      <c r="H17" s="982"/>
      <c r="I17" s="982"/>
      <c r="J17" s="262"/>
      <c r="K17" s="995"/>
      <c r="L17" s="1000"/>
      <c r="M17" s="982"/>
      <c r="N17" s="982"/>
      <c r="O17" s="982"/>
      <c r="P17" s="262"/>
      <c r="Q17" s="1112"/>
      <c r="R17" s="1008" t="s">
        <v>911</v>
      </c>
      <c r="S17" s="1009"/>
      <c r="T17" s="1009"/>
      <c r="U17" s="1009"/>
      <c r="V17" s="635">
        <v>375000</v>
      </c>
      <c r="W17" s="1086"/>
      <c r="X17" s="282"/>
      <c r="Y17" s="283"/>
      <c r="Z17" s="273"/>
      <c r="AA17" s="284"/>
      <c r="AB17" s="285"/>
      <c r="AC17" s="286"/>
    </row>
    <row r="18" spans="1:29" s="253" customFormat="1" ht="15" customHeight="1">
      <c r="A18" s="296"/>
      <c r="B18" s="297"/>
      <c r="C18" s="298"/>
      <c r="D18" s="298"/>
      <c r="E18" s="299"/>
      <c r="F18" s="300"/>
      <c r="G18" s="304"/>
      <c r="H18" s="305"/>
      <c r="I18" s="305"/>
      <c r="J18" s="306"/>
      <c r="K18" s="971"/>
      <c r="L18" s="1102" t="s">
        <v>893</v>
      </c>
      <c r="M18" s="1103"/>
      <c r="N18" s="1103"/>
      <c r="O18" s="1103"/>
      <c r="P18" s="571">
        <v>74295</v>
      </c>
      <c r="Q18" s="985">
        <f>SUM(P18:P20)</f>
        <v>532255</v>
      </c>
      <c r="R18" s="1102" t="s">
        <v>90</v>
      </c>
      <c r="S18" s="1103"/>
      <c r="T18" s="1103"/>
      <c r="U18" s="1103"/>
      <c r="V18" s="429">
        <f>44406964+1500000+1000000+11730500-1038000-510500-7422766</f>
        <v>49666198</v>
      </c>
      <c r="W18" s="1085">
        <f>SUM(V18:V20)</f>
        <v>329995802</v>
      </c>
      <c r="X18" s="282"/>
      <c r="Y18" s="283"/>
      <c r="Z18" s="273"/>
      <c r="AA18" s="284"/>
      <c r="AB18" s="285"/>
      <c r="AC18" s="286"/>
    </row>
    <row r="19" spans="1:29" s="253" customFormat="1" ht="15.75" customHeight="1">
      <c r="A19" s="296"/>
      <c r="B19" s="297"/>
      <c r="C19" s="298"/>
      <c r="D19" s="298"/>
      <c r="E19" s="299"/>
      <c r="F19" s="300"/>
      <c r="G19" s="302"/>
      <c r="H19" s="303"/>
      <c r="I19" s="303"/>
      <c r="J19" s="308"/>
      <c r="K19" s="995"/>
      <c r="L19" s="609" t="s">
        <v>894</v>
      </c>
      <c r="M19" s="610"/>
      <c r="N19" s="610"/>
      <c r="O19" s="610"/>
      <c r="P19" s="425">
        <v>190500</v>
      </c>
      <c r="Q19" s="972"/>
      <c r="R19" s="609"/>
      <c r="S19" s="610"/>
      <c r="T19" s="610"/>
      <c r="U19" s="610"/>
      <c r="V19" s="427"/>
      <c r="W19" s="1086"/>
      <c r="X19" s="282"/>
      <c r="Y19" s="283"/>
      <c r="Z19" s="273"/>
      <c r="AA19" s="284"/>
      <c r="AB19" s="285"/>
      <c r="AC19" s="286"/>
    </row>
    <row r="20" spans="1:29" s="253" customFormat="1" ht="18.75" customHeight="1" thickBot="1">
      <c r="A20" s="296"/>
      <c r="B20" s="297"/>
      <c r="C20" s="298"/>
      <c r="D20" s="298"/>
      <c r="E20" s="299"/>
      <c r="F20" s="300"/>
      <c r="G20" s="302"/>
      <c r="H20" s="303"/>
      <c r="I20" s="303"/>
      <c r="J20" s="308"/>
      <c r="K20" s="995"/>
      <c r="L20" s="1119" t="s">
        <v>818</v>
      </c>
      <c r="M20" s="1030"/>
      <c r="N20" s="1030"/>
      <c r="O20" s="1030"/>
      <c r="P20" s="291">
        <v>267460</v>
      </c>
      <c r="Q20" s="972"/>
      <c r="R20" s="1025" t="s">
        <v>668</v>
      </c>
      <c r="S20" s="977"/>
      <c r="T20" s="977"/>
      <c r="U20" s="977"/>
      <c r="V20" s="427">
        <f>257341321+22988283</f>
        <v>280329604</v>
      </c>
      <c r="W20" s="1086"/>
      <c r="X20" s="282"/>
      <c r="Y20" s="283"/>
      <c r="Z20" s="273"/>
      <c r="AA20" s="284"/>
      <c r="AB20" s="285"/>
      <c r="AC20" s="286"/>
    </row>
    <row r="21" spans="1:29" s="253" customFormat="1" ht="18" customHeight="1" thickTop="1">
      <c r="A21" s="432"/>
      <c r="B21" s="309"/>
      <c r="C21" s="310"/>
      <c r="D21" s="310"/>
      <c r="E21" s="311"/>
      <c r="F21" s="312"/>
      <c r="G21" s="1093"/>
      <c r="H21" s="1094"/>
      <c r="I21" s="1094"/>
      <c r="J21" s="433"/>
      <c r="K21" s="1097">
        <f>SUM(J21:J22)</f>
        <v>0</v>
      </c>
      <c r="L21" s="1091" t="s">
        <v>472</v>
      </c>
      <c r="M21" s="1092"/>
      <c r="N21" s="1092"/>
      <c r="O21" s="1092"/>
      <c r="P21" s="572"/>
      <c r="Q21" s="1097">
        <f>SUM(P21:P22)</f>
        <v>0</v>
      </c>
      <c r="R21" s="314"/>
      <c r="S21" s="315"/>
      <c r="T21" s="315"/>
      <c r="U21" s="315"/>
      <c r="V21" s="316"/>
      <c r="W21" s="317"/>
      <c r="X21" s="318"/>
      <c r="Y21" s="319"/>
      <c r="Z21" s="320"/>
      <c r="AA21" s="321"/>
      <c r="AB21" s="322"/>
      <c r="AC21" s="323"/>
    </row>
    <row r="22" spans="1:223" s="407" customFormat="1" ht="19.5" customHeight="1" thickBot="1">
      <c r="A22" s="597"/>
      <c r="B22" s="1087" t="s">
        <v>91</v>
      </c>
      <c r="C22" s="1088"/>
      <c r="D22" s="598">
        <f>SUM('6. kiadások megbontása'!J54)</f>
        <v>12311385</v>
      </c>
      <c r="E22" s="599">
        <f>SUM('6. kiadások megbontása'!K54)</f>
        <v>0</v>
      </c>
      <c r="F22" s="600">
        <f>SUM(D22:E22)</f>
        <v>12311385</v>
      </c>
      <c r="G22" s="1095"/>
      <c r="H22" s="1096"/>
      <c r="I22" s="1096"/>
      <c r="J22" s="601"/>
      <c r="K22" s="1099"/>
      <c r="L22" s="1104" t="s">
        <v>559</v>
      </c>
      <c r="M22" s="1105"/>
      <c r="N22" s="1105"/>
      <c r="O22" s="1105"/>
      <c r="P22" s="573"/>
      <c r="Q22" s="1099"/>
      <c r="R22" s="1104"/>
      <c r="S22" s="1105"/>
      <c r="T22" s="1105"/>
      <c r="U22" s="1105"/>
      <c r="V22" s="602"/>
      <c r="W22" s="603">
        <f>SUM(V22)</f>
        <v>0</v>
      </c>
      <c r="X22" s="604">
        <f>SUM(W22,Q21,K21)</f>
        <v>0</v>
      </c>
      <c r="Y22" s="605">
        <v>0</v>
      </c>
      <c r="Z22" s="606">
        <f>SUM(X22:Y22)</f>
        <v>0</v>
      </c>
      <c r="AA22" s="604">
        <f>X22-D22</f>
        <v>-12311385</v>
      </c>
      <c r="AB22" s="605">
        <f>Y22-E22</f>
        <v>0</v>
      </c>
      <c r="AC22" s="324">
        <f>SUM(AA22:AB22)</f>
        <v>-12311385</v>
      </c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</row>
    <row r="23" spans="1:29" ht="24.75" customHeight="1" thickTop="1">
      <c r="A23" s="340"/>
      <c r="B23" s="299"/>
      <c r="C23" s="326"/>
      <c r="D23" s="327"/>
      <c r="E23" s="327"/>
      <c r="F23" s="300"/>
      <c r="G23" s="302"/>
      <c r="H23" s="303"/>
      <c r="I23" s="303"/>
      <c r="J23" s="328"/>
      <c r="K23" s="1097">
        <f>SUM(J23:J28)</f>
        <v>0</v>
      </c>
      <c r="L23" s="1008" t="s">
        <v>106</v>
      </c>
      <c r="M23" s="1009"/>
      <c r="N23" s="1009"/>
      <c r="O23" s="1009"/>
      <c r="P23" s="262">
        <v>2100000</v>
      </c>
      <c r="Q23" s="1097">
        <f>SUM(P23:P28)</f>
        <v>147856793</v>
      </c>
      <c r="R23" s="1025" t="s">
        <v>669</v>
      </c>
      <c r="S23" s="977"/>
      <c r="T23" s="977"/>
      <c r="U23" s="977"/>
      <c r="V23" s="427">
        <f>9000000+1370149</f>
        <v>10370149</v>
      </c>
      <c r="W23" s="1089">
        <f>SUM(V23:V28)</f>
        <v>92509038</v>
      </c>
      <c r="X23" s="329"/>
      <c r="Y23" s="330"/>
      <c r="Z23" s="331"/>
      <c r="AA23" s="329"/>
      <c r="AB23" s="330"/>
      <c r="AC23" s="312"/>
    </row>
    <row r="24" spans="1:29" ht="24.75" customHeight="1">
      <c r="A24" s="340"/>
      <c r="B24" s="299"/>
      <c r="C24" s="326"/>
      <c r="D24" s="327"/>
      <c r="E24" s="299"/>
      <c r="F24" s="300"/>
      <c r="G24" s="302"/>
      <c r="H24" s="303"/>
      <c r="I24" s="303"/>
      <c r="J24" s="328"/>
      <c r="K24" s="995"/>
      <c r="L24" s="1000" t="s">
        <v>912</v>
      </c>
      <c r="M24" s="982"/>
      <c r="N24" s="982"/>
      <c r="O24" s="982"/>
      <c r="P24" s="262">
        <f>40118910+13881090</f>
        <v>54000000</v>
      </c>
      <c r="Q24" s="995"/>
      <c r="R24" s="1025" t="s">
        <v>671</v>
      </c>
      <c r="S24" s="977"/>
      <c r="T24" s="977"/>
      <c r="U24" s="977"/>
      <c r="V24" s="427"/>
      <c r="W24" s="972"/>
      <c r="X24" s="617"/>
      <c r="Y24" s="327"/>
      <c r="Z24" s="299"/>
      <c r="AA24" s="340"/>
      <c r="AB24" s="327"/>
      <c r="AC24" s="300"/>
    </row>
    <row r="25" spans="1:29" ht="24.75" customHeight="1">
      <c r="A25" s="340"/>
      <c r="B25" s="299"/>
      <c r="C25" s="326"/>
      <c r="D25" s="327"/>
      <c r="E25" s="299"/>
      <c r="F25" s="300"/>
      <c r="G25" s="302"/>
      <c r="H25" s="303"/>
      <c r="I25" s="303"/>
      <c r="J25" s="328"/>
      <c r="K25" s="995"/>
      <c r="L25" s="1000" t="s">
        <v>914</v>
      </c>
      <c r="M25" s="982"/>
      <c r="N25" s="982"/>
      <c r="O25" s="982"/>
      <c r="P25" s="262">
        <v>60657486</v>
      </c>
      <c r="Q25" s="995"/>
      <c r="R25" s="1025" t="s">
        <v>976</v>
      </c>
      <c r="S25" s="977"/>
      <c r="T25" s="977"/>
      <c r="U25" s="977"/>
      <c r="V25" s="427">
        <v>434514</v>
      </c>
      <c r="W25" s="972"/>
      <c r="X25" s="617"/>
      <c r="Y25" s="327"/>
      <c r="Z25" s="299"/>
      <c r="AA25" s="340"/>
      <c r="AB25" s="327"/>
      <c r="AC25" s="300"/>
    </row>
    <row r="26" spans="1:29" ht="24.75" customHeight="1">
      <c r="A26" s="340"/>
      <c r="B26" s="299"/>
      <c r="C26" s="326"/>
      <c r="D26" s="327"/>
      <c r="E26" s="299"/>
      <c r="F26" s="300"/>
      <c r="G26" s="302"/>
      <c r="H26" s="303"/>
      <c r="I26" s="303"/>
      <c r="J26" s="328"/>
      <c r="K26" s="995"/>
      <c r="L26" s="1000" t="s">
        <v>819</v>
      </c>
      <c r="M26" s="982"/>
      <c r="N26" s="982"/>
      <c r="O26" s="982"/>
      <c r="P26" s="262">
        <v>1092680</v>
      </c>
      <c r="Q26" s="995"/>
      <c r="R26" s="1008" t="s">
        <v>673</v>
      </c>
      <c r="S26" s="1009"/>
      <c r="T26" s="1009"/>
      <c r="U26" s="1009"/>
      <c r="V26" s="631">
        <f>92795675+2881248+4230000-24452399</f>
        <v>75454524</v>
      </c>
      <c r="W26" s="972"/>
      <c r="X26" s="617"/>
      <c r="Y26" s="327"/>
      <c r="Z26" s="299"/>
      <c r="AA26" s="340"/>
      <c r="AB26" s="327"/>
      <c r="AC26" s="300"/>
    </row>
    <row r="27" spans="1:29" ht="24.75" customHeight="1">
      <c r="A27" s="340"/>
      <c r="B27" s="299"/>
      <c r="C27" s="326"/>
      <c r="D27" s="327"/>
      <c r="E27" s="299"/>
      <c r="F27" s="300"/>
      <c r="G27" s="302"/>
      <c r="H27" s="303"/>
      <c r="I27" s="303"/>
      <c r="J27" s="328"/>
      <c r="K27" s="995"/>
      <c r="L27" s="1000" t="s">
        <v>823</v>
      </c>
      <c r="M27" s="982"/>
      <c r="N27" s="982"/>
      <c r="O27" s="982"/>
      <c r="P27" s="262">
        <f>5788759+23938936</f>
        <v>29727695</v>
      </c>
      <c r="Q27" s="995"/>
      <c r="R27" s="1008" t="s">
        <v>996</v>
      </c>
      <c r="S27" s="1009"/>
      <c r="T27" s="1009"/>
      <c r="U27" s="1009"/>
      <c r="V27" s="631">
        <v>-1370149</v>
      </c>
      <c r="W27" s="972"/>
      <c r="X27" s="617"/>
      <c r="Y27" s="327"/>
      <c r="Z27" s="299"/>
      <c r="AA27" s="340"/>
      <c r="AB27" s="327"/>
      <c r="AC27" s="300"/>
    </row>
    <row r="28" spans="1:29" ht="29.25" customHeight="1" thickBot="1">
      <c r="A28" s="1020" t="s">
        <v>446</v>
      </c>
      <c r="B28" s="1003"/>
      <c r="C28" s="1004"/>
      <c r="D28" s="332">
        <f>SUM('6. kiadások megbontása'!G54)</f>
        <v>246901270</v>
      </c>
      <c r="E28" s="280">
        <f>SUM('6. kiadások megbontása'!H54)</f>
        <v>655919221</v>
      </c>
      <c r="F28" s="281">
        <f>SUM(D28:E28)</f>
        <v>902820491</v>
      </c>
      <c r="G28" s="333"/>
      <c r="H28" s="264"/>
      <c r="I28" s="264"/>
      <c r="J28" s="291"/>
      <c r="K28" s="1098"/>
      <c r="L28" s="1000" t="s">
        <v>997</v>
      </c>
      <c r="M28" s="982"/>
      <c r="N28" s="982"/>
      <c r="O28" s="982"/>
      <c r="P28" s="262">
        <v>278932</v>
      </c>
      <c r="Q28" s="1098"/>
      <c r="R28" s="1074" t="s">
        <v>670</v>
      </c>
      <c r="S28" s="1075"/>
      <c r="T28" s="1075"/>
      <c r="U28" s="1075"/>
      <c r="V28" s="426">
        <v>7620000</v>
      </c>
      <c r="W28" s="1090"/>
      <c r="X28" s="334">
        <f>SUM(W23,Q23,K23)</f>
        <v>240365831</v>
      </c>
      <c r="Y28" s="293">
        <f>SUM(Q29,W29,K29)</f>
        <v>667684275</v>
      </c>
      <c r="Z28" s="294">
        <f>SUM(X28:Y28)</f>
        <v>908050106</v>
      </c>
      <c r="AA28" s="292">
        <f>X28-D28</f>
        <v>-6535439</v>
      </c>
      <c r="AB28" s="293">
        <f>Y28-E28</f>
        <v>11765054</v>
      </c>
      <c r="AC28" s="295">
        <f>SUM(AA28:AB28)</f>
        <v>5229615</v>
      </c>
    </row>
    <row r="29" spans="1:29" ht="29.25" customHeight="1">
      <c r="A29" s="276"/>
      <c r="B29" s="277"/>
      <c r="C29" s="278"/>
      <c r="D29" s="332"/>
      <c r="E29" s="280"/>
      <c r="F29" s="281"/>
      <c r="G29" s="512"/>
      <c r="H29" s="513"/>
      <c r="I29" s="513"/>
      <c r="J29" s="307"/>
      <c r="K29" s="971">
        <f>SUM(J29)</f>
        <v>0</v>
      </c>
      <c r="L29" s="998" t="s">
        <v>820</v>
      </c>
      <c r="M29" s="999"/>
      <c r="N29" s="999"/>
      <c r="O29" s="999"/>
      <c r="P29" s="571">
        <f>6000000-6000000</f>
        <v>0</v>
      </c>
      <c r="Q29" s="971">
        <f>SUM(P29:P30)</f>
        <v>6000000</v>
      </c>
      <c r="R29" s="1025" t="s">
        <v>668</v>
      </c>
      <c r="S29" s="977"/>
      <c r="T29" s="977"/>
      <c r="U29" s="977"/>
      <c r="V29" s="632">
        <f>639276554+1-510500+22918220</f>
        <v>661684275</v>
      </c>
      <c r="W29" s="1100">
        <f>SUM(V29:V30)</f>
        <v>661684275</v>
      </c>
      <c r="X29" s="335"/>
      <c r="Y29" s="293"/>
      <c r="Z29" s="294"/>
      <c r="AA29" s="292"/>
      <c r="AB29" s="293"/>
      <c r="AC29" s="295"/>
    </row>
    <row r="30" spans="1:29" ht="27.75" customHeight="1" thickBot="1">
      <c r="A30" s="276"/>
      <c r="B30" s="277"/>
      <c r="C30" s="278"/>
      <c r="D30" s="332"/>
      <c r="E30" s="280"/>
      <c r="F30" s="281"/>
      <c r="G30" s="333"/>
      <c r="H30" s="264"/>
      <c r="I30" s="264"/>
      <c r="J30" s="291"/>
      <c r="K30" s="995"/>
      <c r="L30" s="1000" t="s">
        <v>913</v>
      </c>
      <c r="M30" s="982"/>
      <c r="N30" s="982"/>
      <c r="O30" s="982"/>
      <c r="P30" s="564">
        <v>6000000</v>
      </c>
      <c r="Q30" s="995"/>
      <c r="R30" s="408"/>
      <c r="S30" s="511"/>
      <c r="T30" s="511"/>
      <c r="U30" s="511"/>
      <c r="V30" s="427"/>
      <c r="W30" s="1101"/>
      <c r="X30" s="335"/>
      <c r="Y30" s="293"/>
      <c r="Z30" s="294"/>
      <c r="AA30" s="292"/>
      <c r="AB30" s="293"/>
      <c r="AC30" s="295"/>
    </row>
    <row r="31" spans="1:223" s="407" customFormat="1" ht="33.75" customHeight="1" thickBot="1">
      <c r="A31" s="1067" t="s">
        <v>844</v>
      </c>
      <c r="B31" s="1068"/>
      <c r="C31" s="1069"/>
      <c r="D31" s="576">
        <f>SUM(D9:D30)</f>
        <v>906723350</v>
      </c>
      <c r="E31" s="577">
        <f>SUM(E8:E30)</f>
        <v>953182588</v>
      </c>
      <c r="F31" s="578">
        <f>SUM(F8:F30)</f>
        <v>1859905938</v>
      </c>
      <c r="G31" s="579"/>
      <c r="H31" s="973" t="s">
        <v>92</v>
      </c>
      <c r="I31" s="974"/>
      <c r="J31" s="975"/>
      <c r="K31" s="580">
        <f>SUM(K8:K30)</f>
        <v>176515151</v>
      </c>
      <c r="L31" s="415"/>
      <c r="M31" s="1018" t="s">
        <v>93</v>
      </c>
      <c r="N31" s="1018"/>
      <c r="O31" s="1018"/>
      <c r="P31" s="1019"/>
      <c r="Q31" s="580">
        <f>SUM(Q8:Q30)</f>
        <v>248898542</v>
      </c>
      <c r="R31" s="417"/>
      <c r="S31" s="1018" t="s">
        <v>94</v>
      </c>
      <c r="T31" s="1018"/>
      <c r="U31" s="1018"/>
      <c r="V31" s="1019"/>
      <c r="W31" s="581">
        <f>SUM(W8:W30)</f>
        <v>1500591924</v>
      </c>
      <c r="X31" s="582">
        <f>SUM(X8:X30)</f>
        <v>927793285</v>
      </c>
      <c r="Y31" s="583">
        <f>SUM(Y8:Y30)</f>
        <v>998212332</v>
      </c>
      <c r="Z31" s="584">
        <f>SUM(X31:Y31)</f>
        <v>1926005617</v>
      </c>
      <c r="AA31" s="585">
        <f>SUM(AA11:AA30)</f>
        <v>21069935</v>
      </c>
      <c r="AB31" s="586">
        <f>SUM(AB10:AB30)</f>
        <v>45029744</v>
      </c>
      <c r="AC31" s="413">
        <f>SUM(AA31:AB31)</f>
        <v>66099679</v>
      </c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2"/>
      <c r="DM31" s="422"/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2"/>
      <c r="EB31" s="422"/>
      <c r="EC31" s="422"/>
      <c r="ED31" s="422"/>
      <c r="EE31" s="422"/>
      <c r="EF31" s="422"/>
      <c r="EG31" s="422"/>
      <c r="EH31" s="422"/>
      <c r="EI31" s="422"/>
      <c r="EJ31" s="422"/>
      <c r="EK31" s="422"/>
      <c r="EL31" s="422"/>
      <c r="EM31" s="422"/>
      <c r="EN31" s="422"/>
      <c r="EO31" s="422"/>
      <c r="EP31" s="422"/>
      <c r="EQ31" s="422"/>
      <c r="ER31" s="422"/>
      <c r="ES31" s="422"/>
      <c r="ET31" s="422"/>
      <c r="EU31" s="422"/>
      <c r="EV31" s="422"/>
      <c r="EW31" s="422"/>
      <c r="EX31" s="422"/>
      <c r="EY31" s="422"/>
      <c r="EZ31" s="422"/>
      <c r="FA31" s="422"/>
      <c r="FB31" s="422"/>
      <c r="FC31" s="422"/>
      <c r="FD31" s="422"/>
      <c r="FE31" s="422"/>
      <c r="FF31" s="422"/>
      <c r="FG31" s="422"/>
      <c r="FH31" s="422"/>
      <c r="FI31" s="422"/>
      <c r="FJ31" s="422"/>
      <c r="FK31" s="422"/>
      <c r="FL31" s="422"/>
      <c r="FM31" s="422"/>
      <c r="FN31" s="422"/>
      <c r="FO31" s="422"/>
      <c r="FP31" s="422"/>
      <c r="FQ31" s="422"/>
      <c r="FR31" s="422"/>
      <c r="FS31" s="422"/>
      <c r="FT31" s="422"/>
      <c r="FU31" s="422"/>
      <c r="FV31" s="422"/>
      <c r="FW31" s="422"/>
      <c r="FX31" s="422"/>
      <c r="FY31" s="422"/>
      <c r="FZ31" s="422"/>
      <c r="GA31" s="422"/>
      <c r="GB31" s="422"/>
      <c r="GC31" s="422"/>
      <c r="GD31" s="422"/>
      <c r="GE31" s="422"/>
      <c r="GF31" s="422"/>
      <c r="GG31" s="422"/>
      <c r="GH31" s="422"/>
      <c r="GI31" s="422"/>
      <c r="GJ31" s="422"/>
      <c r="GK31" s="422"/>
      <c r="GL31" s="422"/>
      <c r="GM31" s="422"/>
      <c r="GN31" s="422"/>
      <c r="GO31" s="422"/>
      <c r="GP31" s="422"/>
      <c r="GQ31" s="422"/>
      <c r="GR31" s="422"/>
      <c r="GS31" s="422"/>
      <c r="GT31" s="422"/>
      <c r="GU31" s="422"/>
      <c r="GV31" s="422"/>
      <c r="GW31" s="422"/>
      <c r="GX31" s="422"/>
      <c r="GY31" s="422"/>
      <c r="GZ31" s="422"/>
      <c r="HA31" s="422"/>
      <c r="HB31" s="422"/>
      <c r="HC31" s="422"/>
      <c r="HD31" s="422"/>
      <c r="HE31" s="422"/>
      <c r="HF31" s="422"/>
      <c r="HG31" s="422"/>
      <c r="HH31" s="422"/>
      <c r="HI31" s="422"/>
      <c r="HJ31" s="422"/>
      <c r="HK31" s="422"/>
      <c r="HL31" s="422"/>
      <c r="HM31" s="422"/>
      <c r="HN31" s="422"/>
      <c r="HO31" s="422"/>
    </row>
    <row r="32" spans="1:29" ht="27.75" customHeight="1" thickBot="1" thickTop="1">
      <c r="A32" s="1010" t="s">
        <v>841</v>
      </c>
      <c r="B32" s="1011"/>
      <c r="C32" s="1012"/>
      <c r="D32" s="1016" t="s">
        <v>354</v>
      </c>
      <c r="E32" s="989"/>
      <c r="F32" s="1017"/>
      <c r="G32" s="988" t="s">
        <v>466</v>
      </c>
      <c r="H32" s="989"/>
      <c r="I32" s="989"/>
      <c r="J32" s="989"/>
      <c r="K32" s="990"/>
      <c r="L32" s="996" t="s">
        <v>467</v>
      </c>
      <c r="M32" s="989"/>
      <c r="N32" s="989"/>
      <c r="O32" s="989"/>
      <c r="P32" s="989"/>
      <c r="Q32" s="990"/>
      <c r="R32" s="996" t="s">
        <v>468</v>
      </c>
      <c r="S32" s="989"/>
      <c r="T32" s="989"/>
      <c r="U32" s="989"/>
      <c r="V32" s="989"/>
      <c r="W32" s="1017"/>
      <c r="X32" s="983" t="s">
        <v>469</v>
      </c>
      <c r="Y32" s="984"/>
      <c r="Z32" s="984"/>
      <c r="AA32" s="978" t="s">
        <v>87</v>
      </c>
      <c r="AB32" s="979"/>
      <c r="AC32" s="980"/>
    </row>
    <row r="33" spans="1:223" s="336" customFormat="1" ht="18.75" customHeight="1" thickBot="1" thickTop="1">
      <c r="A33" s="1013"/>
      <c r="B33" s="1014"/>
      <c r="C33" s="1015"/>
      <c r="D33" s="403" t="s">
        <v>88</v>
      </c>
      <c r="E33" s="608" t="s">
        <v>85</v>
      </c>
      <c r="F33" s="256" t="s">
        <v>89</v>
      </c>
      <c r="G33" s="991"/>
      <c r="H33" s="992"/>
      <c r="I33" s="992"/>
      <c r="J33" s="993"/>
      <c r="K33" s="994"/>
      <c r="L33" s="997"/>
      <c r="M33" s="992"/>
      <c r="N33" s="992"/>
      <c r="O33" s="992"/>
      <c r="P33" s="992"/>
      <c r="Q33" s="994"/>
      <c r="R33" s="997"/>
      <c r="S33" s="992"/>
      <c r="T33" s="992"/>
      <c r="U33" s="992"/>
      <c r="V33" s="992"/>
      <c r="W33" s="1084"/>
      <c r="X33" s="593" t="s">
        <v>88</v>
      </c>
      <c r="Y33" s="596" t="s">
        <v>85</v>
      </c>
      <c r="Z33" s="256" t="s">
        <v>89</v>
      </c>
      <c r="AA33" s="588" t="s">
        <v>88</v>
      </c>
      <c r="AB33" s="403" t="s">
        <v>85</v>
      </c>
      <c r="AC33" s="256" t="s">
        <v>89</v>
      </c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</row>
    <row r="34" spans="1:29" ht="12.75" customHeight="1">
      <c r="A34" s="257"/>
      <c r="B34" s="299"/>
      <c r="C34" s="299"/>
      <c r="D34" s="327"/>
      <c r="E34" s="299"/>
      <c r="F34" s="261"/>
      <c r="G34" s="1078" t="s">
        <v>441</v>
      </c>
      <c r="H34" s="1079"/>
      <c r="I34" s="1079"/>
      <c r="J34" s="1082">
        <f>119812800+22486700</f>
        <v>142299500</v>
      </c>
      <c r="K34" s="1077">
        <f>SUM(J34:J37)</f>
        <v>142438855</v>
      </c>
      <c r="L34" s="1031" t="s">
        <v>916</v>
      </c>
      <c r="M34" s="1032"/>
      <c r="N34" s="1032"/>
      <c r="O34" s="1032"/>
      <c r="P34" s="1001">
        <v>1484730</v>
      </c>
      <c r="Q34" s="971">
        <f>SUM(P34:P37)</f>
        <v>1484730</v>
      </c>
      <c r="R34" s="1102" t="s">
        <v>718</v>
      </c>
      <c r="S34" s="1103"/>
      <c r="T34" s="1103"/>
      <c r="U34" s="1103"/>
      <c r="V34" s="1001">
        <v>250000</v>
      </c>
      <c r="W34" s="1085">
        <f>SUM(V34:V37)</f>
        <v>6913185</v>
      </c>
      <c r="X34" s="337"/>
      <c r="Y34" s="338"/>
      <c r="Z34" s="339"/>
      <c r="AA34" s="257"/>
      <c r="AB34" s="274"/>
      <c r="AC34" s="275"/>
    </row>
    <row r="35" spans="1:29" ht="12.75" customHeight="1">
      <c r="A35" s="340"/>
      <c r="B35" s="297"/>
      <c r="C35" s="297"/>
      <c r="D35" s="341"/>
      <c r="E35" s="299"/>
      <c r="F35" s="300"/>
      <c r="G35" s="1080"/>
      <c r="H35" s="1081"/>
      <c r="I35" s="1081"/>
      <c r="J35" s="1083"/>
      <c r="K35" s="995"/>
      <c r="L35" s="1025"/>
      <c r="M35" s="977"/>
      <c r="N35" s="977"/>
      <c r="O35" s="977"/>
      <c r="P35" s="1002"/>
      <c r="Q35" s="995"/>
      <c r="R35" s="1008"/>
      <c r="S35" s="1009"/>
      <c r="T35" s="1009"/>
      <c r="U35" s="1009"/>
      <c r="V35" s="1002"/>
      <c r="W35" s="1086"/>
      <c r="X35" s="342"/>
      <c r="Y35" s="283"/>
      <c r="Z35" s="273"/>
      <c r="AA35" s="284"/>
      <c r="AB35" s="285"/>
      <c r="AC35" s="286"/>
    </row>
    <row r="36" spans="1:29" ht="12.75" customHeight="1">
      <c r="A36" s="340"/>
      <c r="B36" s="297"/>
      <c r="C36" s="297"/>
      <c r="D36" s="341"/>
      <c r="E36" s="299"/>
      <c r="F36" s="300"/>
      <c r="G36" s="671"/>
      <c r="H36" s="672"/>
      <c r="I36" s="672"/>
      <c r="J36" s="673"/>
      <c r="K36" s="995"/>
      <c r="L36" s="670"/>
      <c r="M36" s="612"/>
      <c r="N36" s="612"/>
      <c r="O36" s="612"/>
      <c r="P36" s="669"/>
      <c r="Q36" s="995"/>
      <c r="R36" s="1008" t="s">
        <v>673</v>
      </c>
      <c r="S36" s="1009"/>
      <c r="T36" s="1009"/>
      <c r="U36" s="1009"/>
      <c r="V36" s="425">
        <f>789210+334626+2000</f>
        <v>1125836</v>
      </c>
      <c r="W36" s="1086"/>
      <c r="X36" s="342"/>
      <c r="Y36" s="283"/>
      <c r="Z36" s="273"/>
      <c r="AA36" s="284"/>
      <c r="AB36" s="285"/>
      <c r="AC36" s="286"/>
    </row>
    <row r="37" spans="1:29" ht="24.75" customHeight="1" thickBot="1">
      <c r="A37" s="340"/>
      <c r="B37" s="1003" t="s">
        <v>445</v>
      </c>
      <c r="C37" s="1004"/>
      <c r="D37" s="332">
        <f>SUM('6. kiadások megbontása'!D58)</f>
        <v>136715523</v>
      </c>
      <c r="E37" s="280">
        <f>SUM('6. kiadások megbontása'!E58)</f>
        <v>1934590</v>
      </c>
      <c r="F37" s="281">
        <f>SUM(D37:E37)</f>
        <v>138650113</v>
      </c>
      <c r="G37" s="981" t="s">
        <v>895</v>
      </c>
      <c r="H37" s="982"/>
      <c r="I37" s="982"/>
      <c r="J37" s="412">
        <f>17860+121495</f>
        <v>139355</v>
      </c>
      <c r="K37" s="995"/>
      <c r="L37" s="1025"/>
      <c r="M37" s="977"/>
      <c r="N37" s="977"/>
      <c r="O37" s="977"/>
      <c r="P37" s="425"/>
      <c r="Q37" s="995"/>
      <c r="R37" s="1008" t="s">
        <v>473</v>
      </c>
      <c r="S37" s="1009"/>
      <c r="T37" s="1009"/>
      <c r="U37" s="1009"/>
      <c r="V37" s="423">
        <v>5537349</v>
      </c>
      <c r="W37" s="1086"/>
      <c r="X37" s="342">
        <f>SUM(W34,Q34,K34)</f>
        <v>150836770</v>
      </c>
      <c r="Y37" s="283">
        <v>0</v>
      </c>
      <c r="Z37" s="294">
        <f>SUM(Y37,X37)</f>
        <v>150836770</v>
      </c>
      <c r="AA37" s="292">
        <f>X37-D37</f>
        <v>14121247</v>
      </c>
      <c r="AB37" s="293">
        <f>Y37-E37</f>
        <v>-1934590</v>
      </c>
      <c r="AC37" s="286">
        <f>SUM(AA37:AB37)</f>
        <v>12186657</v>
      </c>
    </row>
    <row r="38" spans="1:29" ht="20.25" customHeight="1" thickBot="1">
      <c r="A38" s="1005" t="s">
        <v>446</v>
      </c>
      <c r="B38" s="1006"/>
      <c r="C38" s="1007"/>
      <c r="D38" s="674">
        <f>'6. kiadások megbontása'!G58</f>
        <v>8932286</v>
      </c>
      <c r="E38" s="675"/>
      <c r="F38" s="676">
        <f>SUM(D38:E38)</f>
        <v>8932286</v>
      </c>
      <c r="G38" s="677"/>
      <c r="H38" s="677"/>
      <c r="I38" s="677"/>
      <c r="J38" s="678"/>
      <c r="K38" s="679"/>
      <c r="L38" s="680"/>
      <c r="M38" s="681"/>
      <c r="N38" s="681"/>
      <c r="O38" s="681"/>
      <c r="P38" s="682"/>
      <c r="Q38" s="679"/>
      <c r="R38" s="1120"/>
      <c r="S38" s="1121"/>
      <c r="T38" s="1121"/>
      <c r="U38" s="1121"/>
      <c r="V38" s="683"/>
      <c r="W38" s="684">
        <f>SUM(V38)</f>
        <v>0</v>
      </c>
      <c r="X38" s="685">
        <f>W38</f>
        <v>0</v>
      </c>
      <c r="Y38" s="686"/>
      <c r="Z38" s="687">
        <f>SUM(Y38,X38)</f>
        <v>0</v>
      </c>
      <c r="AA38" s="688"/>
      <c r="AB38" s="689"/>
      <c r="AC38" s="687"/>
    </row>
    <row r="39" spans="1:223" s="407" customFormat="1" ht="33.75" customHeight="1" thickBot="1">
      <c r="A39" s="1067" t="s">
        <v>843</v>
      </c>
      <c r="B39" s="1068"/>
      <c r="C39" s="1069"/>
      <c r="D39" s="576">
        <f>SUM(D34:D38)</f>
        <v>145647809</v>
      </c>
      <c r="E39" s="577">
        <f>SUM(E34:E38)</f>
        <v>1934590</v>
      </c>
      <c r="F39" s="578">
        <f>SUM(F34:F38)</f>
        <v>147582399</v>
      </c>
      <c r="G39" s="579"/>
      <c r="H39" s="973" t="s">
        <v>92</v>
      </c>
      <c r="I39" s="974"/>
      <c r="J39" s="975"/>
      <c r="K39" s="580">
        <f>SUM(K34:K37)</f>
        <v>142438855</v>
      </c>
      <c r="L39" s="415"/>
      <c r="M39" s="1018" t="s">
        <v>93</v>
      </c>
      <c r="N39" s="1018"/>
      <c r="O39" s="1018"/>
      <c r="P39" s="1019"/>
      <c r="Q39" s="580">
        <f>SUM(Q34:Q37)</f>
        <v>1484730</v>
      </c>
      <c r="R39" s="417"/>
      <c r="S39" s="1018" t="s">
        <v>94</v>
      </c>
      <c r="T39" s="1018"/>
      <c r="U39" s="1018"/>
      <c r="V39" s="1019"/>
      <c r="W39" s="581">
        <f>SUM(W34:W38)</f>
        <v>6913185</v>
      </c>
      <c r="X39" s="582">
        <f>SUM(X34:X38)</f>
        <v>150836770</v>
      </c>
      <c r="Y39" s="583">
        <v>0</v>
      </c>
      <c r="Z39" s="584">
        <f>SUM(X39:Y39)</f>
        <v>150836770</v>
      </c>
      <c r="AA39" s="585">
        <f>X39-D39</f>
        <v>5188961</v>
      </c>
      <c r="AB39" s="586">
        <f>Y39-E39</f>
        <v>-1934590</v>
      </c>
      <c r="AC39" s="413">
        <f>SUM(AA39:AB39)</f>
        <v>3254371</v>
      </c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2"/>
      <c r="EG39" s="422"/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  <c r="FL39" s="422"/>
      <c r="FM39" s="422"/>
      <c r="FN39" s="422"/>
      <c r="FO39" s="422"/>
      <c r="FP39" s="422"/>
      <c r="FQ39" s="422"/>
      <c r="FR39" s="422"/>
      <c r="FS39" s="422"/>
      <c r="FT39" s="422"/>
      <c r="FU39" s="422"/>
      <c r="FV39" s="422"/>
      <c r="FW39" s="422"/>
      <c r="FX39" s="422"/>
      <c r="FY39" s="422"/>
      <c r="FZ39" s="422"/>
      <c r="GA39" s="422"/>
      <c r="GB39" s="422"/>
      <c r="GC39" s="422"/>
      <c r="GD39" s="422"/>
      <c r="GE39" s="422"/>
      <c r="GF39" s="422"/>
      <c r="GG39" s="422"/>
      <c r="GH39" s="422"/>
      <c r="GI39" s="422"/>
      <c r="GJ39" s="422"/>
      <c r="GK39" s="422"/>
      <c r="GL39" s="422"/>
      <c r="GM39" s="422"/>
      <c r="GN39" s="422"/>
      <c r="GO39" s="422"/>
      <c r="GP39" s="422"/>
      <c r="GQ39" s="422"/>
      <c r="GR39" s="422"/>
      <c r="GS39" s="422"/>
      <c r="GT39" s="422"/>
      <c r="GU39" s="422"/>
      <c r="GV39" s="422"/>
      <c r="GW39" s="422"/>
      <c r="GX39" s="422"/>
      <c r="GY39" s="422"/>
      <c r="GZ39" s="422"/>
      <c r="HA39" s="422"/>
      <c r="HB39" s="422"/>
      <c r="HC39" s="422"/>
      <c r="HD39" s="422"/>
      <c r="HE39" s="422"/>
      <c r="HF39" s="422"/>
      <c r="HG39" s="422"/>
      <c r="HH39" s="422"/>
      <c r="HI39" s="422"/>
      <c r="HJ39" s="422"/>
      <c r="HK39" s="422"/>
      <c r="HL39" s="422"/>
      <c r="HM39" s="422"/>
      <c r="HN39" s="422"/>
      <c r="HO39" s="422"/>
    </row>
    <row r="40" spans="1:29" ht="27.75" customHeight="1" thickBot="1" thickTop="1">
      <c r="A40" s="1010" t="s">
        <v>715</v>
      </c>
      <c r="B40" s="1011"/>
      <c r="C40" s="1012"/>
      <c r="D40" s="1016" t="s">
        <v>354</v>
      </c>
      <c r="E40" s="989"/>
      <c r="F40" s="1017"/>
      <c r="G40" s="988" t="s">
        <v>466</v>
      </c>
      <c r="H40" s="989"/>
      <c r="I40" s="989"/>
      <c r="J40" s="989"/>
      <c r="K40" s="990"/>
      <c r="L40" s="996" t="s">
        <v>467</v>
      </c>
      <c r="M40" s="989"/>
      <c r="N40" s="989"/>
      <c r="O40" s="989"/>
      <c r="P40" s="989"/>
      <c r="Q40" s="990"/>
      <c r="R40" s="996" t="s">
        <v>468</v>
      </c>
      <c r="S40" s="989"/>
      <c r="T40" s="989"/>
      <c r="U40" s="989"/>
      <c r="V40" s="989"/>
      <c r="W40" s="1017"/>
      <c r="X40" s="983" t="s">
        <v>469</v>
      </c>
      <c r="Y40" s="984"/>
      <c r="Z40" s="984"/>
      <c r="AA40" s="978" t="s">
        <v>87</v>
      </c>
      <c r="AB40" s="979"/>
      <c r="AC40" s="980"/>
    </row>
    <row r="41" spans="1:223" s="336" customFormat="1" ht="18.75" customHeight="1" thickBot="1" thickTop="1">
      <c r="A41" s="1013"/>
      <c r="B41" s="1014"/>
      <c r="C41" s="1015"/>
      <c r="D41" s="403" t="s">
        <v>88</v>
      </c>
      <c r="E41" s="608" t="s">
        <v>85</v>
      </c>
      <c r="F41" s="256" t="s">
        <v>89</v>
      </c>
      <c r="G41" s="991"/>
      <c r="H41" s="992"/>
      <c r="I41" s="992"/>
      <c r="J41" s="993"/>
      <c r="K41" s="994"/>
      <c r="L41" s="997"/>
      <c r="M41" s="992"/>
      <c r="N41" s="992"/>
      <c r="O41" s="992"/>
      <c r="P41" s="992"/>
      <c r="Q41" s="994"/>
      <c r="R41" s="997"/>
      <c r="S41" s="992"/>
      <c r="T41" s="992"/>
      <c r="U41" s="992"/>
      <c r="V41" s="992"/>
      <c r="W41" s="992"/>
      <c r="X41" s="595" t="s">
        <v>88</v>
      </c>
      <c r="Y41" s="596" t="s">
        <v>85</v>
      </c>
      <c r="Z41" s="256" t="s">
        <v>89</v>
      </c>
      <c r="AA41" s="588" t="s">
        <v>88</v>
      </c>
      <c r="AB41" s="403" t="s">
        <v>85</v>
      </c>
      <c r="AC41" s="256" t="s">
        <v>89</v>
      </c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</row>
    <row r="42" spans="1:29" ht="26.25" customHeight="1">
      <c r="A42" s="257"/>
      <c r="B42" s="299"/>
      <c r="C42" s="299"/>
      <c r="D42" s="327"/>
      <c r="E42" s="299"/>
      <c r="F42" s="261"/>
      <c r="G42" s="981" t="s">
        <v>481</v>
      </c>
      <c r="H42" s="982"/>
      <c r="I42" s="982"/>
      <c r="J42" s="411">
        <v>10821150</v>
      </c>
      <c r="K42" s="971">
        <f>SUM(J42:J43)</f>
        <v>11669970</v>
      </c>
      <c r="L42" s="998" t="s">
        <v>891</v>
      </c>
      <c r="M42" s="999"/>
      <c r="N42" s="999"/>
      <c r="O42" s="999"/>
      <c r="P42" s="1001">
        <v>2576000</v>
      </c>
      <c r="Q42" s="971">
        <f>SUM(P42:P43)</f>
        <v>2576000</v>
      </c>
      <c r="R42" s="1008" t="s">
        <v>709</v>
      </c>
      <c r="S42" s="1009"/>
      <c r="T42" s="1009"/>
      <c r="U42" s="1009"/>
      <c r="V42" s="428">
        <v>114300</v>
      </c>
      <c r="W42" s="985">
        <f>SUM(V42:V43)</f>
        <v>14786105</v>
      </c>
      <c r="X42" s="592"/>
      <c r="Y42" s="338"/>
      <c r="Z42" s="339"/>
      <c r="AA42" s="257"/>
      <c r="AB42" s="274"/>
      <c r="AC42" s="275"/>
    </row>
    <row r="43" spans="1:29" ht="28.5" customHeight="1" thickBot="1">
      <c r="A43" s="340"/>
      <c r="B43" s="1003" t="s">
        <v>445</v>
      </c>
      <c r="C43" s="1004"/>
      <c r="D43" s="332">
        <f>SUM('6. kiadások megbontása'!D78)</f>
        <v>35814630</v>
      </c>
      <c r="E43" s="280">
        <f>SUM('6. kiadások megbontása'!E78)</f>
        <v>1627000</v>
      </c>
      <c r="F43" s="281">
        <f>SUM(D43:E43)</f>
        <v>37441630</v>
      </c>
      <c r="G43" s="981" t="s">
        <v>895</v>
      </c>
      <c r="H43" s="982"/>
      <c r="I43" s="982"/>
      <c r="J43" s="412">
        <v>848820</v>
      </c>
      <c r="K43" s="995"/>
      <c r="L43" s="1000"/>
      <c r="M43" s="982"/>
      <c r="N43" s="982"/>
      <c r="O43" s="982"/>
      <c r="P43" s="1002"/>
      <c r="Q43" s="995"/>
      <c r="R43" s="1008" t="s">
        <v>710</v>
      </c>
      <c r="S43" s="1009"/>
      <c r="T43" s="1009"/>
      <c r="U43" s="1009"/>
      <c r="V43" s="428">
        <f>5470400+536221+144779+3402559+918691+3306421+892734</f>
        <v>14671805</v>
      </c>
      <c r="W43" s="972"/>
      <c r="X43" s="591">
        <f>SUM(W42,Q42,K42)</f>
        <v>29032075</v>
      </c>
      <c r="Y43" s="283">
        <v>0</v>
      </c>
      <c r="Z43" s="294">
        <f>SUM(Y43,X43)</f>
        <v>29032075</v>
      </c>
      <c r="AA43" s="292">
        <f>X43-D43</f>
        <v>-6782555</v>
      </c>
      <c r="AB43" s="293">
        <f>Y43-E43</f>
        <v>-1627000</v>
      </c>
      <c r="AC43" s="286">
        <f>SUM(AA43:AB43)</f>
        <v>-8409555</v>
      </c>
    </row>
    <row r="44" spans="1:29" ht="33" customHeight="1">
      <c r="A44" s="364"/>
      <c r="B44" s="365"/>
      <c r="C44" s="414"/>
      <c r="D44" s="366"/>
      <c r="E44" s="367"/>
      <c r="F44" s="368"/>
      <c r="G44" s="986"/>
      <c r="H44" s="987"/>
      <c r="I44" s="987"/>
      <c r="J44" s="369"/>
      <c r="K44" s="971">
        <f>SUM(J44:J45)</f>
        <v>0</v>
      </c>
      <c r="L44" s="998" t="s">
        <v>997</v>
      </c>
      <c r="M44" s="999"/>
      <c r="N44" s="999"/>
      <c r="O44" s="999"/>
      <c r="P44" s="369">
        <v>278932</v>
      </c>
      <c r="Q44" s="971">
        <f>SUM(P44)</f>
        <v>278932</v>
      </c>
      <c r="R44" s="998" t="s">
        <v>824</v>
      </c>
      <c r="S44" s="999"/>
      <c r="T44" s="999"/>
      <c r="U44" s="999"/>
      <c r="V44" s="370"/>
      <c r="W44" s="971">
        <f>SUM(V44:V45)</f>
        <v>1443526</v>
      </c>
      <c r="X44" s="371"/>
      <c r="Y44" s="372"/>
      <c r="Z44" s="373"/>
      <c r="AA44" s="374"/>
      <c r="AB44" s="375"/>
      <c r="AC44" s="376"/>
    </row>
    <row r="45" spans="1:29" ht="27" customHeight="1" thickBot="1">
      <c r="A45" s="1020" t="s">
        <v>446</v>
      </c>
      <c r="B45" s="1003"/>
      <c r="C45" s="1004"/>
      <c r="D45" s="332">
        <f>SUM('6. kiadások megbontása'!G78)</f>
        <v>12141135</v>
      </c>
      <c r="E45" s="280">
        <f>SUM('6. kiadások megbontása'!H78)</f>
        <v>0</v>
      </c>
      <c r="F45" s="281">
        <f>SUM(D45:E45)</f>
        <v>12141135</v>
      </c>
      <c r="G45" s="302"/>
      <c r="H45" s="303"/>
      <c r="I45" s="303"/>
      <c r="J45" s="377"/>
      <c r="K45" s="995"/>
      <c r="P45" s="262"/>
      <c r="Q45" s="995"/>
      <c r="R45" s="1000"/>
      <c r="S45" s="982"/>
      <c r="T45" s="982"/>
      <c r="U45" s="982"/>
      <c r="V45" s="262">
        <f>5642681-4199155</f>
        <v>1443526</v>
      </c>
      <c r="W45" s="972"/>
      <c r="X45" s="591">
        <f>SUM(K45+Q44+W44)</f>
        <v>1722458</v>
      </c>
      <c r="Y45" s="283">
        <v>0</v>
      </c>
      <c r="Z45" s="294">
        <f>SUM(X45:Y45)</f>
        <v>1722458</v>
      </c>
      <c r="AA45" s="361">
        <f>X45-D45</f>
        <v>-10418677</v>
      </c>
      <c r="AB45" s="293">
        <f>Y45-E45</f>
        <v>0</v>
      </c>
      <c r="AC45" s="295">
        <f>SUM(AA45:AB45)</f>
        <v>-10418677</v>
      </c>
    </row>
    <row r="46" spans="1:223" s="407" customFormat="1" ht="33.75" customHeight="1" thickBot="1">
      <c r="A46" s="1067" t="s">
        <v>842</v>
      </c>
      <c r="B46" s="1068"/>
      <c r="C46" s="1069"/>
      <c r="D46" s="576">
        <f>SUM(D42:D45)</f>
        <v>47955765</v>
      </c>
      <c r="E46" s="577">
        <f>SUM(E42:E45)</f>
        <v>1627000</v>
      </c>
      <c r="F46" s="578">
        <f>SUM(F42:F45)</f>
        <v>49582765</v>
      </c>
      <c r="G46" s="579"/>
      <c r="H46" s="973" t="s">
        <v>92</v>
      </c>
      <c r="I46" s="974"/>
      <c r="J46" s="975"/>
      <c r="K46" s="580">
        <f>SUM(K44+K42)</f>
        <v>11669970</v>
      </c>
      <c r="L46" s="415"/>
      <c r="M46" s="1018" t="s">
        <v>93</v>
      </c>
      <c r="N46" s="1018"/>
      <c r="O46" s="1018"/>
      <c r="P46" s="1019"/>
      <c r="Q46" s="580">
        <f>SUM(Q42:Q44)</f>
        <v>2854932</v>
      </c>
      <c r="R46" s="417"/>
      <c r="S46" s="1018" t="s">
        <v>94</v>
      </c>
      <c r="T46" s="1018"/>
      <c r="U46" s="1018"/>
      <c r="V46" s="1019"/>
      <c r="W46" s="581">
        <f>SUM(W42:W45)</f>
        <v>16229631</v>
      </c>
      <c r="X46" s="582">
        <f>SUM(X42:X45)</f>
        <v>30754533</v>
      </c>
      <c r="Y46" s="583">
        <f>SUM(Y42:Y45)</f>
        <v>0</v>
      </c>
      <c r="Z46" s="584">
        <f>SUM(X46:Y46)</f>
        <v>30754533</v>
      </c>
      <c r="AA46" s="585">
        <f>X46-D46</f>
        <v>-17201232</v>
      </c>
      <c r="AB46" s="586">
        <f>Y46-E46</f>
        <v>-1627000</v>
      </c>
      <c r="AC46" s="413">
        <f>SUM(AA46:AB46)</f>
        <v>-18828232</v>
      </c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2"/>
      <c r="DO46" s="422"/>
      <c r="DP46" s="422"/>
      <c r="DQ46" s="422"/>
      <c r="DR46" s="422"/>
      <c r="DS46" s="422"/>
      <c r="DT46" s="422"/>
      <c r="DU46" s="422"/>
      <c r="DV46" s="422"/>
      <c r="DW46" s="422"/>
      <c r="DX46" s="422"/>
      <c r="DY46" s="422"/>
      <c r="DZ46" s="422"/>
      <c r="EA46" s="422"/>
      <c r="EB46" s="422"/>
      <c r="EC46" s="422"/>
      <c r="ED46" s="422"/>
      <c r="EE46" s="422"/>
      <c r="EF46" s="422"/>
      <c r="EG46" s="422"/>
      <c r="EH46" s="422"/>
      <c r="EI46" s="422"/>
      <c r="EJ46" s="422"/>
      <c r="EK46" s="422"/>
      <c r="EL46" s="422"/>
      <c r="EM46" s="422"/>
      <c r="EN46" s="422"/>
      <c r="EO46" s="422"/>
      <c r="EP46" s="422"/>
      <c r="EQ46" s="422"/>
      <c r="ER46" s="422"/>
      <c r="ES46" s="422"/>
      <c r="ET46" s="422"/>
      <c r="EU46" s="422"/>
      <c r="EV46" s="422"/>
      <c r="EW46" s="422"/>
      <c r="EX46" s="422"/>
      <c r="EY46" s="422"/>
      <c r="EZ46" s="422"/>
      <c r="FA46" s="422"/>
      <c r="FB46" s="422"/>
      <c r="FC46" s="422"/>
      <c r="FD46" s="422"/>
      <c r="FE46" s="422"/>
      <c r="FF46" s="422"/>
      <c r="FG46" s="422"/>
      <c r="FH46" s="422"/>
      <c r="FI46" s="422"/>
      <c r="FJ46" s="422"/>
      <c r="FK46" s="422"/>
      <c r="FL46" s="422"/>
      <c r="FM46" s="422"/>
      <c r="FN46" s="422"/>
      <c r="FO46" s="422"/>
      <c r="FP46" s="422"/>
      <c r="FQ46" s="422"/>
      <c r="FR46" s="422"/>
      <c r="FS46" s="422"/>
      <c r="FT46" s="422"/>
      <c r="FU46" s="422"/>
      <c r="FV46" s="422"/>
      <c r="FW46" s="422"/>
      <c r="FX46" s="422"/>
      <c r="FY46" s="422"/>
      <c r="FZ46" s="422"/>
      <c r="GA46" s="422"/>
      <c r="GB46" s="422"/>
      <c r="GC46" s="422"/>
      <c r="GD46" s="422"/>
      <c r="GE46" s="422"/>
      <c r="GF46" s="422"/>
      <c r="GG46" s="422"/>
      <c r="GH46" s="422"/>
      <c r="GI46" s="422"/>
      <c r="GJ46" s="422"/>
      <c r="GK46" s="422"/>
      <c r="GL46" s="422"/>
      <c r="GM46" s="422"/>
      <c r="GN46" s="422"/>
      <c r="GO46" s="422"/>
      <c r="GP46" s="422"/>
      <c r="GQ46" s="422"/>
      <c r="GR46" s="422"/>
      <c r="GS46" s="422"/>
      <c r="GT46" s="422"/>
      <c r="GU46" s="422"/>
      <c r="GV46" s="422"/>
      <c r="GW46" s="422"/>
      <c r="GX46" s="422"/>
      <c r="GY46" s="422"/>
      <c r="GZ46" s="422"/>
      <c r="HA46" s="422"/>
      <c r="HB46" s="422"/>
      <c r="HC46" s="422"/>
      <c r="HD46" s="422"/>
      <c r="HE46" s="422"/>
      <c r="HF46" s="422"/>
      <c r="HG46" s="422"/>
      <c r="HH46" s="422"/>
      <c r="HI46" s="422"/>
      <c r="HJ46" s="422"/>
      <c r="HK46" s="422"/>
      <c r="HL46" s="422"/>
      <c r="HM46" s="422"/>
      <c r="HN46" s="422"/>
      <c r="HO46" s="422"/>
    </row>
    <row r="47" spans="1:29" ht="17.25" thickBot="1" thickTop="1">
      <c r="A47" s="344"/>
      <c r="B47" s="345"/>
      <c r="C47" s="345"/>
      <c r="D47" s="346"/>
      <c r="E47" s="347"/>
      <c r="F47" s="348"/>
      <c r="G47" s="347"/>
      <c r="H47" s="347"/>
      <c r="I47" s="349"/>
      <c r="J47" s="349"/>
      <c r="K47" s="350"/>
      <c r="L47" s="351"/>
      <c r="M47" s="347"/>
      <c r="N47" s="347"/>
      <c r="O47" s="347"/>
      <c r="P47" s="347"/>
      <c r="Q47" s="350"/>
      <c r="R47" s="347"/>
      <c r="S47" s="347"/>
      <c r="T47" s="347"/>
      <c r="U47" s="347"/>
      <c r="V47" s="347"/>
      <c r="W47" s="352"/>
      <c r="X47" s="353"/>
      <c r="Y47" s="354"/>
      <c r="Z47" s="355"/>
      <c r="AA47" s="344"/>
      <c r="AB47" s="356"/>
      <c r="AC47" s="357"/>
    </row>
    <row r="48" spans="1:29" ht="14.25" thickBot="1" thickTop="1">
      <c r="A48" s="1070" t="s">
        <v>678</v>
      </c>
      <c r="B48" s="1071"/>
      <c r="C48" s="1071"/>
      <c r="D48" s="1016" t="s">
        <v>354</v>
      </c>
      <c r="E48" s="989"/>
      <c r="F48" s="1017"/>
      <c r="G48" s="988" t="s">
        <v>466</v>
      </c>
      <c r="H48" s="1062"/>
      <c r="I48" s="1062"/>
      <c r="J48" s="1062"/>
      <c r="K48" s="1063"/>
      <c r="L48" s="996" t="s">
        <v>467</v>
      </c>
      <c r="M48" s="1033"/>
      <c r="N48" s="1033"/>
      <c r="O48" s="1033"/>
      <c r="P48" s="1033"/>
      <c r="Q48" s="1034"/>
      <c r="R48" s="996" t="s">
        <v>468</v>
      </c>
      <c r="S48" s="1033"/>
      <c r="T48" s="1033"/>
      <c r="U48" s="1033"/>
      <c r="V48" s="1033"/>
      <c r="W48" s="1041"/>
      <c r="X48" s="983" t="s">
        <v>469</v>
      </c>
      <c r="Y48" s="984"/>
      <c r="Z48" s="984"/>
      <c r="AA48" s="978" t="s">
        <v>87</v>
      </c>
      <c r="AB48" s="979"/>
      <c r="AC48" s="980"/>
    </row>
    <row r="49" spans="1:223" s="568" customFormat="1" ht="32.25" customHeight="1" thickBot="1">
      <c r="A49" s="1072"/>
      <c r="B49" s="1073"/>
      <c r="C49" s="1073"/>
      <c r="D49" s="403" t="s">
        <v>88</v>
      </c>
      <c r="E49" s="608" t="s">
        <v>85</v>
      </c>
      <c r="F49" s="256" t="s">
        <v>89</v>
      </c>
      <c r="G49" s="1064"/>
      <c r="H49" s="1065"/>
      <c r="I49" s="1065"/>
      <c r="J49" s="1065"/>
      <c r="K49" s="1066"/>
      <c r="L49" s="1035"/>
      <c r="M49" s="1036"/>
      <c r="N49" s="1036"/>
      <c r="O49" s="1036"/>
      <c r="P49" s="1036"/>
      <c r="Q49" s="1037"/>
      <c r="R49" s="1035"/>
      <c r="S49" s="1036"/>
      <c r="T49" s="1036"/>
      <c r="U49" s="1036"/>
      <c r="V49" s="1036"/>
      <c r="W49" s="1042"/>
      <c r="X49" s="593" t="s">
        <v>88</v>
      </c>
      <c r="Y49" s="403" t="s">
        <v>85</v>
      </c>
      <c r="Z49" s="594" t="s">
        <v>89</v>
      </c>
      <c r="AA49" s="402" t="s">
        <v>88</v>
      </c>
      <c r="AB49" s="403" t="s">
        <v>85</v>
      </c>
      <c r="AC49" s="256" t="s">
        <v>89</v>
      </c>
      <c r="AD49" s="587"/>
      <c r="AE49" s="587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7"/>
      <c r="AY49" s="587"/>
      <c r="AZ49" s="587"/>
      <c r="BA49" s="587"/>
      <c r="BB49" s="587"/>
      <c r="BC49" s="587"/>
      <c r="BD49" s="587"/>
      <c r="BE49" s="587"/>
      <c r="BF49" s="587"/>
      <c r="BG49" s="587"/>
      <c r="BH49" s="587"/>
      <c r="BI49" s="587"/>
      <c r="BJ49" s="587"/>
      <c r="BK49" s="587"/>
      <c r="BL49" s="587"/>
      <c r="BM49" s="587"/>
      <c r="BN49" s="587"/>
      <c r="BO49" s="587"/>
      <c r="BP49" s="587"/>
      <c r="BQ49" s="587"/>
      <c r="BR49" s="587"/>
      <c r="BS49" s="587"/>
      <c r="BT49" s="587"/>
      <c r="BU49" s="587"/>
      <c r="BV49" s="587"/>
      <c r="BW49" s="587"/>
      <c r="BX49" s="587"/>
      <c r="BY49" s="587"/>
      <c r="BZ49" s="587"/>
      <c r="CA49" s="587"/>
      <c r="CB49" s="587"/>
      <c r="CC49" s="587"/>
      <c r="CD49" s="587"/>
      <c r="CE49" s="587"/>
      <c r="CF49" s="587"/>
      <c r="CG49" s="587"/>
      <c r="CH49" s="587"/>
      <c r="CI49" s="587"/>
      <c r="CJ49" s="587"/>
      <c r="CK49" s="587"/>
      <c r="CL49" s="587"/>
      <c r="CM49" s="587"/>
      <c r="CN49" s="587"/>
      <c r="CO49" s="587"/>
      <c r="CP49" s="587"/>
      <c r="CQ49" s="587"/>
      <c r="CR49" s="587"/>
      <c r="CS49" s="587"/>
      <c r="CT49" s="587"/>
      <c r="CU49" s="587"/>
      <c r="CV49" s="587"/>
      <c r="CW49" s="587"/>
      <c r="CX49" s="587"/>
      <c r="CY49" s="587"/>
      <c r="CZ49" s="587"/>
      <c r="DA49" s="587"/>
      <c r="DB49" s="587"/>
      <c r="DC49" s="587"/>
      <c r="DD49" s="587"/>
      <c r="DE49" s="587"/>
      <c r="DF49" s="587"/>
      <c r="DG49" s="587"/>
      <c r="DH49" s="587"/>
      <c r="DI49" s="587"/>
      <c r="DJ49" s="587"/>
      <c r="DK49" s="587"/>
      <c r="DL49" s="587"/>
      <c r="DM49" s="587"/>
      <c r="DN49" s="587"/>
      <c r="DO49" s="587"/>
      <c r="DP49" s="587"/>
      <c r="DQ49" s="587"/>
      <c r="DR49" s="587"/>
      <c r="DS49" s="587"/>
      <c r="DT49" s="587"/>
      <c r="DU49" s="587"/>
      <c r="DV49" s="587"/>
      <c r="DW49" s="587"/>
      <c r="DX49" s="587"/>
      <c r="DY49" s="587"/>
      <c r="DZ49" s="587"/>
      <c r="EA49" s="587"/>
      <c r="EB49" s="587"/>
      <c r="EC49" s="587"/>
      <c r="ED49" s="587"/>
      <c r="EE49" s="587"/>
      <c r="EF49" s="587"/>
      <c r="EG49" s="587"/>
      <c r="EH49" s="587"/>
      <c r="EI49" s="587"/>
      <c r="EJ49" s="587"/>
      <c r="EK49" s="587"/>
      <c r="EL49" s="587"/>
      <c r="EM49" s="587"/>
      <c r="EN49" s="587"/>
      <c r="EO49" s="587"/>
      <c r="EP49" s="587"/>
      <c r="EQ49" s="587"/>
      <c r="ER49" s="587"/>
      <c r="ES49" s="587"/>
      <c r="ET49" s="587"/>
      <c r="EU49" s="587"/>
      <c r="EV49" s="587"/>
      <c r="EW49" s="587"/>
      <c r="EX49" s="587"/>
      <c r="EY49" s="587"/>
      <c r="EZ49" s="587"/>
      <c r="FA49" s="587"/>
      <c r="FB49" s="587"/>
      <c r="FC49" s="587"/>
      <c r="FD49" s="587"/>
      <c r="FE49" s="587"/>
      <c r="FF49" s="587"/>
      <c r="FG49" s="587"/>
      <c r="FH49" s="587"/>
      <c r="FI49" s="587"/>
      <c r="FJ49" s="587"/>
      <c r="FK49" s="587"/>
      <c r="FL49" s="587"/>
      <c r="FM49" s="587"/>
      <c r="FN49" s="587"/>
      <c r="FO49" s="587"/>
      <c r="FP49" s="587"/>
      <c r="FQ49" s="587"/>
      <c r="FR49" s="587"/>
      <c r="FS49" s="587"/>
      <c r="FT49" s="587"/>
      <c r="FU49" s="587"/>
      <c r="FV49" s="587"/>
      <c r="FW49" s="587"/>
      <c r="FX49" s="587"/>
      <c r="FY49" s="587"/>
      <c r="FZ49" s="587"/>
      <c r="GA49" s="587"/>
      <c r="GB49" s="587"/>
      <c r="GC49" s="587"/>
      <c r="GD49" s="587"/>
      <c r="GE49" s="587"/>
      <c r="GF49" s="587"/>
      <c r="GG49" s="587"/>
      <c r="GH49" s="587"/>
      <c r="GI49" s="587"/>
      <c r="GJ49" s="587"/>
      <c r="GK49" s="587"/>
      <c r="GL49" s="587"/>
      <c r="GM49" s="587"/>
      <c r="GN49" s="587"/>
      <c r="GO49" s="587"/>
      <c r="GP49" s="587"/>
      <c r="GQ49" s="587"/>
      <c r="GR49" s="587"/>
      <c r="GS49" s="587"/>
      <c r="GT49" s="587"/>
      <c r="GU49" s="587"/>
      <c r="GV49" s="587"/>
      <c r="GW49" s="587"/>
      <c r="GX49" s="587"/>
      <c r="GY49" s="587"/>
      <c r="GZ49" s="587"/>
      <c r="HA49" s="587"/>
      <c r="HB49" s="587"/>
      <c r="HC49" s="587"/>
      <c r="HD49" s="587"/>
      <c r="HE49" s="587"/>
      <c r="HF49" s="587"/>
      <c r="HG49" s="587"/>
      <c r="HH49" s="587"/>
      <c r="HI49" s="587"/>
      <c r="HJ49" s="587"/>
      <c r="HK49" s="587"/>
      <c r="HL49" s="587"/>
      <c r="HM49" s="587"/>
      <c r="HN49" s="587"/>
      <c r="HO49" s="587"/>
    </row>
    <row r="50" spans="1:29" ht="25.5" customHeight="1">
      <c r="A50" s="340"/>
      <c r="B50" s="299"/>
      <c r="C50" s="299"/>
      <c r="D50" s="327"/>
      <c r="E50" s="299"/>
      <c r="F50" s="300"/>
      <c r="G50" s="1076" t="s">
        <v>442</v>
      </c>
      <c r="H50" s="1009"/>
      <c r="I50" s="1009"/>
      <c r="J50" s="425">
        <v>17434600</v>
      </c>
      <c r="K50" s="971">
        <f>SUM(J50:J58)</f>
        <v>195245548</v>
      </c>
      <c r="L50" s="1043"/>
      <c r="M50" s="999"/>
      <c r="N50" s="999"/>
      <c r="O50" s="999"/>
      <c r="P50" s="425"/>
      <c r="Q50" s="1023">
        <f>SUM(P50:P58)</f>
        <v>0</v>
      </c>
      <c r="R50" s="1025" t="s">
        <v>474</v>
      </c>
      <c r="S50" s="977"/>
      <c r="T50" s="977"/>
      <c r="U50" s="977"/>
      <c r="V50" s="428">
        <v>1411725</v>
      </c>
      <c r="W50" s="1100">
        <f>SUM(V50:V55)</f>
        <v>1961749</v>
      </c>
      <c r="X50" s="299"/>
      <c r="Y50" s="327"/>
      <c r="Z50" s="359"/>
      <c r="AA50" s="340"/>
      <c r="AB50" s="327"/>
      <c r="AC50" s="275"/>
    </row>
    <row r="51" spans="1:29" ht="25.5" customHeight="1">
      <c r="A51" s="340"/>
      <c r="B51" s="299"/>
      <c r="C51" s="326"/>
      <c r="D51" s="327"/>
      <c r="E51" s="299"/>
      <c r="F51" s="300"/>
      <c r="G51" s="976" t="s">
        <v>557</v>
      </c>
      <c r="H51" s="977"/>
      <c r="I51" s="977"/>
      <c r="J51" s="425">
        <v>94595400</v>
      </c>
      <c r="K51" s="995"/>
      <c r="L51" s="1044"/>
      <c r="M51" s="1045"/>
      <c r="N51" s="1045"/>
      <c r="O51" s="1045"/>
      <c r="P51" s="301"/>
      <c r="Q51" s="1024"/>
      <c r="R51" s="1008" t="s">
        <v>673</v>
      </c>
      <c r="S51" s="1009"/>
      <c r="T51" s="1009"/>
      <c r="U51" s="1009"/>
      <c r="V51" s="428">
        <f>550024</f>
        <v>550024</v>
      </c>
      <c r="W51" s="1101"/>
      <c r="X51" s="262"/>
      <c r="Y51" s="285"/>
      <c r="Z51" s="273"/>
      <c r="AA51" s="284"/>
      <c r="AB51" s="285"/>
      <c r="AC51" s="286"/>
    </row>
    <row r="52" spans="1:29" ht="30" customHeight="1">
      <c r="A52" s="340"/>
      <c r="B52" s="299"/>
      <c r="C52" s="326"/>
      <c r="D52" s="327"/>
      <c r="E52" s="299"/>
      <c r="F52" s="300"/>
      <c r="G52" s="976" t="s">
        <v>480</v>
      </c>
      <c r="H52" s="977"/>
      <c r="I52" s="977"/>
      <c r="J52" s="428">
        <v>6068200</v>
      </c>
      <c r="K52" s="995"/>
      <c r="L52" s="409"/>
      <c r="M52" s="410"/>
      <c r="N52" s="410"/>
      <c r="O52" s="410"/>
      <c r="P52" s="301"/>
      <c r="Q52" s="1024"/>
      <c r="R52" s="1025"/>
      <c r="S52" s="977"/>
      <c r="T52" s="977"/>
      <c r="U52" s="977"/>
      <c r="V52" s="428"/>
      <c r="W52" s="1101"/>
      <c r="X52" s="262"/>
      <c r="Y52" s="285"/>
      <c r="Z52" s="273"/>
      <c r="AA52" s="284"/>
      <c r="AB52" s="285"/>
      <c r="AC52" s="286"/>
    </row>
    <row r="53" spans="1:29" ht="26.25" customHeight="1">
      <c r="A53" s="1020" t="s">
        <v>445</v>
      </c>
      <c r="B53" s="1051"/>
      <c r="C53" s="1052"/>
      <c r="D53" s="332">
        <f>SUM('6. kiadások megbontása'!D71)</f>
        <v>241884500</v>
      </c>
      <c r="E53" s="280">
        <f>SUM('6. kiadások megbontása'!E71)</f>
        <v>3256464</v>
      </c>
      <c r="F53" s="281">
        <f>SUM(D53:E53)</f>
        <v>245140964</v>
      </c>
      <c r="G53" s="976" t="s">
        <v>675</v>
      </c>
      <c r="H53" s="977"/>
      <c r="I53" s="977"/>
      <c r="J53" s="631">
        <v>23648884</v>
      </c>
      <c r="K53" s="995"/>
      <c r="L53" s="325"/>
      <c r="M53" s="299"/>
      <c r="N53" s="299"/>
      <c r="O53" s="299"/>
      <c r="P53" s="299"/>
      <c r="Q53" s="1024"/>
      <c r="R53" s="1000"/>
      <c r="S53" s="982"/>
      <c r="T53" s="982"/>
      <c r="U53" s="982"/>
      <c r="V53" s="428"/>
      <c r="W53" s="1101"/>
      <c r="X53" s="360">
        <f>SUM(W50+Q50+K50)</f>
        <v>197207297</v>
      </c>
      <c r="Y53" s="293">
        <f>W56</f>
        <v>1637849</v>
      </c>
      <c r="Z53" s="294">
        <f>SUM(X53:Y53)</f>
        <v>198845146</v>
      </c>
      <c r="AA53" s="361">
        <f>X53-D53</f>
        <v>-44677203</v>
      </c>
      <c r="AB53" s="293">
        <f>Y53-E53</f>
        <v>-1618615</v>
      </c>
      <c r="AC53" s="295">
        <f>SUM(AA53:AB53)</f>
        <v>-46295818</v>
      </c>
    </row>
    <row r="54" spans="1:29" ht="29.25" customHeight="1">
      <c r="A54" s="276"/>
      <c r="B54" s="362"/>
      <c r="C54" s="514"/>
      <c r="D54" s="332"/>
      <c r="E54" s="280"/>
      <c r="F54" s="281"/>
      <c r="G54" s="976" t="s">
        <v>677</v>
      </c>
      <c r="H54" s="977"/>
      <c r="I54" s="977"/>
      <c r="J54" s="428">
        <f>3740000+18150000+418000</f>
        <v>22308000</v>
      </c>
      <c r="K54" s="995"/>
      <c r="L54" s="325"/>
      <c r="M54" s="299"/>
      <c r="N54" s="299"/>
      <c r="O54" s="299"/>
      <c r="P54" s="363"/>
      <c r="Q54" s="1024"/>
      <c r="R54" s="1000"/>
      <c r="S54" s="982"/>
      <c r="T54" s="982"/>
      <c r="U54" s="982"/>
      <c r="V54" s="428"/>
      <c r="W54" s="1101"/>
      <c r="X54" s="342"/>
      <c r="Y54" s="283"/>
      <c r="Z54" s="294"/>
      <c r="AA54" s="292"/>
      <c r="AB54" s="293"/>
      <c r="AC54" s="286"/>
    </row>
    <row r="55" spans="1:29" ht="29.25" customHeight="1" thickBot="1">
      <c r="A55" s="276"/>
      <c r="B55" s="362"/>
      <c r="C55" s="514"/>
      <c r="D55" s="332"/>
      <c r="E55" s="280"/>
      <c r="F55" s="281"/>
      <c r="G55" s="976" t="s">
        <v>722</v>
      </c>
      <c r="H55" s="977"/>
      <c r="I55" s="977"/>
      <c r="J55" s="428">
        <v>7303142</v>
      </c>
      <c r="K55" s="995"/>
      <c r="L55" s="325"/>
      <c r="M55" s="299"/>
      <c r="N55" s="299"/>
      <c r="O55" s="299"/>
      <c r="P55" s="363"/>
      <c r="Q55" s="1024"/>
      <c r="R55" s="408"/>
      <c r="S55" s="511"/>
      <c r="T55" s="511"/>
      <c r="U55" s="511"/>
      <c r="V55" s="428"/>
      <c r="W55" s="1101"/>
      <c r="X55" s="342"/>
      <c r="Y55" s="283"/>
      <c r="Z55" s="294"/>
      <c r="AA55" s="292"/>
      <c r="AB55" s="293"/>
      <c r="AC55" s="286"/>
    </row>
    <row r="56" spans="1:29" ht="29.25" customHeight="1">
      <c r="A56" s="276"/>
      <c r="B56" s="362"/>
      <c r="C56" s="514"/>
      <c r="D56" s="332"/>
      <c r="E56" s="280"/>
      <c r="F56" s="281"/>
      <c r="G56" s="976" t="s">
        <v>707</v>
      </c>
      <c r="H56" s="977"/>
      <c r="I56" s="977"/>
      <c r="J56" s="425">
        <v>11944000</v>
      </c>
      <c r="K56" s="995"/>
      <c r="L56" s="325"/>
      <c r="M56" s="299"/>
      <c r="N56" s="299"/>
      <c r="O56" s="299"/>
      <c r="P56" s="363"/>
      <c r="Q56" s="1024"/>
      <c r="R56" s="1031" t="s">
        <v>668</v>
      </c>
      <c r="S56" s="1032"/>
      <c r="T56" s="1032"/>
      <c r="U56" s="1032"/>
      <c r="V56" s="571">
        <f>1130000+507849</f>
        <v>1637849</v>
      </c>
      <c r="W56" s="1100">
        <f>SUM(V56:V58)</f>
        <v>1637849</v>
      </c>
      <c r="X56" s="342"/>
      <c r="Y56" s="283"/>
      <c r="Z56" s="294"/>
      <c r="AA56" s="292"/>
      <c r="AB56" s="293"/>
      <c r="AC56" s="286"/>
    </row>
    <row r="57" spans="1:29" ht="29.25" customHeight="1">
      <c r="A57" s="276"/>
      <c r="B57" s="362"/>
      <c r="C57" s="514"/>
      <c r="D57" s="332"/>
      <c r="E57" s="280"/>
      <c r="F57" s="281"/>
      <c r="G57" s="981" t="s">
        <v>895</v>
      </c>
      <c r="H57" s="982"/>
      <c r="I57" s="982"/>
      <c r="J57" s="425">
        <f>254623+9577+12631+10068391</f>
        <v>10345222</v>
      </c>
      <c r="K57" s="995"/>
      <c r="L57" s="325"/>
      <c r="M57" s="299"/>
      <c r="N57" s="299"/>
      <c r="O57" s="299"/>
      <c r="P57" s="363"/>
      <c r="Q57" s="1024"/>
      <c r="R57" s="408"/>
      <c r="S57" s="511"/>
      <c r="T57" s="511"/>
      <c r="U57" s="511"/>
      <c r="V57" s="428"/>
      <c r="W57" s="1101"/>
      <c r="X57" s="342"/>
      <c r="Y57" s="283"/>
      <c r="Z57" s="294"/>
      <c r="AA57" s="292"/>
      <c r="AB57" s="293"/>
      <c r="AC57" s="286"/>
    </row>
    <row r="58" spans="1:29" ht="29.25" customHeight="1" thickBot="1">
      <c r="A58" s="276"/>
      <c r="B58" s="362"/>
      <c r="C58" s="514"/>
      <c r="D58" s="332"/>
      <c r="E58" s="280"/>
      <c r="F58" s="281"/>
      <c r="G58" s="976" t="s">
        <v>768</v>
      </c>
      <c r="H58" s="977"/>
      <c r="I58" s="977"/>
      <c r="J58" s="634">
        <v>1598100</v>
      </c>
      <c r="K58" s="995"/>
      <c r="L58" s="325"/>
      <c r="M58" s="299"/>
      <c r="N58" s="299"/>
      <c r="O58" s="299"/>
      <c r="P58" s="363"/>
      <c r="Q58" s="1024"/>
      <c r="R58" s="408"/>
      <c r="S58" s="511"/>
      <c r="T58" s="511"/>
      <c r="U58" s="511"/>
      <c r="V58" s="428"/>
      <c r="W58" s="1122"/>
      <c r="X58" s="342"/>
      <c r="Y58" s="283"/>
      <c r="Z58" s="294"/>
      <c r="AA58" s="292"/>
      <c r="AB58" s="293"/>
      <c r="AC58" s="286"/>
    </row>
    <row r="59" spans="1:29" ht="29.25" customHeight="1">
      <c r="A59" s="364"/>
      <c r="B59" s="365"/>
      <c r="C59" s="414"/>
      <c r="D59" s="366"/>
      <c r="E59" s="367"/>
      <c r="F59" s="368"/>
      <c r="G59" s="664"/>
      <c r="H59" s="663"/>
      <c r="I59" s="663"/>
      <c r="J59" s="633"/>
      <c r="K59" s="619"/>
      <c r="L59" s="1043" t="s">
        <v>890</v>
      </c>
      <c r="M59" s="999"/>
      <c r="N59" s="999"/>
      <c r="O59" s="999"/>
      <c r="P59" s="369">
        <v>5354163</v>
      </c>
      <c r="Q59" s="1026">
        <f>SUM(P59:P61)</f>
        <v>14717856</v>
      </c>
      <c r="R59" s="1123" t="s">
        <v>998</v>
      </c>
      <c r="S59" s="1124"/>
      <c r="T59" s="1124"/>
      <c r="U59" s="1124"/>
      <c r="V59" s="369">
        <v>348851</v>
      </c>
      <c r="W59" s="1100">
        <f>SUM(V59:V61)</f>
        <v>18641229</v>
      </c>
      <c r="X59" s="668"/>
      <c r="Y59" s="372"/>
      <c r="Z59" s="373"/>
      <c r="AA59" s="374"/>
      <c r="AB59" s="375"/>
      <c r="AC59" s="376"/>
    </row>
    <row r="60" spans="1:29" ht="29.25" customHeight="1">
      <c r="A60" s="276"/>
      <c r="B60" s="362"/>
      <c r="C60" s="514"/>
      <c r="D60" s="332"/>
      <c r="E60" s="280"/>
      <c r="F60" s="281"/>
      <c r="G60" s="842"/>
      <c r="H60" s="612"/>
      <c r="I60" s="612"/>
      <c r="J60" s="634"/>
      <c r="K60" s="662"/>
      <c r="L60" s="1000" t="s">
        <v>997</v>
      </c>
      <c r="M60" s="982"/>
      <c r="N60" s="982"/>
      <c r="O60" s="982"/>
      <c r="P60" s="424">
        <v>1952578</v>
      </c>
      <c r="Q60" s="1027"/>
      <c r="R60" s="1000" t="s">
        <v>999</v>
      </c>
      <c r="S60" s="982"/>
      <c r="T60" s="982"/>
      <c r="U60" s="982"/>
      <c r="V60" s="424">
        <v>31954</v>
      </c>
      <c r="W60" s="1101"/>
      <c r="X60" s="342"/>
      <c r="Y60" s="283"/>
      <c r="Z60" s="294"/>
      <c r="AA60" s="292"/>
      <c r="AB60" s="293"/>
      <c r="AC60" s="286"/>
    </row>
    <row r="61" spans="1:29" ht="27.75" customHeight="1" thickBot="1">
      <c r="A61" s="1059" t="s">
        <v>446</v>
      </c>
      <c r="B61" s="1060"/>
      <c r="C61" s="1061"/>
      <c r="D61" s="665">
        <f>SUM('6. kiadások megbontása'!G71)</f>
        <v>37477660</v>
      </c>
      <c r="E61" s="665">
        <f>SUM('6. kiadások megbontása'!H71)</f>
        <v>111425</v>
      </c>
      <c r="F61" s="666">
        <f>SUM(D61:E61)</f>
        <v>37589085</v>
      </c>
      <c r="G61" s="976"/>
      <c r="H61" s="977"/>
      <c r="I61" s="977"/>
      <c r="J61" s="425"/>
      <c r="K61" s="662">
        <f>SUM(J61:J61)</f>
        <v>0</v>
      </c>
      <c r="L61" s="1029" t="s">
        <v>719</v>
      </c>
      <c r="M61" s="1030"/>
      <c r="N61" s="1030"/>
      <c r="O61" s="1030"/>
      <c r="P61" s="424">
        <v>7411115</v>
      </c>
      <c r="Q61" s="1028"/>
      <c r="R61" s="1074" t="s">
        <v>825</v>
      </c>
      <c r="S61" s="1075"/>
      <c r="T61" s="1075"/>
      <c r="U61" s="1075"/>
      <c r="V61" s="424">
        <f>7760424+10500000</f>
        <v>18260424</v>
      </c>
      <c r="W61" s="1122"/>
      <c r="X61" s="667">
        <f>SUM(K61+Q59+W59)</f>
        <v>33359085</v>
      </c>
      <c r="Y61" s="283">
        <v>0</v>
      </c>
      <c r="Z61" s="286">
        <f>SUM(X61:Y61)</f>
        <v>33359085</v>
      </c>
      <c r="AA61" s="591">
        <f>X61-D61</f>
        <v>-4118575</v>
      </c>
      <c r="AB61" s="283">
        <f>Y61-E61</f>
        <v>-111425</v>
      </c>
      <c r="AC61" s="324">
        <f>SUM(AA61:AB61)</f>
        <v>-4230000</v>
      </c>
    </row>
    <row r="62" spans="1:223" s="407" customFormat="1" ht="44.25" customHeight="1" thickBot="1" thickTop="1">
      <c r="A62" s="1053" t="s">
        <v>720</v>
      </c>
      <c r="B62" s="1054"/>
      <c r="C62" s="1055"/>
      <c r="D62" s="620">
        <f>SUM(D51:D61)</f>
        <v>279362160</v>
      </c>
      <c r="E62" s="621">
        <f>SUM(E51:E61)</f>
        <v>3367889</v>
      </c>
      <c r="F62" s="622">
        <f>SUM(D62:E62)</f>
        <v>282730049</v>
      </c>
      <c r="G62" s="575"/>
      <c r="H62" s="973" t="s">
        <v>92</v>
      </c>
      <c r="I62" s="974"/>
      <c r="J62" s="975"/>
      <c r="K62" s="416">
        <f>SUM(K50:K61)</f>
        <v>195245548</v>
      </c>
      <c r="L62" s="415"/>
      <c r="M62" s="1018" t="s">
        <v>93</v>
      </c>
      <c r="N62" s="1018"/>
      <c r="O62" s="1018"/>
      <c r="P62" s="1019"/>
      <c r="Q62" s="416">
        <f>SUM(Q50:Q59)</f>
        <v>14717856</v>
      </c>
      <c r="R62" s="417"/>
      <c r="S62" s="1018" t="s">
        <v>94</v>
      </c>
      <c r="T62" s="1018"/>
      <c r="U62" s="1018"/>
      <c r="V62" s="1019"/>
      <c r="W62" s="416">
        <f>SUM(W50:W59)</f>
        <v>22240827</v>
      </c>
      <c r="X62" s="418">
        <f>SUM(X49:X61)</f>
        <v>230566382</v>
      </c>
      <c r="Y62" s="419">
        <f>SUM(Y49:Y61)</f>
        <v>1637849</v>
      </c>
      <c r="Z62" s="420">
        <f>SUM(X62:Y62)</f>
        <v>232204231</v>
      </c>
      <c r="AA62" s="418">
        <f>X62-D62</f>
        <v>-48795778</v>
      </c>
      <c r="AB62" s="421">
        <f>Y62-E62</f>
        <v>-1730040</v>
      </c>
      <c r="AC62" s="420">
        <f>SUM(AA62:AB62)</f>
        <v>-50525818</v>
      </c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2"/>
      <c r="CG62" s="422"/>
      <c r="CH62" s="422"/>
      <c r="CI62" s="422"/>
      <c r="CJ62" s="422"/>
      <c r="CK62" s="422"/>
      <c r="CL62" s="422"/>
      <c r="CM62" s="422"/>
      <c r="CN62" s="422"/>
      <c r="CO62" s="422"/>
      <c r="CP62" s="422"/>
      <c r="CQ62" s="422"/>
      <c r="CR62" s="422"/>
      <c r="CS62" s="422"/>
      <c r="CT62" s="422"/>
      <c r="CU62" s="422"/>
      <c r="CV62" s="422"/>
      <c r="CW62" s="422"/>
      <c r="CX62" s="422"/>
      <c r="CY62" s="422"/>
      <c r="CZ62" s="422"/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2"/>
      <c r="DS62" s="422"/>
      <c r="DT62" s="422"/>
      <c r="DU62" s="422"/>
      <c r="DV62" s="422"/>
      <c r="DW62" s="422"/>
      <c r="DX62" s="422"/>
      <c r="DY62" s="422"/>
      <c r="DZ62" s="422"/>
      <c r="EA62" s="422"/>
      <c r="EB62" s="422"/>
      <c r="EC62" s="422"/>
      <c r="ED62" s="422"/>
      <c r="EE62" s="422"/>
      <c r="EF62" s="422"/>
      <c r="EG62" s="422"/>
      <c r="EH62" s="422"/>
      <c r="EI62" s="422"/>
      <c r="EJ62" s="422"/>
      <c r="EK62" s="422"/>
      <c r="EL62" s="422"/>
      <c r="EM62" s="422"/>
      <c r="EN62" s="422"/>
      <c r="EO62" s="422"/>
      <c r="EP62" s="422"/>
      <c r="EQ62" s="422"/>
      <c r="ER62" s="422"/>
      <c r="ES62" s="422"/>
      <c r="ET62" s="422"/>
      <c r="EU62" s="422"/>
      <c r="EV62" s="422"/>
      <c r="EW62" s="422"/>
      <c r="EX62" s="422"/>
      <c r="EY62" s="422"/>
      <c r="EZ62" s="422"/>
      <c r="FA62" s="422"/>
      <c r="FB62" s="422"/>
      <c r="FC62" s="422"/>
      <c r="FD62" s="422"/>
      <c r="FE62" s="422"/>
      <c r="FF62" s="422"/>
      <c r="FG62" s="422"/>
      <c r="FH62" s="422"/>
      <c r="FI62" s="422"/>
      <c r="FJ62" s="422"/>
      <c r="FK62" s="422"/>
      <c r="FL62" s="422"/>
      <c r="FM62" s="422"/>
      <c r="FN62" s="422"/>
      <c r="FO62" s="422"/>
      <c r="FP62" s="422"/>
      <c r="FQ62" s="422"/>
      <c r="FR62" s="422"/>
      <c r="FS62" s="422"/>
      <c r="FT62" s="422"/>
      <c r="FU62" s="422"/>
      <c r="FV62" s="422"/>
      <c r="FW62" s="422"/>
      <c r="FX62" s="422"/>
      <c r="FY62" s="422"/>
      <c r="FZ62" s="422"/>
      <c r="GA62" s="422"/>
      <c r="GB62" s="422"/>
      <c r="GC62" s="422"/>
      <c r="GD62" s="422"/>
      <c r="GE62" s="422"/>
      <c r="GF62" s="422"/>
      <c r="GG62" s="422"/>
      <c r="GH62" s="422"/>
      <c r="GI62" s="422"/>
      <c r="GJ62" s="422"/>
      <c r="GK62" s="422"/>
      <c r="GL62" s="422"/>
      <c r="GM62" s="422"/>
      <c r="GN62" s="422"/>
      <c r="GO62" s="422"/>
      <c r="GP62" s="422"/>
      <c r="GQ62" s="422"/>
      <c r="GR62" s="422"/>
      <c r="GS62" s="422"/>
      <c r="GT62" s="422"/>
      <c r="GU62" s="422"/>
      <c r="GV62" s="422"/>
      <c r="GW62" s="422"/>
      <c r="GX62" s="422"/>
      <c r="GY62" s="422"/>
      <c r="GZ62" s="422"/>
      <c r="HA62" s="422"/>
      <c r="HB62" s="422"/>
      <c r="HC62" s="422"/>
      <c r="HD62" s="422"/>
      <c r="HE62" s="422"/>
      <c r="HF62" s="422"/>
      <c r="HG62" s="422"/>
      <c r="HH62" s="422"/>
      <c r="HI62" s="422"/>
      <c r="HJ62" s="422"/>
      <c r="HK62" s="422"/>
      <c r="HL62" s="422"/>
      <c r="HM62" s="422"/>
      <c r="HN62" s="422"/>
      <c r="HO62" s="422"/>
    </row>
    <row r="63" spans="1:29" ht="21" customHeight="1" thickBot="1" thickTop="1">
      <c r="A63" s="1046" t="s">
        <v>357</v>
      </c>
      <c r="B63" s="1047"/>
      <c r="C63" s="1048"/>
      <c r="D63" s="378">
        <f>SUM(D62,D39,D31,D46)</f>
        <v>1379689084</v>
      </c>
      <c r="E63" s="378">
        <f>SUM(E62,E39,E31,E46)</f>
        <v>960112067</v>
      </c>
      <c r="F63" s="379">
        <f>SUM(D63:E63)</f>
        <v>2339801151</v>
      </c>
      <c r="G63" s="380"/>
      <c r="H63" s="1056" t="s">
        <v>95</v>
      </c>
      <c r="I63" s="1057"/>
      <c r="J63" s="1058"/>
      <c r="K63" s="382">
        <f>SUM(K62,K39,K31,K46)</f>
        <v>525869524</v>
      </c>
      <c r="L63" s="381"/>
      <c r="M63" s="1039" t="s">
        <v>96</v>
      </c>
      <c r="N63" s="1039"/>
      <c r="O63" s="1039"/>
      <c r="P63" s="1040"/>
      <c r="Q63" s="382">
        <f>SUM(Q62,Q39,Q31,Q46)</f>
        <v>267956060</v>
      </c>
      <c r="R63" s="383"/>
      <c r="S63" s="1039" t="s">
        <v>97</v>
      </c>
      <c r="T63" s="1039"/>
      <c r="U63" s="1039"/>
      <c r="V63" s="1040"/>
      <c r="W63" s="589">
        <f>SUM(W62,W39,W31,W46)</f>
        <v>1545975567</v>
      </c>
      <c r="X63" s="590">
        <f>SUM(X62,X39,X31,X46)</f>
        <v>1339950970</v>
      </c>
      <c r="Y63" s="384">
        <f>SUM(Y62,Y39,Y31,Y46)</f>
        <v>999850181</v>
      </c>
      <c r="Z63" s="385">
        <f>SUM(W63+Q63+K63)</f>
        <v>2339801151</v>
      </c>
      <c r="AA63" s="384">
        <f>SUM(AA62,AA39,AA31,AA46)</f>
        <v>-39738114</v>
      </c>
      <c r="AB63" s="384">
        <f>SUM(AB62,AB39,AB31,AB46)</f>
        <v>39738114</v>
      </c>
      <c r="AC63" s="565">
        <f>SUM(AC62,AC39,AC31,AC46)</f>
        <v>0</v>
      </c>
    </row>
    <row r="64" spans="1:29" ht="19.5" thickTop="1">
      <c r="A64" s="1049"/>
      <c r="B64" s="1050"/>
      <c r="C64" s="1050"/>
      <c r="D64" s="358"/>
      <c r="E64" s="358"/>
      <c r="F64" s="358"/>
      <c r="G64" s="313"/>
      <c r="H64" s="313"/>
      <c r="I64" s="313"/>
      <c r="J64" s="386"/>
      <c r="K64" s="337"/>
      <c r="L64" s="311"/>
      <c r="M64" s="299"/>
      <c r="N64" s="299"/>
      <c r="O64" s="299"/>
      <c r="P64" s="299"/>
      <c r="Q64" s="299"/>
      <c r="R64" s="311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11"/>
    </row>
    <row r="65" spans="1:29" ht="15.75">
      <c r="A65" s="358"/>
      <c r="B65" s="358"/>
      <c r="C65" s="358"/>
      <c r="D65" s="1021" t="s">
        <v>443</v>
      </c>
      <c r="E65" s="1022"/>
      <c r="F65" s="1022"/>
      <c r="G65" s="264"/>
      <c r="H65" s="264"/>
      <c r="I65" s="264"/>
      <c r="J65" s="258"/>
      <c r="K65" s="337"/>
      <c r="L65" s="299"/>
      <c r="M65" s="299"/>
      <c r="N65" s="299"/>
      <c r="O65" s="299"/>
      <c r="P65" s="299"/>
      <c r="Q65" s="299"/>
      <c r="R65" s="299"/>
      <c r="S65" s="358"/>
      <c r="T65" s="358"/>
      <c r="U65" s="358"/>
      <c r="V65" s="358"/>
      <c r="W65" s="1021" t="s">
        <v>98</v>
      </c>
      <c r="X65" s="1022"/>
      <c r="Y65" s="1022"/>
      <c r="Z65" s="387"/>
      <c r="AA65" s="1021" t="s">
        <v>87</v>
      </c>
      <c r="AB65" s="1022"/>
      <c r="AC65" s="1022"/>
    </row>
    <row r="66" spans="1:29" ht="15.75">
      <c r="A66" s="358"/>
      <c r="B66" s="358"/>
      <c r="C66" s="358"/>
      <c r="D66" s="388" t="s">
        <v>88</v>
      </c>
      <c r="E66" s="388" t="s">
        <v>99</v>
      </c>
      <c r="F66" s="388" t="s">
        <v>89</v>
      </c>
      <c r="G66" s="264"/>
      <c r="H66" s="264"/>
      <c r="I66" s="264"/>
      <c r="J66" s="258"/>
      <c r="K66" s="337"/>
      <c r="L66" s="299"/>
      <c r="M66" s="299"/>
      <c r="N66" s="299"/>
      <c r="O66" s="299"/>
      <c r="P66" s="299"/>
      <c r="Q66" s="299"/>
      <c r="R66" s="299"/>
      <c r="S66" s="1038"/>
      <c r="T66" s="1038"/>
      <c r="U66" s="1038"/>
      <c r="V66" s="1038"/>
      <c r="W66" s="388" t="s">
        <v>88</v>
      </c>
      <c r="X66" s="388" t="s">
        <v>99</v>
      </c>
      <c r="Y66" s="388" t="s">
        <v>89</v>
      </c>
      <c r="Z66" s="389"/>
      <c r="AA66" s="388" t="s">
        <v>88</v>
      </c>
      <c r="AB66" s="388" t="s">
        <v>99</v>
      </c>
      <c r="AC66" s="388" t="s">
        <v>89</v>
      </c>
    </row>
    <row r="67" spans="1:29" ht="15.75">
      <c r="A67" s="358"/>
      <c r="B67" s="358"/>
      <c r="C67" s="390" t="s">
        <v>100</v>
      </c>
      <c r="D67" s="358"/>
      <c r="E67" s="358"/>
      <c r="F67" s="358"/>
      <c r="G67" s="264"/>
      <c r="H67" s="264"/>
      <c r="I67" s="264"/>
      <c r="J67" s="258"/>
      <c r="K67" s="337"/>
      <c r="L67" s="299"/>
      <c r="M67" s="299"/>
      <c r="N67" s="299"/>
      <c r="O67" s="299"/>
      <c r="P67" s="299"/>
      <c r="Q67" s="299"/>
      <c r="R67" s="299"/>
      <c r="S67" s="358"/>
      <c r="T67" s="390" t="s">
        <v>100</v>
      </c>
      <c r="U67" s="358"/>
      <c r="V67" s="1021"/>
      <c r="W67" s="1022"/>
      <c r="X67" s="358"/>
      <c r="Y67" s="358"/>
      <c r="Z67" s="358"/>
      <c r="AA67" s="358"/>
      <c r="AB67" s="358"/>
      <c r="AC67" s="299"/>
    </row>
    <row r="68" spans="1:29" ht="15.75">
      <c r="A68" s="358"/>
      <c r="B68" s="358"/>
      <c r="C68" s="358" t="s">
        <v>101</v>
      </c>
      <c r="D68" s="391">
        <f>SUM(D10)</f>
        <v>647510695</v>
      </c>
      <c r="E68" s="391">
        <f>SUM(E10)</f>
        <v>297263367</v>
      </c>
      <c r="F68" s="391">
        <f>SUM(D68:E68)</f>
        <v>944774062</v>
      </c>
      <c r="G68" s="264"/>
      <c r="H68" s="264"/>
      <c r="I68" s="264"/>
      <c r="J68" s="258"/>
      <c r="K68" s="337"/>
      <c r="L68" s="299"/>
      <c r="M68" s="299"/>
      <c r="N68" s="299"/>
      <c r="O68" s="299"/>
      <c r="P68" s="299"/>
      <c r="Q68" s="299"/>
      <c r="R68" s="299"/>
      <c r="S68" s="358"/>
      <c r="T68" s="358" t="s">
        <v>101</v>
      </c>
      <c r="U68" s="358"/>
      <c r="V68" s="358"/>
      <c r="W68" s="391">
        <f>SUM(X15)</f>
        <v>687427454</v>
      </c>
      <c r="X68" s="391">
        <f>Y15</f>
        <v>330528057</v>
      </c>
      <c r="Y68" s="391">
        <f>SUM(W68:X68)</f>
        <v>1017955511</v>
      </c>
      <c r="Z68" s="343"/>
      <c r="AA68" s="391">
        <f aca="true" t="shared" si="0" ref="AA68:AB71">W68-D68</f>
        <v>39916759</v>
      </c>
      <c r="AB68" s="391">
        <f t="shared" si="0"/>
        <v>33264690</v>
      </c>
      <c r="AC68" s="343">
        <f>SUM(AA68:AB68)</f>
        <v>73181449</v>
      </c>
    </row>
    <row r="69" spans="1:29" ht="15.75">
      <c r="A69" s="358"/>
      <c r="B69" s="358"/>
      <c r="C69" s="358" t="s">
        <v>362</v>
      </c>
      <c r="D69" s="391">
        <f>SUM(D37)</f>
        <v>136715523</v>
      </c>
      <c r="E69" s="391">
        <f>SUM(E37)</f>
        <v>1934590</v>
      </c>
      <c r="F69" s="391">
        <f>SUM(D69:E69)</f>
        <v>138650113</v>
      </c>
      <c r="G69" s="264"/>
      <c r="H69" s="264"/>
      <c r="I69" s="264"/>
      <c r="J69" s="392"/>
      <c r="K69" s="337"/>
      <c r="L69" s="299"/>
      <c r="M69" s="299"/>
      <c r="N69" s="299"/>
      <c r="O69" s="299"/>
      <c r="P69" s="299"/>
      <c r="Q69" s="299"/>
      <c r="R69" s="299"/>
      <c r="S69" s="358"/>
      <c r="T69" s="358" t="s">
        <v>362</v>
      </c>
      <c r="U69" s="358"/>
      <c r="V69" s="358"/>
      <c r="W69" s="391">
        <f>SUM(X37)</f>
        <v>150836770</v>
      </c>
      <c r="X69" s="391">
        <f>Y37</f>
        <v>0</v>
      </c>
      <c r="Y69" s="391">
        <f>SUM(W69:X69)</f>
        <v>150836770</v>
      </c>
      <c r="Z69" s="343"/>
      <c r="AA69" s="391">
        <f t="shared" si="0"/>
        <v>14121247</v>
      </c>
      <c r="AB69" s="391">
        <f t="shared" si="0"/>
        <v>-1934590</v>
      </c>
      <c r="AC69" s="343">
        <f>SUM(AA69:AB69)</f>
        <v>12186657</v>
      </c>
    </row>
    <row r="70" spans="1:29" ht="15.75">
      <c r="A70" s="358"/>
      <c r="B70" s="358"/>
      <c r="C70" s="358" t="s">
        <v>706</v>
      </c>
      <c r="D70" s="391">
        <f>SUM(D43)</f>
        <v>35814630</v>
      </c>
      <c r="E70" s="391">
        <f>SUM(E43)</f>
        <v>1627000</v>
      </c>
      <c r="F70" s="391">
        <f>SUM(D70:E70)</f>
        <v>37441630</v>
      </c>
      <c r="G70" s="264"/>
      <c r="H70" s="264"/>
      <c r="I70" s="264"/>
      <c r="J70" s="392"/>
      <c r="K70" s="337"/>
      <c r="L70" s="299"/>
      <c r="M70" s="299"/>
      <c r="N70" s="299"/>
      <c r="O70" s="299"/>
      <c r="P70" s="299"/>
      <c r="Q70" s="299"/>
      <c r="R70" s="299"/>
      <c r="S70" s="358"/>
      <c r="T70" s="358" t="s">
        <v>717</v>
      </c>
      <c r="U70" s="358"/>
      <c r="V70" s="358"/>
      <c r="W70" s="391">
        <f>SUM(X43)</f>
        <v>29032075</v>
      </c>
      <c r="X70" s="391">
        <f>SUM(Y43)</f>
        <v>0</v>
      </c>
      <c r="Y70" s="391">
        <f>SUM(W70:X70)</f>
        <v>29032075</v>
      </c>
      <c r="Z70" s="343"/>
      <c r="AA70" s="391">
        <f>W70-D70</f>
        <v>-6782555</v>
      </c>
      <c r="AB70" s="391">
        <f>X70-E70</f>
        <v>-1627000</v>
      </c>
      <c r="AC70" s="343">
        <f>SUM(AA70:AB70)</f>
        <v>-8409555</v>
      </c>
    </row>
    <row r="71" spans="1:29" ht="12.75">
      <c r="A71" s="358"/>
      <c r="B71" s="358"/>
      <c r="C71" s="393" t="s">
        <v>102</v>
      </c>
      <c r="D71" s="394">
        <f>SUM(D53)</f>
        <v>241884500</v>
      </c>
      <c r="E71" s="394">
        <f>SUM(E53)</f>
        <v>3256464</v>
      </c>
      <c r="F71" s="394">
        <f>SUM(D71:E71)</f>
        <v>245140964</v>
      </c>
      <c r="G71" s="358"/>
      <c r="H71" s="358"/>
      <c r="I71" s="358"/>
      <c r="J71" s="358"/>
      <c r="K71" s="299"/>
      <c r="L71" s="299"/>
      <c r="M71" s="299"/>
      <c r="N71" s="299"/>
      <c r="O71" s="299"/>
      <c r="P71" s="299"/>
      <c r="Q71" s="299"/>
      <c r="R71" s="299"/>
      <c r="S71" s="358"/>
      <c r="T71" s="393" t="s">
        <v>102</v>
      </c>
      <c r="U71" s="395"/>
      <c r="V71" s="395"/>
      <c r="W71" s="394">
        <f>SUM(X53)</f>
        <v>197207297</v>
      </c>
      <c r="X71" s="394">
        <f>Y53</f>
        <v>1637849</v>
      </c>
      <c r="Y71" s="394">
        <f>SUM(W71:X71)</f>
        <v>198845146</v>
      </c>
      <c r="Z71" s="343"/>
      <c r="AA71" s="394">
        <f t="shared" si="0"/>
        <v>-44677203</v>
      </c>
      <c r="AB71" s="394">
        <f t="shared" si="0"/>
        <v>-1618615</v>
      </c>
      <c r="AC71" s="394">
        <f>SUM(AA71:AB71)</f>
        <v>-46295818</v>
      </c>
    </row>
    <row r="72" spans="1:29" ht="12.75">
      <c r="A72" s="358"/>
      <c r="B72" s="358"/>
      <c r="C72" s="396" t="s">
        <v>356</v>
      </c>
      <c r="D72" s="391">
        <f>SUM(D68:D71)</f>
        <v>1061925348</v>
      </c>
      <c r="E72" s="391">
        <f>SUM(E68:E71)</f>
        <v>304081421</v>
      </c>
      <c r="F72" s="391">
        <f>SUM(F68:F71)</f>
        <v>1366006769</v>
      </c>
      <c r="G72" s="358"/>
      <c r="H72" s="358"/>
      <c r="I72" s="358"/>
      <c r="J72" s="358"/>
      <c r="K72" s="299"/>
      <c r="L72" s="299"/>
      <c r="M72" s="299"/>
      <c r="N72" s="299"/>
      <c r="O72" s="299"/>
      <c r="P72" s="299"/>
      <c r="Q72" s="299"/>
      <c r="R72" s="299"/>
      <c r="S72" s="358"/>
      <c r="T72" s="396" t="s">
        <v>356</v>
      </c>
      <c r="U72" s="358"/>
      <c r="V72" s="396"/>
      <c r="W72" s="391">
        <f>SUM(W68:W71)</f>
        <v>1064503596</v>
      </c>
      <c r="X72" s="391">
        <f>SUM(X68:X71)</f>
        <v>332165906</v>
      </c>
      <c r="Y72" s="391">
        <f>SUM(Y68:Y71)</f>
        <v>1396669502</v>
      </c>
      <c r="Z72" s="343"/>
      <c r="AA72" s="391">
        <f>SUM(AA68:AA71)</f>
        <v>2578248</v>
      </c>
      <c r="AB72" s="391">
        <f>SUM(AB68:AB71)</f>
        <v>28084485</v>
      </c>
      <c r="AC72" s="391">
        <f>SUM(AC68:AC71)</f>
        <v>30662733</v>
      </c>
    </row>
    <row r="73" spans="1:29" ht="12.75">
      <c r="A73" s="358"/>
      <c r="B73" s="358"/>
      <c r="C73" s="396"/>
      <c r="D73" s="391"/>
      <c r="E73" s="391"/>
      <c r="F73" s="391"/>
      <c r="G73" s="358"/>
      <c r="H73" s="358"/>
      <c r="I73" s="358"/>
      <c r="J73" s="358"/>
      <c r="K73" s="358"/>
      <c r="L73" s="299"/>
      <c r="M73" s="299"/>
      <c r="N73" s="299"/>
      <c r="O73" s="299"/>
      <c r="P73" s="299"/>
      <c r="Q73" s="299"/>
      <c r="R73" s="299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299"/>
    </row>
    <row r="74" spans="1:29" ht="12.75">
      <c r="A74" s="358"/>
      <c r="B74" s="358"/>
      <c r="C74" s="390" t="s">
        <v>103</v>
      </c>
      <c r="D74" s="391"/>
      <c r="E74" s="391"/>
      <c r="F74" s="391"/>
      <c r="G74" s="358"/>
      <c r="H74" s="358"/>
      <c r="I74" s="358"/>
      <c r="J74" s="358"/>
      <c r="K74" s="358"/>
      <c r="L74" s="299"/>
      <c r="M74" s="299"/>
      <c r="N74" s="299"/>
      <c r="O74" s="299"/>
      <c r="P74" s="299"/>
      <c r="Q74" s="299"/>
      <c r="R74" s="299"/>
      <c r="S74" s="358"/>
      <c r="T74" s="390" t="s">
        <v>103</v>
      </c>
      <c r="U74" s="397"/>
      <c r="V74" s="390"/>
      <c r="W74" s="398"/>
      <c r="X74" s="398"/>
      <c r="Y74" s="358"/>
      <c r="Z74" s="358"/>
      <c r="AA74" s="358"/>
      <c r="AB74" s="358"/>
      <c r="AC74" s="299"/>
    </row>
    <row r="75" spans="1:29" ht="12.75">
      <c r="A75" s="358"/>
      <c r="B75" s="358"/>
      <c r="C75" s="358" t="s">
        <v>101</v>
      </c>
      <c r="D75" s="391">
        <f>SUM(D28)</f>
        <v>246901270</v>
      </c>
      <c r="E75" s="391">
        <f>SUM(E28)</f>
        <v>655919221</v>
      </c>
      <c r="F75" s="391">
        <f>SUM(D75:E75)</f>
        <v>902820491</v>
      </c>
      <c r="G75" s="358"/>
      <c r="H75" s="358"/>
      <c r="I75" s="358"/>
      <c r="J75" s="358"/>
      <c r="K75" s="358"/>
      <c r="L75" s="299"/>
      <c r="M75" s="299"/>
      <c r="N75" s="299"/>
      <c r="O75" s="299"/>
      <c r="P75" s="299"/>
      <c r="Q75" s="299"/>
      <c r="R75" s="299"/>
      <c r="S75" s="358"/>
      <c r="T75" s="358" t="s">
        <v>101</v>
      </c>
      <c r="U75" s="358"/>
      <c r="V75" s="358"/>
      <c r="W75" s="391">
        <f>SUM(X28)</f>
        <v>240365831</v>
      </c>
      <c r="X75" s="391">
        <f>Y28</f>
        <v>667684275</v>
      </c>
      <c r="Y75" s="391">
        <f>SUM(W75:X75)</f>
        <v>908050106</v>
      </c>
      <c r="Z75" s="343"/>
      <c r="AA75" s="391">
        <f aca="true" t="shared" si="1" ref="AA75:AB78">W75-D75</f>
        <v>-6535439</v>
      </c>
      <c r="AB75" s="391">
        <f t="shared" si="1"/>
        <v>11765054</v>
      </c>
      <c r="AC75" s="343">
        <f>SUM(AA75:AB75)</f>
        <v>5229615</v>
      </c>
    </row>
    <row r="76" spans="1:29" ht="12.75">
      <c r="A76" s="358"/>
      <c r="B76" s="358"/>
      <c r="C76" s="358" t="s">
        <v>362</v>
      </c>
      <c r="D76" s="391">
        <f>D38</f>
        <v>8932286</v>
      </c>
      <c r="E76" s="391">
        <v>0</v>
      </c>
      <c r="F76" s="391">
        <f>SUM(D76:E76)</f>
        <v>8932286</v>
      </c>
      <c r="G76" s="358"/>
      <c r="H76" s="358"/>
      <c r="I76" s="358"/>
      <c r="J76" s="358"/>
      <c r="K76" s="358"/>
      <c r="L76" s="299"/>
      <c r="M76" s="299"/>
      <c r="N76" s="299"/>
      <c r="O76" s="299"/>
      <c r="P76" s="299"/>
      <c r="Q76" s="299"/>
      <c r="R76" s="299"/>
      <c r="S76" s="358"/>
      <c r="T76" s="358" t="s">
        <v>362</v>
      </c>
      <c r="U76" s="358"/>
      <c r="V76" s="358"/>
      <c r="W76" s="391">
        <f>SUM(X38)</f>
        <v>0</v>
      </c>
      <c r="X76" s="391">
        <v>0</v>
      </c>
      <c r="Y76" s="391">
        <f>SUM(W76:X76)</f>
        <v>0</v>
      </c>
      <c r="Z76" s="343"/>
      <c r="AA76" s="391">
        <f t="shared" si="1"/>
        <v>-8932286</v>
      </c>
      <c r="AB76" s="391">
        <f t="shared" si="1"/>
        <v>0</v>
      </c>
      <c r="AC76" s="343">
        <f>SUM(AA76:AB76)</f>
        <v>-8932286</v>
      </c>
    </row>
    <row r="77" spans="1:29" ht="12.75">
      <c r="A77" s="358"/>
      <c r="B77" s="358"/>
      <c r="C77" s="358" t="s">
        <v>706</v>
      </c>
      <c r="D77" s="391">
        <f>SUM(D45)</f>
        <v>12141135</v>
      </c>
      <c r="E77" s="391">
        <f>SUM(E45)</f>
        <v>0</v>
      </c>
      <c r="F77" s="391">
        <f>SUM(D77:E77)</f>
        <v>12141135</v>
      </c>
      <c r="G77" s="358"/>
      <c r="H77" s="358"/>
      <c r="I77" s="358"/>
      <c r="J77" s="358"/>
      <c r="K77" s="358"/>
      <c r="L77" s="299"/>
      <c r="M77" s="299"/>
      <c r="N77" s="299"/>
      <c r="O77" s="299"/>
      <c r="P77" s="299"/>
      <c r="Q77" s="299"/>
      <c r="R77" s="299"/>
      <c r="S77" s="358"/>
      <c r="T77" s="358" t="s">
        <v>717</v>
      </c>
      <c r="U77" s="358"/>
      <c r="V77" s="358"/>
      <c r="W77" s="391">
        <f>X45</f>
        <v>1722458</v>
      </c>
      <c r="X77" s="391">
        <f>Y45</f>
        <v>0</v>
      </c>
      <c r="Y77" s="391">
        <f>SUM(W77:X77)</f>
        <v>1722458</v>
      </c>
      <c r="Z77" s="343"/>
      <c r="AA77" s="391">
        <f>W77-D77</f>
        <v>-10418677</v>
      </c>
      <c r="AB77" s="391">
        <f>X77-E77</f>
        <v>0</v>
      </c>
      <c r="AC77" s="343">
        <f>SUM(AA77:AB77)</f>
        <v>-10418677</v>
      </c>
    </row>
    <row r="78" spans="1:29" ht="12.75">
      <c r="A78" s="358"/>
      <c r="B78" s="358"/>
      <c r="C78" s="393" t="s">
        <v>102</v>
      </c>
      <c r="D78" s="394">
        <f>SUM(D61)</f>
        <v>37477660</v>
      </c>
      <c r="E78" s="394">
        <f>E61</f>
        <v>111425</v>
      </c>
      <c r="F78" s="394">
        <f>SUM(D78:E78)</f>
        <v>37589085</v>
      </c>
      <c r="G78" s="358"/>
      <c r="H78" s="358"/>
      <c r="I78" s="358"/>
      <c r="J78" s="358"/>
      <c r="K78" s="358"/>
      <c r="L78" s="299"/>
      <c r="M78" s="299"/>
      <c r="N78" s="299"/>
      <c r="O78" s="299"/>
      <c r="P78" s="299"/>
      <c r="Q78" s="299"/>
      <c r="R78" s="299"/>
      <c r="S78" s="358"/>
      <c r="T78" s="393" t="s">
        <v>102</v>
      </c>
      <c r="U78" s="395"/>
      <c r="V78" s="395"/>
      <c r="W78" s="394">
        <f>SUM(X61)</f>
        <v>33359085</v>
      </c>
      <c r="X78" s="394">
        <v>0</v>
      </c>
      <c r="Y78" s="394">
        <f>SUM(W78:X78)</f>
        <v>33359085</v>
      </c>
      <c r="Z78" s="343"/>
      <c r="AA78" s="394">
        <f t="shared" si="1"/>
        <v>-4118575</v>
      </c>
      <c r="AB78" s="394">
        <f t="shared" si="1"/>
        <v>-111425</v>
      </c>
      <c r="AC78" s="394">
        <f>SUM(AA78:AB78)</f>
        <v>-4230000</v>
      </c>
    </row>
    <row r="79" spans="1:29" ht="12.75">
      <c r="A79" s="358"/>
      <c r="B79" s="358"/>
      <c r="C79" s="396" t="s">
        <v>356</v>
      </c>
      <c r="D79" s="391">
        <f>SUM(D75:D78)</f>
        <v>305452351</v>
      </c>
      <c r="E79" s="391">
        <f>SUM(E75:E78)</f>
        <v>656030646</v>
      </c>
      <c r="F79" s="391">
        <f>SUM(F75:F78)</f>
        <v>961482997</v>
      </c>
      <c r="G79" s="358"/>
      <c r="H79" s="358"/>
      <c r="I79" s="358"/>
      <c r="J79" s="358"/>
      <c r="K79" s="358"/>
      <c r="L79" s="299"/>
      <c r="M79" s="299"/>
      <c r="N79" s="299"/>
      <c r="O79" s="299"/>
      <c r="P79" s="299"/>
      <c r="Q79" s="299"/>
      <c r="R79" s="299"/>
      <c r="S79" s="358"/>
      <c r="T79" s="396" t="s">
        <v>356</v>
      </c>
      <c r="U79" s="358"/>
      <c r="V79" s="396"/>
      <c r="W79" s="391">
        <f>SUM(W75:W78)</f>
        <v>275447374</v>
      </c>
      <c r="X79" s="391">
        <f>SUM(X75:X78)</f>
        <v>667684275</v>
      </c>
      <c r="Y79" s="391">
        <f>SUM(Y75:Y78)</f>
        <v>943131649</v>
      </c>
      <c r="Z79" s="343"/>
      <c r="AA79" s="391">
        <f>SUM(AA75:AA78)</f>
        <v>-30004977</v>
      </c>
      <c r="AB79" s="391">
        <f>SUM(AB75:AB78)</f>
        <v>11653629</v>
      </c>
      <c r="AC79" s="391">
        <f>SUM(AC75:AC78)</f>
        <v>-18351348</v>
      </c>
    </row>
    <row r="80" spans="1:29" ht="12.75">
      <c r="A80" s="358"/>
      <c r="B80" s="358"/>
      <c r="C80" s="396"/>
      <c r="D80" s="391"/>
      <c r="E80" s="391"/>
      <c r="F80" s="391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299"/>
      <c r="AA80" s="391"/>
      <c r="AB80" s="391"/>
      <c r="AC80" s="299"/>
    </row>
    <row r="81" spans="1:29" ht="12.75">
      <c r="A81" s="358"/>
      <c r="B81" s="358"/>
      <c r="C81" s="390" t="s">
        <v>104</v>
      </c>
      <c r="D81" s="391"/>
      <c r="E81" s="391"/>
      <c r="F81" s="391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90" t="s">
        <v>104</v>
      </c>
      <c r="U81" s="358"/>
      <c r="V81" s="390"/>
      <c r="W81" s="358"/>
      <c r="X81" s="358"/>
      <c r="Y81" s="358"/>
      <c r="Z81" s="299"/>
      <c r="AA81" s="391"/>
      <c r="AB81" s="391"/>
      <c r="AC81" s="299"/>
    </row>
    <row r="82" spans="1:29" ht="12.75">
      <c r="A82" s="358"/>
      <c r="B82" s="358"/>
      <c r="C82" s="358" t="s">
        <v>101</v>
      </c>
      <c r="D82" s="391">
        <f>SUM(D22)</f>
        <v>12311385</v>
      </c>
      <c r="E82" s="391">
        <f>SUM(E22)</f>
        <v>0</v>
      </c>
      <c r="F82" s="391">
        <f>SUM(D82:E82)</f>
        <v>12311385</v>
      </c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 t="s">
        <v>101</v>
      </c>
      <c r="U82" s="358"/>
      <c r="V82" s="358"/>
      <c r="W82" s="391">
        <f>SUM(X22)</f>
        <v>0</v>
      </c>
      <c r="X82" s="391">
        <v>0</v>
      </c>
      <c r="Y82" s="391">
        <f>SUM(W82:X82)</f>
        <v>0</v>
      </c>
      <c r="Z82" s="343"/>
      <c r="AA82" s="391">
        <f aca="true" t="shared" si="2" ref="AA82:AB85">W82-D82</f>
        <v>-12311385</v>
      </c>
      <c r="AB82" s="391">
        <f t="shared" si="2"/>
        <v>0</v>
      </c>
      <c r="AC82" s="343">
        <f>SUM(AA82:AB82)</f>
        <v>-12311385</v>
      </c>
    </row>
    <row r="83" spans="1:29" ht="12.75">
      <c r="A83" s="358"/>
      <c r="B83" s="358"/>
      <c r="C83" s="358" t="s">
        <v>362</v>
      </c>
      <c r="D83" s="391">
        <v>0</v>
      </c>
      <c r="E83" s="391">
        <v>0</v>
      </c>
      <c r="F83" s="391">
        <f>SUM(D83:E83)</f>
        <v>0</v>
      </c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 t="s">
        <v>362</v>
      </c>
      <c r="U83" s="358"/>
      <c r="V83" s="358"/>
      <c r="W83" s="391">
        <v>0</v>
      </c>
      <c r="X83" s="391">
        <v>0</v>
      </c>
      <c r="Y83" s="391">
        <f>SUM(W83:X83)</f>
        <v>0</v>
      </c>
      <c r="Z83" s="343"/>
      <c r="AA83" s="391">
        <f t="shared" si="2"/>
        <v>0</v>
      </c>
      <c r="AB83" s="391">
        <f t="shared" si="2"/>
        <v>0</v>
      </c>
      <c r="AC83" s="343">
        <f>SUM(AA83:AB83)</f>
        <v>0</v>
      </c>
    </row>
    <row r="84" spans="1:29" ht="12.75">
      <c r="A84" s="358"/>
      <c r="B84" s="358"/>
      <c r="C84" s="358" t="s">
        <v>706</v>
      </c>
      <c r="D84" s="391">
        <v>0</v>
      </c>
      <c r="E84" s="391">
        <v>0</v>
      </c>
      <c r="F84" s="391">
        <f>SUM(D84:E84)</f>
        <v>0</v>
      </c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 t="s">
        <v>717</v>
      </c>
      <c r="U84" s="358"/>
      <c r="V84" s="358"/>
      <c r="W84" s="391">
        <v>0</v>
      </c>
      <c r="X84" s="391">
        <v>0</v>
      </c>
      <c r="Y84" s="391">
        <f>SUM(W84:X84)</f>
        <v>0</v>
      </c>
      <c r="Z84" s="343"/>
      <c r="AA84" s="391">
        <f>W84-D84</f>
        <v>0</v>
      </c>
      <c r="AB84" s="391">
        <f>X84-E84</f>
        <v>0</v>
      </c>
      <c r="AC84" s="343">
        <f>SUM(AA84:AB84)</f>
        <v>0</v>
      </c>
    </row>
    <row r="85" spans="1:29" ht="12.75">
      <c r="A85" s="358"/>
      <c r="B85" s="358"/>
      <c r="C85" s="393" t="s">
        <v>102</v>
      </c>
      <c r="D85" s="394">
        <v>0</v>
      </c>
      <c r="E85" s="394">
        <v>0</v>
      </c>
      <c r="F85" s="394">
        <f>SUM(D85:E85)</f>
        <v>0</v>
      </c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93" t="s">
        <v>102</v>
      </c>
      <c r="U85" s="395"/>
      <c r="V85" s="395"/>
      <c r="W85" s="394">
        <v>0</v>
      </c>
      <c r="X85" s="394">
        <v>0</v>
      </c>
      <c r="Y85" s="394">
        <f>SUM(W85:X85)</f>
        <v>0</v>
      </c>
      <c r="Z85" s="343"/>
      <c r="AA85" s="394">
        <f t="shared" si="2"/>
        <v>0</v>
      </c>
      <c r="AB85" s="394">
        <f t="shared" si="2"/>
        <v>0</v>
      </c>
      <c r="AC85" s="394">
        <f>SUM(AA85:AB85)</f>
        <v>0</v>
      </c>
    </row>
    <row r="86" spans="1:29" ht="12.75">
      <c r="A86" s="358"/>
      <c r="B86" s="358"/>
      <c r="C86" s="396" t="s">
        <v>356</v>
      </c>
      <c r="D86" s="391">
        <f>SUM(D82:D85)</f>
        <v>12311385</v>
      </c>
      <c r="E86" s="391">
        <f>SUM(E82:E85)</f>
        <v>0</v>
      </c>
      <c r="F86" s="391">
        <f>SUM(F82:F85)</f>
        <v>12311385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96" t="s">
        <v>356</v>
      </c>
      <c r="U86" s="358"/>
      <c r="V86" s="396"/>
      <c r="W86" s="391">
        <f>SUM(W82:W85)</f>
        <v>0</v>
      </c>
      <c r="X86" s="391">
        <f>SUM(X82:X85)</f>
        <v>0</v>
      </c>
      <c r="Y86" s="391">
        <f>SUM(Y82:Y85)</f>
        <v>0</v>
      </c>
      <c r="Z86" s="343"/>
      <c r="AA86" s="391">
        <f>SUM(AA82:AA85)</f>
        <v>-12311385</v>
      </c>
      <c r="AB86" s="391">
        <f>SUM(AB82:AB85)</f>
        <v>0</v>
      </c>
      <c r="AC86" s="391">
        <f>SUM(AC82:AC85)</f>
        <v>-12311385</v>
      </c>
    </row>
    <row r="87" spans="1:29" ht="12.75">
      <c r="A87" s="358"/>
      <c r="B87" s="358"/>
      <c r="C87" s="396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299"/>
      <c r="AA87" s="391"/>
      <c r="AB87" s="391"/>
      <c r="AC87" s="299"/>
    </row>
    <row r="88" spans="1:29" ht="12.75">
      <c r="A88" s="358"/>
      <c r="B88" s="358"/>
      <c r="C88" s="399" t="s">
        <v>105</v>
      </c>
      <c r="D88" s="400">
        <f>SUM(D86,D79,D72)</f>
        <v>1379689084</v>
      </c>
      <c r="E88" s="400">
        <f>SUM(E86,E79,E72)</f>
        <v>960112067</v>
      </c>
      <c r="F88" s="400">
        <f>SUM(F86,F79,F72)</f>
        <v>2339801151</v>
      </c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 t="s">
        <v>105</v>
      </c>
      <c r="U88" s="399"/>
      <c r="V88" s="399"/>
      <c r="W88" s="400">
        <f>SUM(W86,W79,W72)</f>
        <v>1339950970</v>
      </c>
      <c r="X88" s="400">
        <f>SUM(X86,X79,X72)</f>
        <v>999850181</v>
      </c>
      <c r="Y88" s="400">
        <f>SUM(Y86,Y79,Y72)</f>
        <v>2339801151</v>
      </c>
      <c r="Z88" s="280"/>
      <c r="AA88" s="400">
        <f>SUM(AA86,AA79,AA72)</f>
        <v>-39738114</v>
      </c>
      <c r="AB88" s="400">
        <f>SUM(AB86,AB79,AB72)</f>
        <v>39738114</v>
      </c>
      <c r="AC88" s="400">
        <f>SUM(AC86,AC79,AC72)</f>
        <v>0</v>
      </c>
    </row>
    <row r="89" spans="1:29" ht="12.75">
      <c r="A89" s="399"/>
      <c r="B89" s="399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299"/>
    </row>
    <row r="90" spans="1:29" ht="12.75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299"/>
    </row>
    <row r="91" spans="1:3" ht="12.75">
      <c r="A91" s="358"/>
      <c r="B91" s="358"/>
      <c r="C91" s="358"/>
    </row>
  </sheetData>
  <sheetProtection/>
  <mergeCells count="185">
    <mergeCell ref="W34:W37"/>
    <mergeCell ref="W50:W55"/>
    <mergeCell ref="W56:W58"/>
    <mergeCell ref="R59:U59"/>
    <mergeCell ref="W59:W61"/>
    <mergeCell ref="R60:U60"/>
    <mergeCell ref="V34:V35"/>
    <mergeCell ref="R43:U43"/>
    <mergeCell ref="R40:W41"/>
    <mergeCell ref="R44:U45"/>
    <mergeCell ref="L60:O60"/>
    <mergeCell ref="R38:U38"/>
    <mergeCell ref="L37:O37"/>
    <mergeCell ref="L26:O26"/>
    <mergeCell ref="R37:U37"/>
    <mergeCell ref="P34:P35"/>
    <mergeCell ref="Q34:Q37"/>
    <mergeCell ref="M31:P31"/>
    <mergeCell ref="L29:O29"/>
    <mergeCell ref="R27:U27"/>
    <mergeCell ref="G37:I37"/>
    <mergeCell ref="L34:O35"/>
    <mergeCell ref="R29:U29"/>
    <mergeCell ref="R36:U36"/>
    <mergeCell ref="R25:U25"/>
    <mergeCell ref="Q23:Q28"/>
    <mergeCell ref="L23:O23"/>
    <mergeCell ref="Q29:Q30"/>
    <mergeCell ref="R23:U23"/>
    <mergeCell ref="R34:U35"/>
    <mergeCell ref="L16:O16"/>
    <mergeCell ref="L10:O10"/>
    <mergeCell ref="L28:O28"/>
    <mergeCell ref="L24:O24"/>
    <mergeCell ref="P13:P14"/>
    <mergeCell ref="L15:O15"/>
    <mergeCell ref="L25:O25"/>
    <mergeCell ref="L18:O18"/>
    <mergeCell ref="L20:O20"/>
    <mergeCell ref="L27:O27"/>
    <mergeCell ref="L13:O14"/>
    <mergeCell ref="A6:C7"/>
    <mergeCell ref="L12:O12"/>
    <mergeCell ref="G15:I15"/>
    <mergeCell ref="T1:AB1"/>
    <mergeCell ref="X6:Z6"/>
    <mergeCell ref="AA6:AC6"/>
    <mergeCell ref="K8:K17"/>
    <mergeCell ref="A3:AC3"/>
    <mergeCell ref="R15:U15"/>
    <mergeCell ref="G12:I12"/>
    <mergeCell ref="R8:U8"/>
    <mergeCell ref="L8:O8"/>
    <mergeCell ref="G9:I9"/>
    <mergeCell ref="L32:Q33"/>
    <mergeCell ref="S31:V31"/>
    <mergeCell ref="R17:U17"/>
    <mergeCell ref="L22:O22"/>
    <mergeCell ref="L30:O30"/>
    <mergeCell ref="G13:I13"/>
    <mergeCell ref="L6:Q7"/>
    <mergeCell ref="R6:W7"/>
    <mergeCell ref="D6:F6"/>
    <mergeCell ref="G6:K7"/>
    <mergeCell ref="R9:U9"/>
    <mergeCell ref="G10:I10"/>
    <mergeCell ref="Q8:Q17"/>
    <mergeCell ref="L17:O17"/>
    <mergeCell ref="R14:U14"/>
    <mergeCell ref="G8:I8"/>
    <mergeCell ref="W29:W30"/>
    <mergeCell ref="R28:U28"/>
    <mergeCell ref="R24:U24"/>
    <mergeCell ref="R16:U16"/>
    <mergeCell ref="R26:U26"/>
    <mergeCell ref="Q21:Q22"/>
    <mergeCell ref="R20:U20"/>
    <mergeCell ref="R18:U18"/>
    <mergeCell ref="Q18:Q20"/>
    <mergeCell ref="R22:U22"/>
    <mergeCell ref="L21:O21"/>
    <mergeCell ref="G17:I17"/>
    <mergeCell ref="G16:I16"/>
    <mergeCell ref="A31:C31"/>
    <mergeCell ref="H31:J31"/>
    <mergeCell ref="G21:I21"/>
    <mergeCell ref="G22:I22"/>
    <mergeCell ref="K23:K28"/>
    <mergeCell ref="K18:K20"/>
    <mergeCell ref="K21:K22"/>
    <mergeCell ref="AA32:AC32"/>
    <mergeCell ref="R32:W33"/>
    <mergeCell ref="X32:Z32"/>
    <mergeCell ref="W8:W17"/>
    <mergeCell ref="B22:C22"/>
    <mergeCell ref="W18:W20"/>
    <mergeCell ref="W23:W28"/>
    <mergeCell ref="L9:O9"/>
    <mergeCell ref="G11:I11"/>
    <mergeCell ref="A28:C28"/>
    <mergeCell ref="A32:C33"/>
    <mergeCell ref="D32:F32"/>
    <mergeCell ref="G32:K33"/>
    <mergeCell ref="K29:K30"/>
    <mergeCell ref="A39:C39"/>
    <mergeCell ref="H39:J39"/>
    <mergeCell ref="K34:K37"/>
    <mergeCell ref="B37:C37"/>
    <mergeCell ref="G34:I35"/>
    <mergeCell ref="J34:J35"/>
    <mergeCell ref="A46:C46"/>
    <mergeCell ref="A48:C49"/>
    <mergeCell ref="X48:Z48"/>
    <mergeCell ref="R61:U61"/>
    <mergeCell ref="G61:I61"/>
    <mergeCell ref="G50:I50"/>
    <mergeCell ref="G52:I52"/>
    <mergeCell ref="G51:I51"/>
    <mergeCell ref="G58:I58"/>
    <mergeCell ref="G53:I53"/>
    <mergeCell ref="G57:I57"/>
    <mergeCell ref="D48:F48"/>
    <mergeCell ref="A63:C63"/>
    <mergeCell ref="A64:C64"/>
    <mergeCell ref="A53:C53"/>
    <mergeCell ref="A62:C62"/>
    <mergeCell ref="H63:J63"/>
    <mergeCell ref="H62:J62"/>
    <mergeCell ref="A61:C61"/>
    <mergeCell ref="G48:K49"/>
    <mergeCell ref="R53:U53"/>
    <mergeCell ref="D65:F65"/>
    <mergeCell ref="S63:V63"/>
    <mergeCell ref="R54:U54"/>
    <mergeCell ref="M62:P62"/>
    <mergeCell ref="S62:V62"/>
    <mergeCell ref="G55:I55"/>
    <mergeCell ref="G56:I56"/>
    <mergeCell ref="L59:O59"/>
    <mergeCell ref="K50:K58"/>
    <mergeCell ref="R56:U56"/>
    <mergeCell ref="AA65:AC65"/>
    <mergeCell ref="L48:Q49"/>
    <mergeCell ref="W65:Y65"/>
    <mergeCell ref="S66:V66"/>
    <mergeCell ref="AA48:AC48"/>
    <mergeCell ref="M63:P63"/>
    <mergeCell ref="R48:W49"/>
    <mergeCell ref="L50:O50"/>
    <mergeCell ref="L51:O51"/>
    <mergeCell ref="A45:C45"/>
    <mergeCell ref="V67:W67"/>
    <mergeCell ref="Q50:Q58"/>
    <mergeCell ref="R50:U50"/>
    <mergeCell ref="R51:U51"/>
    <mergeCell ref="Q59:Q61"/>
    <mergeCell ref="M46:P46"/>
    <mergeCell ref="S46:V46"/>
    <mergeCell ref="R52:U52"/>
    <mergeCell ref="L61:O61"/>
    <mergeCell ref="B43:C43"/>
    <mergeCell ref="A38:C38"/>
    <mergeCell ref="R42:U42"/>
    <mergeCell ref="Q42:Q43"/>
    <mergeCell ref="A40:C41"/>
    <mergeCell ref="D40:F40"/>
    <mergeCell ref="M39:P39"/>
    <mergeCell ref="S39:V39"/>
    <mergeCell ref="K42:K43"/>
    <mergeCell ref="K44:K45"/>
    <mergeCell ref="L40:Q41"/>
    <mergeCell ref="L42:O43"/>
    <mergeCell ref="P42:P43"/>
    <mergeCell ref="L44:O44"/>
    <mergeCell ref="Q44:Q45"/>
    <mergeCell ref="W44:W45"/>
    <mergeCell ref="H46:J46"/>
    <mergeCell ref="G54:I54"/>
    <mergeCell ref="AA40:AC40"/>
    <mergeCell ref="G42:I42"/>
    <mergeCell ref="X40:Z40"/>
    <mergeCell ref="G43:I43"/>
    <mergeCell ref="W42:W43"/>
    <mergeCell ref="G44:I44"/>
    <mergeCell ref="G40:K4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1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64.375" style="0" bestFit="1" customWidth="1"/>
    <col min="14" max="14" width="9.125" style="106" customWidth="1"/>
  </cols>
  <sheetData>
    <row r="1" spans="8:13" ht="15">
      <c r="H1" s="1"/>
      <c r="I1" s="1"/>
      <c r="J1" s="1"/>
      <c r="K1" s="1"/>
      <c r="L1" s="1"/>
      <c r="M1" s="6" t="s">
        <v>1025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63" customFormat="1" ht="14.25" customHeight="1">
      <c r="A4" s="1125" t="s">
        <v>476</v>
      </c>
      <c r="B4" s="1125"/>
      <c r="C4" s="1125"/>
      <c r="D4" s="1125"/>
      <c r="E4" s="1125"/>
      <c r="F4" s="1125"/>
      <c r="G4" s="1125"/>
      <c r="H4" s="1125"/>
      <c r="I4" s="1125"/>
      <c r="J4" s="1125"/>
      <c r="K4" s="1125"/>
      <c r="L4" s="1125"/>
      <c r="M4" s="1125"/>
      <c r="N4" s="107"/>
    </row>
    <row r="5" spans="1:14" s="63" customFormat="1" ht="14.25" customHeight="1">
      <c r="A5" s="1125" t="s">
        <v>433</v>
      </c>
      <c r="B5" s="1125"/>
      <c r="C5" s="1125"/>
      <c r="D5" s="1125"/>
      <c r="E5" s="1125"/>
      <c r="F5" s="1125"/>
      <c r="G5" s="1125"/>
      <c r="H5" s="1125"/>
      <c r="I5" s="1125"/>
      <c r="J5" s="1125"/>
      <c r="K5" s="1125"/>
      <c r="L5" s="1125"/>
      <c r="M5" s="1125"/>
      <c r="N5" s="107"/>
    </row>
    <row r="6" spans="1:14" s="63" customFormat="1" ht="18" customHeight="1">
      <c r="A6" s="1125"/>
      <c r="B6" s="1125"/>
      <c r="C6" s="1125"/>
      <c r="D6" s="1125"/>
      <c r="E6" s="1125"/>
      <c r="F6" s="1125"/>
      <c r="G6" s="1125"/>
      <c r="H6" s="1125"/>
      <c r="I6" s="1125"/>
      <c r="J6" s="1125"/>
      <c r="K6" s="1125"/>
      <c r="L6" s="1125"/>
      <c r="M6" s="1125"/>
      <c r="N6" s="107"/>
    </row>
    <row r="7" spans="1:14" s="62" customFormat="1" ht="12.75">
      <c r="A7" s="97" t="s">
        <v>353</v>
      </c>
      <c r="B7" s="86" t="s">
        <v>338</v>
      </c>
      <c r="C7" s="86" t="s">
        <v>339</v>
      </c>
      <c r="D7" s="86" t="s">
        <v>340</v>
      </c>
      <c r="E7" s="86" t="s">
        <v>341</v>
      </c>
      <c r="F7" s="86" t="s">
        <v>342</v>
      </c>
      <c r="G7" s="86" t="s">
        <v>343</v>
      </c>
      <c r="H7" s="86" t="s">
        <v>344</v>
      </c>
      <c r="I7" s="86" t="s">
        <v>345</v>
      </c>
      <c r="J7" s="86" t="s">
        <v>346</v>
      </c>
      <c r="K7" s="86" t="s">
        <v>347</v>
      </c>
      <c r="L7" s="86" t="s">
        <v>348</v>
      </c>
      <c r="M7" s="86" t="s">
        <v>349</v>
      </c>
      <c r="N7" s="108"/>
    </row>
    <row r="8" spans="1:14" s="65" customFormat="1" ht="22.5" customHeight="1">
      <c r="A8" s="109" t="s">
        <v>678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0"/>
    </row>
    <row r="9" spans="1:14" s="499" customFormat="1" ht="20.25" customHeight="1">
      <c r="A9" s="496" t="s">
        <v>728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8"/>
    </row>
    <row r="10" spans="1:14" s="64" customFormat="1" ht="14.25" customHeight="1">
      <c r="A10" s="101" t="s">
        <v>794</v>
      </c>
      <c r="B10" s="88">
        <v>15</v>
      </c>
      <c r="C10" s="88">
        <v>15</v>
      </c>
      <c r="D10" s="88">
        <v>15</v>
      </c>
      <c r="E10" s="88">
        <v>15</v>
      </c>
      <c r="F10" s="88">
        <v>15</v>
      </c>
      <c r="G10" s="88">
        <v>15</v>
      </c>
      <c r="H10" s="88">
        <v>15</v>
      </c>
      <c r="I10" s="88">
        <v>15</v>
      </c>
      <c r="J10" s="88">
        <v>15</v>
      </c>
      <c r="K10" s="88">
        <v>15</v>
      </c>
      <c r="L10" s="88">
        <v>15</v>
      </c>
      <c r="M10" s="88">
        <v>15</v>
      </c>
      <c r="N10" s="114"/>
    </row>
    <row r="11" spans="1:14" s="64" customFormat="1" ht="14.25" customHeight="1">
      <c r="A11" s="101" t="s">
        <v>795</v>
      </c>
      <c r="B11" s="88">
        <v>1</v>
      </c>
      <c r="C11" s="88">
        <v>1</v>
      </c>
      <c r="D11" s="88">
        <v>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114"/>
    </row>
    <row r="12" spans="1:14" s="64" customFormat="1" ht="12.75">
      <c r="A12" s="101" t="s">
        <v>562</v>
      </c>
      <c r="B12" s="88">
        <v>1</v>
      </c>
      <c r="C12" s="88">
        <v>1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114"/>
    </row>
    <row r="13" spans="1:14" s="64" customFormat="1" ht="12.75" customHeight="1">
      <c r="A13" s="101" t="s">
        <v>560</v>
      </c>
      <c r="B13" s="88">
        <v>2</v>
      </c>
      <c r="C13" s="88">
        <v>2</v>
      </c>
      <c r="D13" s="88">
        <v>2</v>
      </c>
      <c r="E13" s="88">
        <v>2</v>
      </c>
      <c r="F13" s="88">
        <v>2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114"/>
    </row>
    <row r="14" spans="1:14" s="64" customFormat="1" ht="12.75">
      <c r="A14" s="115" t="s">
        <v>561</v>
      </c>
      <c r="B14" s="88">
        <v>8</v>
      </c>
      <c r="C14" s="88">
        <v>8</v>
      </c>
      <c r="D14" s="88">
        <v>8</v>
      </c>
      <c r="E14" s="88">
        <v>8</v>
      </c>
      <c r="F14" s="88">
        <v>8</v>
      </c>
      <c r="G14" s="88">
        <v>8</v>
      </c>
      <c r="H14" s="88">
        <v>8</v>
      </c>
      <c r="I14" s="88">
        <v>8</v>
      </c>
      <c r="J14" s="88">
        <v>8</v>
      </c>
      <c r="K14" s="88">
        <v>8</v>
      </c>
      <c r="L14" s="88">
        <v>8</v>
      </c>
      <c r="M14" s="88">
        <v>8</v>
      </c>
      <c r="N14" s="114"/>
    </row>
    <row r="15" spans="1:14" s="64" customFormat="1" ht="15" customHeight="1">
      <c r="A15" s="101" t="s">
        <v>845</v>
      </c>
      <c r="B15" s="88">
        <v>1</v>
      </c>
      <c r="C15" s="88">
        <v>1</v>
      </c>
      <c r="D15" s="88">
        <v>1</v>
      </c>
      <c r="E15" s="88">
        <v>1</v>
      </c>
      <c r="F15" s="88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114"/>
    </row>
    <row r="16" spans="1:14" s="499" customFormat="1" ht="20.25" customHeight="1">
      <c r="A16" s="496" t="s">
        <v>679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8"/>
    </row>
    <row r="17" spans="1:14" s="64" customFormat="1" ht="12.75">
      <c r="A17" s="101" t="s">
        <v>680</v>
      </c>
      <c r="B17" s="88">
        <v>1</v>
      </c>
      <c r="C17" s="88">
        <v>1</v>
      </c>
      <c r="D17" s="88">
        <v>1</v>
      </c>
      <c r="E17" s="88">
        <v>1</v>
      </c>
      <c r="F17" s="88">
        <v>1</v>
      </c>
      <c r="G17" s="88">
        <v>1</v>
      </c>
      <c r="H17" s="88">
        <v>1</v>
      </c>
      <c r="I17" s="88">
        <v>1</v>
      </c>
      <c r="J17" s="88">
        <v>1</v>
      </c>
      <c r="K17" s="88">
        <v>1</v>
      </c>
      <c r="L17" s="88">
        <v>1</v>
      </c>
      <c r="M17" s="88">
        <v>1</v>
      </c>
      <c r="N17" s="114"/>
    </row>
    <row r="18" spans="1:14" s="64" customFormat="1" ht="12.75">
      <c r="A18" s="101" t="s">
        <v>681</v>
      </c>
      <c r="B18" s="88">
        <v>1</v>
      </c>
      <c r="C18" s="88">
        <v>1</v>
      </c>
      <c r="D18" s="88">
        <v>1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114"/>
    </row>
    <row r="19" spans="1:14" s="64" customFormat="1" ht="12.75">
      <c r="A19" s="101" t="s">
        <v>682</v>
      </c>
      <c r="B19" s="88">
        <v>1</v>
      </c>
      <c r="C19" s="88">
        <v>1</v>
      </c>
      <c r="D19" s="88">
        <v>1</v>
      </c>
      <c r="E19" s="88">
        <v>1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  <c r="K19" s="88">
        <v>1</v>
      </c>
      <c r="L19" s="88">
        <v>1</v>
      </c>
      <c r="M19" s="88">
        <v>1</v>
      </c>
      <c r="N19" s="114"/>
    </row>
    <row r="20" spans="1:14" s="499" customFormat="1" ht="20.25" customHeight="1">
      <c r="A20" s="496" t="s">
        <v>565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8"/>
    </row>
    <row r="21" spans="1:14" s="64" customFormat="1" ht="12.75">
      <c r="A21" s="101" t="s">
        <v>683</v>
      </c>
      <c r="B21" s="88">
        <v>1</v>
      </c>
      <c r="C21" s="88">
        <v>1</v>
      </c>
      <c r="D21" s="88">
        <v>1</v>
      </c>
      <c r="E21" s="88">
        <v>1</v>
      </c>
      <c r="F21" s="88">
        <v>1</v>
      </c>
      <c r="G21" s="88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114"/>
    </row>
    <row r="22" spans="1:14" s="64" customFormat="1" ht="12.75">
      <c r="A22" s="101" t="s">
        <v>684</v>
      </c>
      <c r="B22" s="88">
        <v>1</v>
      </c>
      <c r="C22" s="88">
        <v>1</v>
      </c>
      <c r="D22" s="88">
        <v>1</v>
      </c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88">
        <v>1</v>
      </c>
      <c r="L22" s="88">
        <v>1</v>
      </c>
      <c r="M22" s="88">
        <v>1</v>
      </c>
      <c r="N22" s="114"/>
    </row>
    <row r="23" spans="1:14" s="499" customFormat="1" ht="27" customHeight="1">
      <c r="A23" s="496" t="s">
        <v>530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8"/>
    </row>
    <row r="24" spans="1:14" s="64" customFormat="1" ht="12.75">
      <c r="A24" s="101" t="s">
        <v>563</v>
      </c>
      <c r="B24" s="88">
        <v>1</v>
      </c>
      <c r="C24" s="88">
        <v>1</v>
      </c>
      <c r="D24" s="88">
        <v>1</v>
      </c>
      <c r="E24" s="88">
        <v>1</v>
      </c>
      <c r="F24" s="88">
        <v>1</v>
      </c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114"/>
    </row>
    <row r="25" spans="1:14" s="64" customFormat="1" ht="12.75">
      <c r="A25" s="101" t="s">
        <v>846</v>
      </c>
      <c r="B25" s="88">
        <v>3</v>
      </c>
      <c r="C25" s="88">
        <v>3</v>
      </c>
      <c r="D25" s="88">
        <v>3</v>
      </c>
      <c r="E25" s="88">
        <v>3</v>
      </c>
      <c r="F25" s="88">
        <v>3</v>
      </c>
      <c r="G25" s="88">
        <v>3</v>
      </c>
      <c r="H25" s="88">
        <v>3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114"/>
    </row>
    <row r="26" spans="1:14" s="64" customFormat="1" ht="12.75">
      <c r="A26" s="101" t="s">
        <v>847</v>
      </c>
      <c r="B26" s="88">
        <v>2</v>
      </c>
      <c r="C26" s="88">
        <v>2</v>
      </c>
      <c r="D26" s="88">
        <v>2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114"/>
    </row>
    <row r="27" spans="1:14" s="499" customFormat="1" ht="29.25" customHeight="1">
      <c r="A27" s="496" t="s">
        <v>643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8"/>
    </row>
    <row r="28" spans="1:14" s="64" customFormat="1" ht="15" customHeight="1">
      <c r="A28" s="101" t="s">
        <v>563</v>
      </c>
      <c r="B28" s="88">
        <v>1</v>
      </c>
      <c r="C28" s="88">
        <v>1</v>
      </c>
      <c r="D28" s="88">
        <v>1</v>
      </c>
      <c r="E28" s="88">
        <v>1</v>
      </c>
      <c r="F28" s="88">
        <v>1</v>
      </c>
      <c r="G28" s="88">
        <v>1</v>
      </c>
      <c r="H28" s="88">
        <v>1</v>
      </c>
      <c r="I28" s="88">
        <v>1</v>
      </c>
      <c r="J28" s="88">
        <v>1</v>
      </c>
      <c r="K28" s="88">
        <v>1</v>
      </c>
      <c r="L28" s="88">
        <v>1</v>
      </c>
      <c r="M28" s="88">
        <v>1</v>
      </c>
      <c r="N28" s="114"/>
    </row>
    <row r="29" spans="1:14" s="64" customFormat="1" ht="15.75" customHeight="1">
      <c r="A29" s="101" t="s">
        <v>564</v>
      </c>
      <c r="B29" s="88">
        <v>2</v>
      </c>
      <c r="C29" s="88">
        <v>2</v>
      </c>
      <c r="D29" s="88">
        <v>2</v>
      </c>
      <c r="E29" s="88">
        <v>2</v>
      </c>
      <c r="F29" s="88">
        <v>2</v>
      </c>
      <c r="G29" s="88">
        <v>2</v>
      </c>
      <c r="H29" s="88">
        <v>2</v>
      </c>
      <c r="I29" s="88">
        <v>3</v>
      </c>
      <c r="J29" s="88">
        <v>3</v>
      </c>
      <c r="K29" s="88">
        <v>3</v>
      </c>
      <c r="L29" s="88">
        <v>3</v>
      </c>
      <c r="M29" s="88">
        <v>3</v>
      </c>
      <c r="N29" s="114"/>
    </row>
    <row r="30" spans="1:14" s="64" customFormat="1" ht="12.75">
      <c r="A30" s="101" t="s">
        <v>848</v>
      </c>
      <c r="B30" s="88">
        <v>0.5</v>
      </c>
      <c r="C30" s="88">
        <v>0.5</v>
      </c>
      <c r="D30" s="88">
        <v>0.5</v>
      </c>
      <c r="E30" s="88">
        <v>0.5</v>
      </c>
      <c r="F30" s="88">
        <v>0.5</v>
      </c>
      <c r="G30" s="88">
        <v>0.5</v>
      </c>
      <c r="H30" s="88">
        <v>0.5</v>
      </c>
      <c r="I30" s="88">
        <v>0.5</v>
      </c>
      <c r="J30" s="88">
        <v>0.5</v>
      </c>
      <c r="K30" s="88">
        <v>0.5</v>
      </c>
      <c r="L30" s="88">
        <v>0.5</v>
      </c>
      <c r="M30" s="88">
        <v>0.5</v>
      </c>
      <c r="N30" s="114"/>
    </row>
    <row r="31" spans="1:14" s="661" customFormat="1" ht="25.5">
      <c r="A31" s="404" t="s">
        <v>777</v>
      </c>
      <c r="B31" s="405">
        <v>2</v>
      </c>
      <c r="C31" s="405">
        <v>2</v>
      </c>
      <c r="D31" s="405">
        <v>2</v>
      </c>
      <c r="E31" s="405">
        <v>2</v>
      </c>
      <c r="F31" s="405">
        <v>2</v>
      </c>
      <c r="G31" s="405">
        <v>2</v>
      </c>
      <c r="H31" s="405">
        <v>2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660"/>
    </row>
    <row r="32" spans="1:14" ht="25.5">
      <c r="A32" s="110" t="s">
        <v>775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/>
    </row>
    <row r="33" spans="1:14" ht="12.75">
      <c r="A33" s="100" t="s">
        <v>885</v>
      </c>
      <c r="B33" s="105">
        <v>2</v>
      </c>
      <c r="C33" s="105">
        <v>2</v>
      </c>
      <c r="D33" s="105">
        <v>2</v>
      </c>
      <c r="E33" s="105">
        <v>2</v>
      </c>
      <c r="F33" s="105">
        <v>2</v>
      </c>
      <c r="G33" s="105">
        <v>2</v>
      </c>
      <c r="H33" s="105">
        <v>2</v>
      </c>
      <c r="I33" s="105">
        <v>2</v>
      </c>
      <c r="J33" s="105">
        <v>2</v>
      </c>
      <c r="K33" s="105">
        <v>2</v>
      </c>
      <c r="L33" s="105">
        <v>2</v>
      </c>
      <c r="M33" s="105">
        <v>2</v>
      </c>
      <c r="N33"/>
    </row>
    <row r="34" spans="1:14" ht="12.75">
      <c r="A34" s="100" t="s">
        <v>888</v>
      </c>
      <c r="B34" s="105">
        <v>0.2</v>
      </c>
      <c r="C34" s="105">
        <v>0.2</v>
      </c>
      <c r="D34" s="105">
        <v>0.2</v>
      </c>
      <c r="E34" s="105">
        <v>0.2</v>
      </c>
      <c r="F34" s="105">
        <v>0.2</v>
      </c>
      <c r="G34" s="105">
        <v>0.2</v>
      </c>
      <c r="H34" s="105">
        <v>0.2</v>
      </c>
      <c r="I34" s="105">
        <v>0.2</v>
      </c>
      <c r="J34" s="105">
        <v>0.2</v>
      </c>
      <c r="K34" s="105">
        <v>0.2</v>
      </c>
      <c r="L34" s="105">
        <v>0.2</v>
      </c>
      <c r="M34" s="105">
        <v>0.2</v>
      </c>
      <c r="N34"/>
    </row>
    <row r="35" spans="1:17" ht="12.75">
      <c r="A35" s="100" t="s">
        <v>889</v>
      </c>
      <c r="B35" s="105">
        <v>0.05</v>
      </c>
      <c r="C35" s="105">
        <v>0.05</v>
      </c>
      <c r="D35" s="105">
        <v>0.05</v>
      </c>
      <c r="E35" s="105">
        <v>0.05</v>
      </c>
      <c r="F35" s="105">
        <v>0.05</v>
      </c>
      <c r="G35" s="105">
        <v>0.05</v>
      </c>
      <c r="H35" s="105">
        <v>0.05</v>
      </c>
      <c r="I35" s="105">
        <v>0.05</v>
      </c>
      <c r="J35" s="105">
        <v>0.05</v>
      </c>
      <c r="K35" s="105">
        <v>0.05</v>
      </c>
      <c r="L35" s="105">
        <v>0.05</v>
      </c>
      <c r="M35" s="105">
        <v>0.05</v>
      </c>
      <c r="N35"/>
      <c r="Q35">
        <f>SUM(M33:M41)</f>
        <v>3.8249999999999997</v>
      </c>
    </row>
    <row r="36" spans="1:14" ht="12.75">
      <c r="A36" s="100" t="s">
        <v>881</v>
      </c>
      <c r="B36" s="105">
        <v>0.15</v>
      </c>
      <c r="C36" s="105">
        <v>0.15</v>
      </c>
      <c r="D36" s="105">
        <v>0.15</v>
      </c>
      <c r="E36" s="105">
        <v>0.15</v>
      </c>
      <c r="F36" s="105">
        <v>0.15</v>
      </c>
      <c r="G36" s="105">
        <v>0.15</v>
      </c>
      <c r="H36" s="105">
        <v>0.15</v>
      </c>
      <c r="I36" s="105">
        <v>0.15</v>
      </c>
      <c r="J36" s="105">
        <v>0.15</v>
      </c>
      <c r="K36" s="105">
        <v>0.15</v>
      </c>
      <c r="L36" s="105">
        <v>0.15</v>
      </c>
      <c r="M36" s="105">
        <v>0.15</v>
      </c>
      <c r="N36"/>
    </row>
    <row r="37" spans="1:14" ht="12.75">
      <c r="A37" s="100" t="s">
        <v>882</v>
      </c>
      <c r="B37" s="105">
        <v>0.15</v>
      </c>
      <c r="C37" s="105">
        <v>0.15</v>
      </c>
      <c r="D37" s="105">
        <v>0.15</v>
      </c>
      <c r="E37" s="105">
        <v>0.15</v>
      </c>
      <c r="F37" s="105">
        <v>0.15</v>
      </c>
      <c r="G37" s="105">
        <v>0.15</v>
      </c>
      <c r="H37" s="105">
        <v>0.15</v>
      </c>
      <c r="I37" s="105">
        <v>0.15</v>
      </c>
      <c r="J37" s="105">
        <v>0.15</v>
      </c>
      <c r="K37" s="105">
        <v>0.15</v>
      </c>
      <c r="L37" s="105">
        <v>0.15</v>
      </c>
      <c r="M37" s="105">
        <v>0.15</v>
      </c>
      <c r="N37"/>
    </row>
    <row r="38" spans="1:14" ht="12.75">
      <c r="A38" s="100" t="s">
        <v>883</v>
      </c>
      <c r="B38" s="105">
        <v>0.5</v>
      </c>
      <c r="C38" s="105">
        <v>0.5</v>
      </c>
      <c r="D38" s="105">
        <v>0.5</v>
      </c>
      <c r="E38" s="105">
        <v>0.5</v>
      </c>
      <c r="F38" s="105">
        <v>0.5</v>
      </c>
      <c r="G38" s="105">
        <v>0.5</v>
      </c>
      <c r="H38" s="105">
        <v>0.5</v>
      </c>
      <c r="I38" s="105">
        <v>0.5</v>
      </c>
      <c r="J38" s="105">
        <v>0.5</v>
      </c>
      <c r="K38" s="105">
        <v>0.5</v>
      </c>
      <c r="L38" s="105">
        <v>0.5</v>
      </c>
      <c r="M38" s="105">
        <v>0.5</v>
      </c>
      <c r="N38"/>
    </row>
    <row r="39" spans="1:14" ht="12.75">
      <c r="A39" s="100" t="s">
        <v>884</v>
      </c>
      <c r="B39" s="105">
        <v>0.025</v>
      </c>
      <c r="C39" s="105">
        <v>0.025</v>
      </c>
      <c r="D39" s="105">
        <v>0.025</v>
      </c>
      <c r="E39" s="105">
        <v>0.025</v>
      </c>
      <c r="F39" s="105">
        <v>0.025</v>
      </c>
      <c r="G39" s="105">
        <v>0.025</v>
      </c>
      <c r="H39" s="105">
        <v>0.025</v>
      </c>
      <c r="I39" s="105">
        <v>0.025</v>
      </c>
      <c r="J39" s="105">
        <v>0.025</v>
      </c>
      <c r="K39" s="105">
        <v>0.025</v>
      </c>
      <c r="L39" s="105">
        <v>0.025</v>
      </c>
      <c r="M39" s="105">
        <v>0.025</v>
      </c>
      <c r="N39"/>
    </row>
    <row r="40" spans="1:14" ht="12.75">
      <c r="A40" s="100" t="s">
        <v>886</v>
      </c>
      <c r="B40" s="105">
        <v>0.25</v>
      </c>
      <c r="C40" s="105">
        <v>0.25</v>
      </c>
      <c r="D40" s="105">
        <v>0.25</v>
      </c>
      <c r="E40" s="105">
        <v>0.25</v>
      </c>
      <c r="F40" s="105">
        <v>0.25</v>
      </c>
      <c r="G40" s="105">
        <v>0.25</v>
      </c>
      <c r="H40" s="105">
        <v>0.25</v>
      </c>
      <c r="I40" s="105">
        <v>0.25</v>
      </c>
      <c r="J40" s="105">
        <v>0.25</v>
      </c>
      <c r="K40" s="105">
        <v>0.25</v>
      </c>
      <c r="L40" s="105">
        <v>0.25</v>
      </c>
      <c r="M40" s="105">
        <v>0.25</v>
      </c>
      <c r="N40"/>
    </row>
    <row r="41" spans="1:14" ht="12.75">
      <c r="A41" s="100" t="s">
        <v>887</v>
      </c>
      <c r="B41" s="105">
        <v>0.5</v>
      </c>
      <c r="C41" s="105">
        <v>0.5</v>
      </c>
      <c r="D41" s="105">
        <v>0.5</v>
      </c>
      <c r="E41" s="105">
        <v>0.5</v>
      </c>
      <c r="F41" s="105">
        <v>0.5</v>
      </c>
      <c r="G41" s="105">
        <v>0.5</v>
      </c>
      <c r="H41" s="105">
        <v>0.5</v>
      </c>
      <c r="I41" s="105">
        <v>0.5</v>
      </c>
      <c r="J41" s="105">
        <v>0.5</v>
      </c>
      <c r="K41" s="105">
        <v>0.5</v>
      </c>
      <c r="L41" s="105">
        <v>0.5</v>
      </c>
      <c r="M41" s="105">
        <v>0.5</v>
      </c>
      <c r="N41"/>
    </row>
    <row r="42" spans="1:14" s="94" customFormat="1" ht="25.5">
      <c r="A42" s="99" t="s">
        <v>705</v>
      </c>
      <c r="B42" s="93">
        <f aca="true" t="shared" si="0" ref="B42:M42">SUM(B10:B41)</f>
        <v>48.324999999999996</v>
      </c>
      <c r="C42" s="93">
        <f t="shared" si="0"/>
        <v>48.324999999999996</v>
      </c>
      <c r="D42" s="93">
        <f t="shared" si="0"/>
        <v>48.324999999999996</v>
      </c>
      <c r="E42" s="93">
        <f t="shared" si="0"/>
        <v>48.324999999999996</v>
      </c>
      <c r="F42" s="93">
        <f t="shared" si="0"/>
        <v>48.324999999999996</v>
      </c>
      <c r="G42" s="93">
        <f t="shared" si="0"/>
        <v>48.324999999999996</v>
      </c>
      <c r="H42" s="93">
        <f t="shared" si="0"/>
        <v>48.324999999999996</v>
      </c>
      <c r="I42" s="93">
        <f t="shared" si="0"/>
        <v>48.324999999999996</v>
      </c>
      <c r="J42" s="93">
        <f t="shared" si="0"/>
        <v>48.324999999999996</v>
      </c>
      <c r="K42" s="93">
        <f t="shared" si="0"/>
        <v>48.324999999999996</v>
      </c>
      <c r="L42" s="93">
        <f t="shared" si="0"/>
        <v>48.324999999999996</v>
      </c>
      <c r="M42" s="93">
        <f t="shared" si="0"/>
        <v>48.324999999999996</v>
      </c>
      <c r="N42" s="116"/>
    </row>
    <row r="43" spans="1:14" s="64" customFormat="1" ht="14.25" customHeight="1">
      <c r="A43" s="9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14"/>
    </row>
    <row r="44" spans="1:14" s="65" customFormat="1" ht="22.5" customHeight="1">
      <c r="A44" s="109" t="s">
        <v>362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14" s="64" customFormat="1" ht="12.75">
      <c r="A45" s="101" t="s">
        <v>410</v>
      </c>
      <c r="B45" s="88">
        <v>19</v>
      </c>
      <c r="C45" s="88">
        <v>19</v>
      </c>
      <c r="D45" s="88">
        <v>20</v>
      </c>
      <c r="E45" s="88">
        <v>19</v>
      </c>
      <c r="F45" s="88">
        <v>19</v>
      </c>
      <c r="G45" s="88">
        <v>19</v>
      </c>
      <c r="H45" s="88">
        <v>19</v>
      </c>
      <c r="I45" s="88">
        <v>20</v>
      </c>
      <c r="J45" s="88">
        <v>20</v>
      </c>
      <c r="K45" s="88">
        <v>20</v>
      </c>
      <c r="L45" s="88">
        <v>20</v>
      </c>
      <c r="M45" s="88">
        <v>20</v>
      </c>
      <c r="N45" s="114"/>
    </row>
    <row r="46" spans="1:14" s="64" customFormat="1" ht="12.75">
      <c r="A46" s="101" t="s">
        <v>685</v>
      </c>
      <c r="B46" s="88">
        <v>1</v>
      </c>
      <c r="C46" s="88">
        <v>1</v>
      </c>
      <c r="D46" s="88">
        <v>1</v>
      </c>
      <c r="E46" s="88">
        <v>2</v>
      </c>
      <c r="F46" s="88">
        <v>2</v>
      </c>
      <c r="G46" s="88">
        <v>2</v>
      </c>
      <c r="H46" s="88">
        <v>2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114"/>
    </row>
    <row r="47" spans="1:14" s="65" customFormat="1" ht="21" customHeight="1">
      <c r="A47" s="99" t="s">
        <v>455</v>
      </c>
      <c r="B47" s="93">
        <f>SUM(B45:B46)</f>
        <v>20</v>
      </c>
      <c r="C47" s="93">
        <f aca="true" t="shared" si="1" ref="C47:M47">SUM(C45:C46)</f>
        <v>20</v>
      </c>
      <c r="D47" s="93">
        <f t="shared" si="1"/>
        <v>21</v>
      </c>
      <c r="E47" s="93">
        <f t="shared" si="1"/>
        <v>21</v>
      </c>
      <c r="F47" s="93">
        <f t="shared" si="1"/>
        <v>21</v>
      </c>
      <c r="G47" s="93">
        <f t="shared" si="1"/>
        <v>21</v>
      </c>
      <c r="H47" s="93">
        <f t="shared" si="1"/>
        <v>21</v>
      </c>
      <c r="I47" s="93">
        <f t="shared" si="1"/>
        <v>21</v>
      </c>
      <c r="J47" s="93">
        <f t="shared" si="1"/>
        <v>21</v>
      </c>
      <c r="K47" s="93">
        <f t="shared" si="1"/>
        <v>21</v>
      </c>
      <c r="L47" s="93">
        <f t="shared" si="1"/>
        <v>21</v>
      </c>
      <c r="M47" s="93">
        <f t="shared" si="1"/>
        <v>21</v>
      </c>
      <c r="N47" s="90"/>
    </row>
    <row r="48" spans="1:13" s="90" customFormat="1" ht="14.25" customHeight="1">
      <c r="A48" s="10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4" s="65" customFormat="1" ht="22.5" customHeight="1">
      <c r="A49" s="109" t="s">
        <v>432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90"/>
    </row>
    <row r="50" spans="1:14" s="113" customFormat="1" ht="22.5" customHeight="1">
      <c r="A50" s="110" t="s">
        <v>686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1:14" s="64" customFormat="1" ht="12.75">
      <c r="A51" s="101" t="s">
        <v>566</v>
      </c>
      <c r="B51" s="88">
        <v>1</v>
      </c>
      <c r="C51" s="88">
        <v>1</v>
      </c>
      <c r="D51" s="88">
        <v>1</v>
      </c>
      <c r="E51" s="88">
        <v>1</v>
      </c>
      <c r="F51" s="88">
        <v>1</v>
      </c>
      <c r="G51" s="88">
        <v>1</v>
      </c>
      <c r="H51" s="88">
        <v>1</v>
      </c>
      <c r="I51" s="88">
        <v>1</v>
      </c>
      <c r="J51" s="88">
        <v>1</v>
      </c>
      <c r="K51" s="88">
        <v>1</v>
      </c>
      <c r="L51" s="88">
        <v>1</v>
      </c>
      <c r="M51" s="88">
        <v>1</v>
      </c>
      <c r="N51" s="114"/>
    </row>
    <row r="52" spans="1:14" s="64" customFormat="1" ht="12.75">
      <c r="A52" s="103" t="s">
        <v>567</v>
      </c>
      <c r="B52" s="88">
        <v>1</v>
      </c>
      <c r="C52" s="88">
        <v>1</v>
      </c>
      <c r="D52" s="88">
        <v>1</v>
      </c>
      <c r="E52" s="88">
        <v>1</v>
      </c>
      <c r="F52" s="88">
        <v>1</v>
      </c>
      <c r="G52" s="88">
        <v>1</v>
      </c>
      <c r="H52" s="88">
        <v>1</v>
      </c>
      <c r="I52" s="88">
        <v>1</v>
      </c>
      <c r="J52" s="88">
        <v>1</v>
      </c>
      <c r="K52" s="88">
        <v>1</v>
      </c>
      <c r="L52" s="88">
        <v>1</v>
      </c>
      <c r="M52" s="88">
        <v>1</v>
      </c>
      <c r="N52" s="114"/>
    </row>
    <row r="53" spans="1:14" s="113" customFormat="1" ht="22.5" customHeight="1">
      <c r="A53" s="110" t="s">
        <v>690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s="64" customFormat="1" ht="15" customHeight="1">
      <c r="A54" s="101" t="s">
        <v>721</v>
      </c>
      <c r="B54" s="88">
        <v>1</v>
      </c>
      <c r="C54" s="88">
        <v>1</v>
      </c>
      <c r="D54" s="88">
        <v>1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114"/>
    </row>
    <row r="55" spans="1:14" s="113" customFormat="1" ht="22.5" customHeight="1">
      <c r="A55" s="110" t="s">
        <v>687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2"/>
    </row>
    <row r="56" spans="1:14" s="64" customFormat="1" ht="12.75">
      <c r="A56" s="101" t="s">
        <v>688</v>
      </c>
      <c r="B56" s="88">
        <v>1</v>
      </c>
      <c r="C56" s="88">
        <v>1</v>
      </c>
      <c r="D56" s="88">
        <v>1</v>
      </c>
      <c r="E56" s="88">
        <v>1</v>
      </c>
      <c r="F56" s="88">
        <v>1</v>
      </c>
      <c r="G56" s="88">
        <v>1</v>
      </c>
      <c r="H56" s="88">
        <v>1</v>
      </c>
      <c r="I56" s="88">
        <v>1</v>
      </c>
      <c r="J56" s="88">
        <v>1</v>
      </c>
      <c r="K56" s="88">
        <v>1</v>
      </c>
      <c r="L56" s="88">
        <v>1</v>
      </c>
      <c r="M56" s="88">
        <v>1</v>
      </c>
      <c r="N56" s="114"/>
    </row>
    <row r="57" spans="1:14" s="64" customFormat="1" ht="12.75">
      <c r="A57" s="101" t="s">
        <v>689</v>
      </c>
      <c r="B57" s="88">
        <v>1</v>
      </c>
      <c r="C57" s="88">
        <v>1</v>
      </c>
      <c r="D57" s="88">
        <v>1</v>
      </c>
      <c r="E57" s="88">
        <v>1</v>
      </c>
      <c r="F57" s="88">
        <v>1</v>
      </c>
      <c r="G57" s="88">
        <v>1</v>
      </c>
      <c r="H57" s="88">
        <v>1</v>
      </c>
      <c r="I57" s="88">
        <v>1</v>
      </c>
      <c r="J57" s="88">
        <v>1</v>
      </c>
      <c r="K57" s="88">
        <v>1</v>
      </c>
      <c r="L57" s="88">
        <v>1</v>
      </c>
      <c r="M57" s="88">
        <v>1</v>
      </c>
      <c r="N57" s="114"/>
    </row>
    <row r="58" spans="1:14" s="64" customFormat="1" ht="12.75">
      <c r="A58" s="101" t="s">
        <v>849</v>
      </c>
      <c r="B58" s="88">
        <v>1</v>
      </c>
      <c r="C58" s="88">
        <v>1</v>
      </c>
      <c r="D58" s="88">
        <v>1</v>
      </c>
      <c r="E58" s="88">
        <v>1</v>
      </c>
      <c r="F58" s="88">
        <v>1</v>
      </c>
      <c r="G58" s="88">
        <v>1</v>
      </c>
      <c r="H58" s="88">
        <v>1</v>
      </c>
      <c r="I58" s="88">
        <v>1</v>
      </c>
      <c r="J58" s="88">
        <v>1</v>
      </c>
      <c r="K58" s="88">
        <v>1</v>
      </c>
      <c r="L58" s="88">
        <v>1</v>
      </c>
      <c r="M58" s="88">
        <v>1</v>
      </c>
      <c r="N58" s="114"/>
    </row>
    <row r="59" spans="1:14" s="113" customFormat="1" ht="22.5" customHeight="1">
      <c r="A59" s="110" t="s">
        <v>1003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</row>
    <row r="60" spans="1:14" s="64" customFormat="1" ht="12.75">
      <c r="A60" s="100" t="s">
        <v>1004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88">
        <v>1</v>
      </c>
      <c r="I60" s="88">
        <v>1</v>
      </c>
      <c r="J60" s="88">
        <v>1</v>
      </c>
      <c r="K60" s="88">
        <v>1</v>
      </c>
      <c r="L60" s="88">
        <v>1</v>
      </c>
      <c r="M60" s="88">
        <v>1</v>
      </c>
      <c r="N60" s="114"/>
    </row>
    <row r="61" spans="1:14" s="64" customFormat="1" ht="12.75">
      <c r="A61" s="100" t="s">
        <v>1005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88">
        <v>3</v>
      </c>
      <c r="I61" s="88">
        <v>3</v>
      </c>
      <c r="J61" s="88">
        <v>3</v>
      </c>
      <c r="K61" s="88">
        <v>3</v>
      </c>
      <c r="L61" s="88">
        <v>3</v>
      </c>
      <c r="M61" s="88">
        <v>3</v>
      </c>
      <c r="N61" s="114"/>
    </row>
    <row r="62" spans="1:14" s="113" customFormat="1" ht="22.5" customHeight="1">
      <c r="A62" s="110" t="s">
        <v>351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</row>
    <row r="63" spans="1:14" s="64" customFormat="1" ht="12.75">
      <c r="A63" s="100" t="s">
        <v>352</v>
      </c>
      <c r="B63" s="105">
        <v>5</v>
      </c>
      <c r="C63" s="105">
        <v>5</v>
      </c>
      <c r="D63" s="105">
        <v>5</v>
      </c>
      <c r="E63" s="105">
        <v>5</v>
      </c>
      <c r="F63" s="105">
        <v>5</v>
      </c>
      <c r="G63" s="105">
        <v>5</v>
      </c>
      <c r="H63" s="88">
        <v>5</v>
      </c>
      <c r="I63" s="88">
        <v>5</v>
      </c>
      <c r="J63" s="88">
        <v>5</v>
      </c>
      <c r="K63" s="88">
        <v>5</v>
      </c>
      <c r="L63" s="88">
        <v>5</v>
      </c>
      <c r="M63" s="88">
        <v>5</v>
      </c>
      <c r="N63" s="114"/>
    </row>
    <row r="64" spans="1:14" ht="25.5">
      <c r="A64" s="110" t="s">
        <v>771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/>
    </row>
    <row r="65" spans="1:14" ht="12.75">
      <c r="A65" s="101" t="s">
        <v>850</v>
      </c>
      <c r="B65" s="105">
        <v>0.375</v>
      </c>
      <c r="C65" s="105">
        <v>0.375</v>
      </c>
      <c r="D65" s="105">
        <v>0.375</v>
      </c>
      <c r="E65" s="105">
        <v>0.375</v>
      </c>
      <c r="F65" s="105">
        <v>0.375</v>
      </c>
      <c r="G65" s="105">
        <v>0.375</v>
      </c>
      <c r="H65" s="105">
        <v>0.375</v>
      </c>
      <c r="I65" s="105">
        <v>0.375</v>
      </c>
      <c r="J65" s="105">
        <v>0.375</v>
      </c>
      <c r="K65" s="105">
        <v>0.375</v>
      </c>
      <c r="L65" s="105">
        <v>0.375</v>
      </c>
      <c r="M65" s="105">
        <v>0.375</v>
      </c>
      <c r="N65"/>
    </row>
    <row r="66" spans="1:14" ht="12.75">
      <c r="A66" s="101" t="s">
        <v>851</v>
      </c>
      <c r="B66" s="105">
        <v>0.375</v>
      </c>
      <c r="C66" s="105">
        <v>0.375</v>
      </c>
      <c r="D66" s="105">
        <v>0.375</v>
      </c>
      <c r="E66" s="105">
        <v>0.375</v>
      </c>
      <c r="F66" s="105">
        <v>0.375</v>
      </c>
      <c r="G66" s="105">
        <v>0.375</v>
      </c>
      <c r="H66" s="105">
        <v>0.375</v>
      </c>
      <c r="I66" s="105">
        <v>0.375</v>
      </c>
      <c r="J66" s="105">
        <v>0.375</v>
      </c>
      <c r="K66" s="105">
        <v>0.375</v>
      </c>
      <c r="L66" s="105">
        <v>0.375</v>
      </c>
      <c r="M66" s="105">
        <v>0.375</v>
      </c>
      <c r="N66"/>
    </row>
    <row r="67" spans="1:14" ht="12.75">
      <c r="A67" s="101" t="s">
        <v>563</v>
      </c>
      <c r="B67" s="105">
        <v>1</v>
      </c>
      <c r="C67" s="105">
        <v>1</v>
      </c>
      <c r="D67" s="105">
        <v>1</v>
      </c>
      <c r="E67" s="105">
        <v>1</v>
      </c>
      <c r="F67" s="105">
        <v>1</v>
      </c>
      <c r="G67" s="105">
        <v>1</v>
      </c>
      <c r="H67" s="105">
        <v>1</v>
      </c>
      <c r="I67" s="105">
        <v>1</v>
      </c>
      <c r="J67" s="105">
        <v>1</v>
      </c>
      <c r="K67" s="105">
        <v>1</v>
      </c>
      <c r="L67" s="105">
        <v>1</v>
      </c>
      <c r="M67" s="105">
        <v>1</v>
      </c>
      <c r="N67"/>
    </row>
    <row r="68" spans="1:14" ht="12.75">
      <c r="A68" s="101" t="s">
        <v>852</v>
      </c>
      <c r="B68" s="105">
        <v>0.5</v>
      </c>
      <c r="C68" s="105">
        <v>0.5</v>
      </c>
      <c r="D68" s="105">
        <v>0.5</v>
      </c>
      <c r="E68" s="105">
        <v>0.5</v>
      </c>
      <c r="F68" s="105">
        <v>0.5</v>
      </c>
      <c r="G68" s="105">
        <v>0.5</v>
      </c>
      <c r="H68" s="105">
        <v>0.5</v>
      </c>
      <c r="I68" s="105">
        <v>0.5</v>
      </c>
      <c r="J68" s="105">
        <v>0.5</v>
      </c>
      <c r="K68" s="105">
        <v>0.5</v>
      </c>
      <c r="L68" s="105">
        <v>0.5</v>
      </c>
      <c r="M68" s="105">
        <v>0.5</v>
      </c>
      <c r="N68"/>
    </row>
    <row r="69" spans="1:14" ht="12.75">
      <c r="A69" s="101" t="s">
        <v>799</v>
      </c>
      <c r="B69" s="105">
        <v>1</v>
      </c>
      <c r="C69" s="105">
        <v>1</v>
      </c>
      <c r="D69" s="105">
        <v>1</v>
      </c>
      <c r="E69" s="105">
        <v>1</v>
      </c>
      <c r="F69" s="105">
        <v>1</v>
      </c>
      <c r="G69" s="105">
        <v>1</v>
      </c>
      <c r="H69" s="105">
        <v>1</v>
      </c>
      <c r="I69" s="105">
        <v>1</v>
      </c>
      <c r="J69" s="105">
        <v>1</v>
      </c>
      <c r="K69" s="105">
        <v>1</v>
      </c>
      <c r="L69" s="105">
        <v>1</v>
      </c>
      <c r="M69" s="105">
        <v>1</v>
      </c>
      <c r="N69"/>
    </row>
    <row r="70" spans="1:14" ht="12.75">
      <c r="A70" s="101" t="s">
        <v>667</v>
      </c>
      <c r="B70" s="105">
        <v>2</v>
      </c>
      <c r="C70" s="105">
        <v>2</v>
      </c>
      <c r="D70" s="105">
        <v>2</v>
      </c>
      <c r="E70" s="105">
        <v>2</v>
      </c>
      <c r="F70" s="105">
        <v>2</v>
      </c>
      <c r="G70" s="105">
        <v>2</v>
      </c>
      <c r="H70" s="105">
        <v>2</v>
      </c>
      <c r="I70" s="105">
        <v>2</v>
      </c>
      <c r="J70" s="105">
        <v>2</v>
      </c>
      <c r="K70" s="105">
        <v>2</v>
      </c>
      <c r="L70" s="105">
        <v>2</v>
      </c>
      <c r="M70" s="105">
        <v>2</v>
      </c>
      <c r="N70"/>
    </row>
    <row r="71" spans="1:14" ht="12.75">
      <c r="A71" s="101" t="s">
        <v>778</v>
      </c>
      <c r="B71" s="105">
        <v>1</v>
      </c>
      <c r="C71" s="105">
        <v>1</v>
      </c>
      <c r="D71" s="105">
        <v>1</v>
      </c>
      <c r="E71" s="105">
        <v>1</v>
      </c>
      <c r="F71" s="105">
        <v>1</v>
      </c>
      <c r="G71" s="105">
        <v>1</v>
      </c>
      <c r="H71" s="105">
        <v>1</v>
      </c>
      <c r="I71" s="105">
        <v>1</v>
      </c>
      <c r="J71" s="105">
        <v>1</v>
      </c>
      <c r="K71" s="105">
        <v>1</v>
      </c>
      <c r="L71" s="105">
        <v>1</v>
      </c>
      <c r="M71" s="105">
        <v>1</v>
      </c>
      <c r="N71"/>
    </row>
    <row r="72" spans="1:14" ht="15.75" customHeight="1">
      <c r="A72" s="101" t="s">
        <v>772</v>
      </c>
      <c r="B72" s="105">
        <v>0.5</v>
      </c>
      <c r="C72" s="105">
        <v>0.5</v>
      </c>
      <c r="D72" s="105">
        <v>0.5</v>
      </c>
      <c r="E72" s="105">
        <v>0.5</v>
      </c>
      <c r="F72" s="105">
        <v>0.5</v>
      </c>
      <c r="G72" s="105">
        <v>0.5</v>
      </c>
      <c r="H72" s="105">
        <v>0.5</v>
      </c>
      <c r="I72" s="105">
        <v>0.5</v>
      </c>
      <c r="J72" s="105">
        <v>0.5</v>
      </c>
      <c r="K72" s="105">
        <v>0.5</v>
      </c>
      <c r="L72" s="105">
        <v>0.5</v>
      </c>
      <c r="M72" s="105">
        <v>0.5</v>
      </c>
      <c r="N72"/>
    </row>
    <row r="73" spans="1:14" ht="25.5">
      <c r="A73" s="110" t="s">
        <v>773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/>
    </row>
    <row r="74" spans="1:14" ht="12.75">
      <c r="A74" s="100" t="s">
        <v>563</v>
      </c>
      <c r="B74" s="105">
        <v>1</v>
      </c>
      <c r="C74" s="105">
        <v>1</v>
      </c>
      <c r="D74" s="105">
        <v>1</v>
      </c>
      <c r="E74" s="105">
        <v>1</v>
      </c>
      <c r="F74" s="105">
        <v>1</v>
      </c>
      <c r="G74" s="105">
        <v>1</v>
      </c>
      <c r="H74" s="105">
        <v>1</v>
      </c>
      <c r="I74" s="105">
        <v>1</v>
      </c>
      <c r="J74" s="105">
        <v>1</v>
      </c>
      <c r="K74" s="105">
        <v>1</v>
      </c>
      <c r="L74" s="105">
        <v>1</v>
      </c>
      <c r="M74" s="105">
        <v>0</v>
      </c>
      <c r="N74"/>
    </row>
    <row r="75" spans="1:14" ht="12.75">
      <c r="A75" s="100" t="s">
        <v>853</v>
      </c>
      <c r="B75" s="105">
        <v>1</v>
      </c>
      <c r="C75" s="105">
        <v>1</v>
      </c>
      <c r="D75" s="105">
        <v>1</v>
      </c>
      <c r="E75" s="105">
        <v>1</v>
      </c>
      <c r="F75" s="105">
        <v>1</v>
      </c>
      <c r="G75" s="105">
        <v>1</v>
      </c>
      <c r="H75" s="105">
        <v>1</v>
      </c>
      <c r="I75" s="105">
        <v>1</v>
      </c>
      <c r="J75" s="105">
        <v>1</v>
      </c>
      <c r="K75" s="105">
        <v>1</v>
      </c>
      <c r="L75" s="105">
        <v>1</v>
      </c>
      <c r="M75" s="105">
        <v>1</v>
      </c>
      <c r="N75"/>
    </row>
    <row r="76" spans="1:14" ht="12.75">
      <c r="A76" s="100" t="s">
        <v>854</v>
      </c>
      <c r="B76" s="105">
        <v>0.5</v>
      </c>
      <c r="C76" s="105">
        <v>0.5</v>
      </c>
      <c r="D76" s="105">
        <v>0.5</v>
      </c>
      <c r="E76" s="105">
        <v>0.5</v>
      </c>
      <c r="F76" s="105">
        <v>0.5</v>
      </c>
      <c r="G76" s="105">
        <v>0.5</v>
      </c>
      <c r="H76" s="105">
        <v>0.5</v>
      </c>
      <c r="I76" s="105">
        <v>0.5</v>
      </c>
      <c r="J76" s="105">
        <v>0.5</v>
      </c>
      <c r="K76" s="105">
        <v>0.5</v>
      </c>
      <c r="L76" s="105">
        <v>0.5</v>
      </c>
      <c r="M76" s="105">
        <v>0</v>
      </c>
      <c r="N76"/>
    </row>
    <row r="77" spans="1:14" ht="12.75">
      <c r="A77" s="100" t="s">
        <v>855</v>
      </c>
      <c r="B77" s="105">
        <v>2.25</v>
      </c>
      <c r="C77" s="105">
        <v>2.25</v>
      </c>
      <c r="D77" s="105">
        <v>2.25</v>
      </c>
      <c r="E77" s="105">
        <v>2.25</v>
      </c>
      <c r="F77" s="105">
        <v>2.25</v>
      </c>
      <c r="G77" s="105">
        <v>2.25</v>
      </c>
      <c r="H77" s="105">
        <v>2.25</v>
      </c>
      <c r="I77" s="105">
        <v>2.25</v>
      </c>
      <c r="J77" s="105">
        <v>2.25</v>
      </c>
      <c r="K77" s="105">
        <v>2.25</v>
      </c>
      <c r="L77" s="105">
        <v>2.25</v>
      </c>
      <c r="M77" s="105">
        <v>0</v>
      </c>
      <c r="N77"/>
    </row>
    <row r="78" spans="1:13" s="628" customFormat="1" ht="12.75">
      <c r="A78" s="626" t="s">
        <v>856</v>
      </c>
      <c r="B78" s="627">
        <v>1</v>
      </c>
      <c r="C78" s="627">
        <v>1</v>
      </c>
      <c r="D78" s="627">
        <v>1</v>
      </c>
      <c r="E78" s="627">
        <v>1</v>
      </c>
      <c r="F78" s="627">
        <v>1</v>
      </c>
      <c r="G78" s="627">
        <v>1</v>
      </c>
      <c r="H78" s="627">
        <v>1</v>
      </c>
      <c r="I78" s="627">
        <v>1</v>
      </c>
      <c r="J78" s="627">
        <v>1</v>
      </c>
      <c r="K78" s="627">
        <v>1</v>
      </c>
      <c r="L78" s="627">
        <v>1</v>
      </c>
      <c r="M78" s="627">
        <v>1</v>
      </c>
    </row>
    <row r="79" spans="1:13" s="628" customFormat="1" ht="12.75">
      <c r="A79" s="626" t="s">
        <v>857</v>
      </c>
      <c r="B79" s="627">
        <v>2</v>
      </c>
      <c r="C79" s="627">
        <v>2</v>
      </c>
      <c r="D79" s="627">
        <v>2</v>
      </c>
      <c r="E79" s="627">
        <v>2</v>
      </c>
      <c r="F79" s="627">
        <v>2</v>
      </c>
      <c r="G79" s="627">
        <v>2</v>
      </c>
      <c r="H79" s="627">
        <v>2</v>
      </c>
      <c r="I79" s="627">
        <v>2</v>
      </c>
      <c r="J79" s="627">
        <v>2</v>
      </c>
      <c r="K79" s="627">
        <v>2</v>
      </c>
      <c r="L79" s="627">
        <v>2</v>
      </c>
      <c r="M79" s="105">
        <v>0</v>
      </c>
    </row>
    <row r="80" spans="1:14" ht="12.75">
      <c r="A80" s="110" t="s">
        <v>774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/>
    </row>
    <row r="81" spans="1:13" s="618" customFormat="1" ht="12.75">
      <c r="A81" s="100" t="s">
        <v>858</v>
      </c>
      <c r="B81" s="105">
        <v>1</v>
      </c>
      <c r="C81" s="105">
        <v>1</v>
      </c>
      <c r="D81" s="105">
        <v>1</v>
      </c>
      <c r="E81" s="105">
        <v>1</v>
      </c>
      <c r="F81" s="105">
        <v>1</v>
      </c>
      <c r="G81" s="105">
        <v>1</v>
      </c>
      <c r="H81" s="105">
        <v>1</v>
      </c>
      <c r="I81" s="105">
        <v>1</v>
      </c>
      <c r="J81" s="105">
        <v>1</v>
      </c>
      <c r="K81" s="105">
        <v>1</v>
      </c>
      <c r="L81" s="105">
        <v>1</v>
      </c>
      <c r="M81" s="105">
        <v>1</v>
      </c>
    </row>
    <row r="82" spans="1:14" ht="25.5">
      <c r="A82" s="110" t="s">
        <v>775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/>
    </row>
    <row r="83" spans="1:13" s="618" customFormat="1" ht="12.75">
      <c r="A83" s="100" t="s">
        <v>860</v>
      </c>
      <c r="B83" s="105">
        <v>0.25</v>
      </c>
      <c r="C83" s="105">
        <v>0.25</v>
      </c>
      <c r="D83" s="105">
        <v>0.25</v>
      </c>
      <c r="E83" s="105">
        <v>0.25</v>
      </c>
      <c r="F83" s="105">
        <v>0.25</v>
      </c>
      <c r="G83" s="105">
        <v>0.25</v>
      </c>
      <c r="H83" s="105">
        <v>0.25</v>
      </c>
      <c r="I83" s="105">
        <v>0.25</v>
      </c>
      <c r="J83" s="105">
        <v>0.25</v>
      </c>
      <c r="K83" s="105">
        <v>0.25</v>
      </c>
      <c r="L83" s="105">
        <v>0.25</v>
      </c>
      <c r="M83" s="105">
        <v>0.25</v>
      </c>
    </row>
    <row r="84" spans="1:13" s="618" customFormat="1" ht="12.75">
      <c r="A84" s="100" t="s">
        <v>859</v>
      </c>
      <c r="B84" s="105">
        <v>0.5</v>
      </c>
      <c r="C84" s="105">
        <v>0.5</v>
      </c>
      <c r="D84" s="105">
        <v>0.5</v>
      </c>
      <c r="E84" s="105">
        <v>0.5</v>
      </c>
      <c r="F84" s="105">
        <v>0.5</v>
      </c>
      <c r="G84" s="105">
        <v>0.5</v>
      </c>
      <c r="H84" s="105">
        <v>0.5</v>
      </c>
      <c r="I84" s="105">
        <v>0.5</v>
      </c>
      <c r="J84" s="105">
        <v>0.5</v>
      </c>
      <c r="K84" s="105">
        <v>0.5</v>
      </c>
      <c r="L84" s="105">
        <v>0.5</v>
      </c>
      <c r="M84" s="105">
        <v>0.5</v>
      </c>
    </row>
    <row r="85" spans="1:14" s="65" customFormat="1" ht="21" customHeight="1">
      <c r="A85" s="99" t="s">
        <v>375</v>
      </c>
      <c r="B85" s="93">
        <f aca="true" t="shared" si="2" ref="B85:M85">SUM(B51:B84)</f>
        <v>27.25</v>
      </c>
      <c r="C85" s="93">
        <f t="shared" si="2"/>
        <v>27.25</v>
      </c>
      <c r="D85" s="93">
        <f t="shared" si="2"/>
        <v>27.25</v>
      </c>
      <c r="E85" s="93">
        <f t="shared" si="2"/>
        <v>27.25</v>
      </c>
      <c r="F85" s="93">
        <f t="shared" si="2"/>
        <v>27.25</v>
      </c>
      <c r="G85" s="93">
        <f t="shared" si="2"/>
        <v>27.25</v>
      </c>
      <c r="H85" s="93">
        <f t="shared" si="2"/>
        <v>31.25</v>
      </c>
      <c r="I85" s="93">
        <f t="shared" si="2"/>
        <v>31.25</v>
      </c>
      <c r="J85" s="93">
        <f t="shared" si="2"/>
        <v>31.25</v>
      </c>
      <c r="K85" s="93">
        <f t="shared" si="2"/>
        <v>31.25</v>
      </c>
      <c r="L85" s="93">
        <f t="shared" si="2"/>
        <v>31.25</v>
      </c>
      <c r="M85" s="93">
        <f t="shared" si="2"/>
        <v>25.5</v>
      </c>
      <c r="N85" s="90"/>
    </row>
    <row r="86" spans="1:14" s="64" customFormat="1" ht="14.25" customHeight="1">
      <c r="A86" s="9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114"/>
    </row>
    <row r="87" spans="1:14" s="65" customFormat="1" ht="22.5" customHeight="1">
      <c r="A87" s="109" t="s">
        <v>715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90"/>
    </row>
    <row r="88" spans="1:14" s="64" customFormat="1" ht="12.75">
      <c r="A88" s="101" t="s">
        <v>800</v>
      </c>
      <c r="B88" s="88">
        <v>1</v>
      </c>
      <c r="C88" s="88">
        <v>1</v>
      </c>
      <c r="D88" s="88">
        <v>1</v>
      </c>
      <c r="E88" s="88">
        <v>1</v>
      </c>
      <c r="F88" s="88">
        <v>1</v>
      </c>
      <c r="G88" s="88">
        <v>1</v>
      </c>
      <c r="H88" s="88">
        <v>1</v>
      </c>
      <c r="I88" s="88">
        <v>1</v>
      </c>
      <c r="J88" s="88">
        <v>1</v>
      </c>
      <c r="K88" s="88">
        <v>1</v>
      </c>
      <c r="L88" s="88">
        <v>1</v>
      </c>
      <c r="M88" s="88">
        <v>1</v>
      </c>
      <c r="N88" s="114"/>
    </row>
    <row r="89" spans="1:14" s="64" customFormat="1" ht="12.75">
      <c r="A89" s="101" t="s">
        <v>691</v>
      </c>
      <c r="B89" s="88">
        <v>1</v>
      </c>
      <c r="C89" s="88">
        <v>1</v>
      </c>
      <c r="D89" s="88">
        <v>1</v>
      </c>
      <c r="E89" s="88">
        <v>1</v>
      </c>
      <c r="F89" s="88">
        <v>1</v>
      </c>
      <c r="G89" s="88">
        <v>1</v>
      </c>
      <c r="H89" s="88">
        <v>1</v>
      </c>
      <c r="I89" s="88">
        <v>1</v>
      </c>
      <c r="J89" s="88">
        <v>1</v>
      </c>
      <c r="K89" s="88">
        <v>1</v>
      </c>
      <c r="L89" s="88">
        <v>1</v>
      </c>
      <c r="M89" s="88">
        <v>1</v>
      </c>
      <c r="N89" s="114"/>
    </row>
    <row r="90" spans="1:14" s="64" customFormat="1" ht="12.75">
      <c r="A90" s="101" t="s">
        <v>801</v>
      </c>
      <c r="B90" s="88">
        <v>1</v>
      </c>
      <c r="C90" s="88">
        <v>1</v>
      </c>
      <c r="D90" s="88">
        <v>1</v>
      </c>
      <c r="E90" s="88">
        <v>1</v>
      </c>
      <c r="F90" s="88">
        <v>1</v>
      </c>
      <c r="G90" s="88">
        <v>1</v>
      </c>
      <c r="H90" s="88">
        <v>1</v>
      </c>
      <c r="I90" s="88">
        <v>1</v>
      </c>
      <c r="J90" s="88">
        <v>1</v>
      </c>
      <c r="K90" s="88">
        <v>1</v>
      </c>
      <c r="L90" s="88">
        <v>1</v>
      </c>
      <c r="M90" s="88">
        <v>1</v>
      </c>
      <c r="N90" s="114"/>
    </row>
    <row r="91" spans="1:14" s="64" customFormat="1" ht="12.75">
      <c r="A91" s="101" t="s">
        <v>802</v>
      </c>
      <c r="B91" s="88">
        <v>1</v>
      </c>
      <c r="C91" s="88">
        <v>1</v>
      </c>
      <c r="D91" s="88">
        <v>1</v>
      </c>
      <c r="E91" s="88">
        <v>1</v>
      </c>
      <c r="F91" s="88">
        <v>1</v>
      </c>
      <c r="G91" s="88">
        <v>1</v>
      </c>
      <c r="H91" s="88">
        <v>1</v>
      </c>
      <c r="I91" s="88">
        <v>1</v>
      </c>
      <c r="J91" s="88">
        <v>1</v>
      </c>
      <c r="K91" s="88">
        <v>1</v>
      </c>
      <c r="L91" s="88">
        <v>1</v>
      </c>
      <c r="M91" s="88">
        <v>1</v>
      </c>
      <c r="N91" s="114"/>
    </row>
    <row r="92" spans="1:14" s="64" customFormat="1" ht="12.75">
      <c r="A92" s="101" t="s">
        <v>803</v>
      </c>
      <c r="B92" s="88">
        <v>0</v>
      </c>
      <c r="C92" s="88">
        <v>0</v>
      </c>
      <c r="D92" s="88">
        <v>2</v>
      </c>
      <c r="E92" s="88">
        <v>2</v>
      </c>
      <c r="F92" s="88">
        <v>2</v>
      </c>
      <c r="G92" s="88">
        <v>2</v>
      </c>
      <c r="H92" s="88">
        <v>2</v>
      </c>
      <c r="I92" s="88">
        <v>2</v>
      </c>
      <c r="J92" s="88">
        <v>2</v>
      </c>
      <c r="K92" s="88">
        <v>2</v>
      </c>
      <c r="L92" s="88">
        <v>2</v>
      </c>
      <c r="M92" s="88">
        <v>2</v>
      </c>
      <c r="N92" s="114"/>
    </row>
    <row r="93" spans="1:14" ht="12.75">
      <c r="A93" s="110" t="s">
        <v>776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/>
    </row>
    <row r="94" spans="1:14" ht="12.75">
      <c r="A94" s="100" t="s">
        <v>861</v>
      </c>
      <c r="B94" s="105">
        <v>0.5</v>
      </c>
      <c r="C94" s="105">
        <v>0.5</v>
      </c>
      <c r="D94" s="105">
        <v>0.5</v>
      </c>
      <c r="E94" s="105">
        <v>0.5</v>
      </c>
      <c r="F94" s="105">
        <v>0.5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/>
    </row>
    <row r="95" spans="1:14" s="65" customFormat="1" ht="21" customHeight="1">
      <c r="A95" s="99" t="s">
        <v>716</v>
      </c>
      <c r="B95" s="93">
        <f>SUM(B89:B94)</f>
        <v>3.5</v>
      </c>
      <c r="C95" s="93">
        <f aca="true" t="shared" si="3" ref="C95:M95">SUM(C89:C94)</f>
        <v>3.5</v>
      </c>
      <c r="D95" s="93">
        <f t="shared" si="3"/>
        <v>5.5</v>
      </c>
      <c r="E95" s="93">
        <f t="shared" si="3"/>
        <v>5.5</v>
      </c>
      <c r="F95" s="93">
        <f t="shared" si="3"/>
        <v>5.5</v>
      </c>
      <c r="G95" s="93">
        <f t="shared" si="3"/>
        <v>5</v>
      </c>
      <c r="H95" s="93">
        <f t="shared" si="3"/>
        <v>5</v>
      </c>
      <c r="I95" s="93">
        <f t="shared" si="3"/>
        <v>5</v>
      </c>
      <c r="J95" s="93">
        <f t="shared" si="3"/>
        <v>5</v>
      </c>
      <c r="K95" s="93">
        <f t="shared" si="3"/>
        <v>5</v>
      </c>
      <c r="L95" s="93">
        <f t="shared" si="3"/>
        <v>5</v>
      </c>
      <c r="M95" s="93">
        <f t="shared" si="3"/>
        <v>5</v>
      </c>
      <c r="N95" s="90"/>
    </row>
    <row r="96" spans="1:14" s="94" customFormat="1" ht="30.75" customHeight="1">
      <c r="A96" s="659" t="s">
        <v>411</v>
      </c>
      <c r="B96" s="406">
        <f>SUM(B95,B85,B47,B42)</f>
        <v>99.07499999999999</v>
      </c>
      <c r="C96" s="406">
        <f aca="true" t="shared" si="4" ref="C96:M96">SUM(C95,C85,C47,C42)</f>
        <v>99.07499999999999</v>
      </c>
      <c r="D96" s="406">
        <f t="shared" si="4"/>
        <v>102.07499999999999</v>
      </c>
      <c r="E96" s="406">
        <f t="shared" si="4"/>
        <v>102.07499999999999</v>
      </c>
      <c r="F96" s="406">
        <f t="shared" si="4"/>
        <v>102.07499999999999</v>
      </c>
      <c r="G96" s="406">
        <f t="shared" si="4"/>
        <v>101.57499999999999</v>
      </c>
      <c r="H96" s="406">
        <f t="shared" si="4"/>
        <v>105.57499999999999</v>
      </c>
      <c r="I96" s="406">
        <f t="shared" si="4"/>
        <v>105.57499999999999</v>
      </c>
      <c r="J96" s="406">
        <f t="shared" si="4"/>
        <v>105.57499999999999</v>
      </c>
      <c r="K96" s="406">
        <f t="shared" si="4"/>
        <v>105.57499999999999</v>
      </c>
      <c r="L96" s="406">
        <f t="shared" si="4"/>
        <v>105.57499999999999</v>
      </c>
      <c r="M96" s="406">
        <f t="shared" si="4"/>
        <v>99.82499999999999</v>
      </c>
      <c r="N96" s="116"/>
    </row>
    <row r="97" spans="1:14" s="64" customFormat="1" ht="6" customHeight="1">
      <c r="A97" s="9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14"/>
    </row>
    <row r="98" spans="1:14" s="65" customFormat="1" ht="25.5" customHeight="1">
      <c r="A98" s="109" t="s">
        <v>350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90"/>
    </row>
    <row r="99" spans="1:14" s="499" customFormat="1" ht="37.5" customHeight="1">
      <c r="A99" s="496" t="s">
        <v>896</v>
      </c>
      <c r="B99" s="497"/>
      <c r="C99" s="497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8"/>
    </row>
    <row r="100" spans="1:14" s="64" customFormat="1" ht="20.25" customHeight="1">
      <c r="A100" s="404" t="s">
        <v>796</v>
      </c>
      <c r="B100" s="405">
        <v>15</v>
      </c>
      <c r="C100" s="405">
        <v>15</v>
      </c>
      <c r="D100" s="405">
        <v>0</v>
      </c>
      <c r="E100" s="405">
        <v>0</v>
      </c>
      <c r="F100" s="405">
        <v>0</v>
      </c>
      <c r="G100" s="405">
        <v>0</v>
      </c>
      <c r="H100" s="405">
        <v>0</v>
      </c>
      <c r="I100" s="405">
        <v>0</v>
      </c>
      <c r="J100" s="405">
        <v>0</v>
      </c>
      <c r="K100" s="405">
        <v>0</v>
      </c>
      <c r="L100" s="405">
        <v>0</v>
      </c>
      <c r="M100" s="405">
        <v>0</v>
      </c>
      <c r="N100" s="114"/>
    </row>
    <row r="101" spans="1:14" s="499" customFormat="1" ht="36" customHeight="1">
      <c r="A101" s="496" t="s">
        <v>797</v>
      </c>
      <c r="B101" s="497"/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8"/>
    </row>
    <row r="102" spans="1:14" s="64" customFormat="1" ht="20.25" customHeight="1">
      <c r="A102" s="404" t="s">
        <v>798</v>
      </c>
      <c r="B102" s="405">
        <v>48</v>
      </c>
      <c r="C102" s="405">
        <v>48</v>
      </c>
      <c r="D102" s="405">
        <v>0</v>
      </c>
      <c r="E102" s="405">
        <v>0</v>
      </c>
      <c r="F102" s="405">
        <v>0</v>
      </c>
      <c r="G102" s="405">
        <v>0</v>
      </c>
      <c r="H102" s="405">
        <v>0</v>
      </c>
      <c r="I102" s="405">
        <v>0</v>
      </c>
      <c r="J102" s="405">
        <v>0</v>
      </c>
      <c r="K102" s="405">
        <v>0</v>
      </c>
      <c r="L102" s="405">
        <v>0</v>
      </c>
      <c r="M102" s="405">
        <v>0</v>
      </c>
      <c r="N102" s="114"/>
    </row>
    <row r="103" spans="1:14" s="499" customFormat="1" ht="37.5" customHeight="1">
      <c r="A103" s="496" t="s">
        <v>897</v>
      </c>
      <c r="B103" s="497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8"/>
    </row>
    <row r="104" spans="1:14" s="64" customFormat="1" ht="20.25" customHeight="1">
      <c r="A104" s="404" t="s">
        <v>796</v>
      </c>
      <c r="B104" s="405">
        <v>0</v>
      </c>
      <c r="C104" s="405">
        <v>0</v>
      </c>
      <c r="D104" s="405">
        <v>15</v>
      </c>
      <c r="E104" s="405">
        <v>15</v>
      </c>
      <c r="F104" s="405">
        <v>15</v>
      </c>
      <c r="G104" s="405">
        <v>15</v>
      </c>
      <c r="H104" s="405">
        <v>15</v>
      </c>
      <c r="I104" s="405">
        <v>15</v>
      </c>
      <c r="J104" s="405">
        <v>15</v>
      </c>
      <c r="K104" s="405">
        <v>15</v>
      </c>
      <c r="L104" s="405">
        <v>15</v>
      </c>
      <c r="M104" s="405">
        <v>15</v>
      </c>
      <c r="N104" s="114"/>
    </row>
    <row r="105" spans="1:14" s="499" customFormat="1" ht="36" customHeight="1">
      <c r="A105" s="496" t="s">
        <v>898</v>
      </c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8"/>
    </row>
    <row r="106" spans="1:14" s="64" customFormat="1" ht="20.25" customHeight="1">
      <c r="A106" s="404" t="s">
        <v>899</v>
      </c>
      <c r="B106" s="405">
        <v>0</v>
      </c>
      <c r="C106" s="405">
        <v>0</v>
      </c>
      <c r="D106" s="405">
        <v>31</v>
      </c>
      <c r="E106" s="405">
        <v>31</v>
      </c>
      <c r="F106" s="405">
        <v>31</v>
      </c>
      <c r="G106" s="405">
        <v>31</v>
      </c>
      <c r="H106" s="405">
        <v>31</v>
      </c>
      <c r="I106" s="405">
        <v>31</v>
      </c>
      <c r="J106" s="405">
        <v>31</v>
      </c>
      <c r="K106" s="405">
        <v>31</v>
      </c>
      <c r="L106" s="405">
        <v>31</v>
      </c>
      <c r="M106" s="405">
        <v>31</v>
      </c>
      <c r="N106" s="114"/>
    </row>
    <row r="107" spans="1:14" s="499" customFormat="1" ht="36" customHeight="1">
      <c r="A107" s="496" t="s">
        <v>1001</v>
      </c>
      <c r="B107" s="497"/>
      <c r="C107" s="497"/>
      <c r="D107" s="497"/>
      <c r="E107" s="497"/>
      <c r="F107" s="497"/>
      <c r="G107" s="497"/>
      <c r="H107" s="497"/>
      <c r="I107" s="497"/>
      <c r="J107" s="497"/>
      <c r="K107" s="497"/>
      <c r="L107" s="497"/>
      <c r="M107" s="497"/>
      <c r="N107" s="498"/>
    </row>
    <row r="108" spans="1:14" s="64" customFormat="1" ht="20.25" customHeight="1">
      <c r="A108" s="404" t="s">
        <v>1002</v>
      </c>
      <c r="B108" s="405">
        <v>0</v>
      </c>
      <c r="C108" s="405">
        <v>0</v>
      </c>
      <c r="D108" s="405">
        <v>0</v>
      </c>
      <c r="E108" s="405">
        <v>0</v>
      </c>
      <c r="F108" s="405">
        <v>0</v>
      </c>
      <c r="G108" s="405">
        <v>10</v>
      </c>
      <c r="H108" s="405">
        <v>10</v>
      </c>
      <c r="I108" s="405">
        <v>10</v>
      </c>
      <c r="J108" s="405">
        <v>10</v>
      </c>
      <c r="K108" s="405">
        <v>10</v>
      </c>
      <c r="L108" s="405">
        <v>10</v>
      </c>
      <c r="M108" s="405">
        <v>0</v>
      </c>
      <c r="N108" s="114"/>
    </row>
    <row r="109" spans="1:14" s="94" customFormat="1" ht="32.25" customHeight="1">
      <c r="A109" s="659" t="s">
        <v>475</v>
      </c>
      <c r="B109" s="406">
        <f>SUM(B99:B108)</f>
        <v>63</v>
      </c>
      <c r="C109" s="406">
        <f aca="true" t="shared" si="5" ref="C109:M109">SUM(C99:C108)</f>
        <v>63</v>
      </c>
      <c r="D109" s="406">
        <f t="shared" si="5"/>
        <v>46</v>
      </c>
      <c r="E109" s="406">
        <f t="shared" si="5"/>
        <v>46</v>
      </c>
      <c r="F109" s="406">
        <f t="shared" si="5"/>
        <v>46</v>
      </c>
      <c r="G109" s="406">
        <f t="shared" si="5"/>
        <v>56</v>
      </c>
      <c r="H109" s="406">
        <f t="shared" si="5"/>
        <v>56</v>
      </c>
      <c r="I109" s="406">
        <f t="shared" si="5"/>
        <v>56</v>
      </c>
      <c r="J109" s="406">
        <f t="shared" si="5"/>
        <v>56</v>
      </c>
      <c r="K109" s="406">
        <f t="shared" si="5"/>
        <v>56</v>
      </c>
      <c r="L109" s="406">
        <f t="shared" si="5"/>
        <v>56</v>
      </c>
      <c r="M109" s="406">
        <f t="shared" si="5"/>
        <v>46</v>
      </c>
      <c r="N109" s="116"/>
    </row>
    <row r="111" spans="1:14" s="94" customFormat="1" ht="32.25" customHeight="1">
      <c r="A111" s="659" t="s">
        <v>993</v>
      </c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116"/>
    </row>
    <row r="112" spans="1:13" ht="12.75">
      <c r="A112" t="s">
        <v>432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1</v>
      </c>
      <c r="J112">
        <v>0</v>
      </c>
      <c r="K112">
        <v>0</v>
      </c>
      <c r="L112">
        <v>0</v>
      </c>
      <c r="M112">
        <v>0</v>
      </c>
    </row>
    <row r="113" spans="1:13" ht="12.75">
      <c r="A113" t="s">
        <v>678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7</v>
      </c>
      <c r="I113">
        <v>7</v>
      </c>
      <c r="J113">
        <v>0</v>
      </c>
      <c r="K113">
        <v>0</v>
      </c>
      <c r="L113">
        <v>0</v>
      </c>
      <c r="M113">
        <v>0</v>
      </c>
    </row>
    <row r="114" spans="1:13" ht="12.75">
      <c r="A114" t="s">
        <v>715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2</v>
      </c>
      <c r="J114">
        <v>0</v>
      </c>
      <c r="K114">
        <v>0</v>
      </c>
      <c r="L114">
        <v>0</v>
      </c>
      <c r="M114">
        <v>0</v>
      </c>
    </row>
    <row r="115" spans="1:14" s="94" customFormat="1" ht="32.25" customHeight="1">
      <c r="A115" s="659" t="s">
        <v>1000</v>
      </c>
      <c r="B115" s="406">
        <f>SUM(B112:B114)</f>
        <v>0</v>
      </c>
      <c r="C115" s="406">
        <f aca="true" t="shared" si="6" ref="C115:M115">SUM(C112:C114)</f>
        <v>0</v>
      </c>
      <c r="D115" s="406">
        <f t="shared" si="6"/>
        <v>0</v>
      </c>
      <c r="E115" s="406">
        <f t="shared" si="6"/>
        <v>0</v>
      </c>
      <c r="F115" s="406">
        <f t="shared" si="6"/>
        <v>0</v>
      </c>
      <c r="G115" s="406">
        <f t="shared" si="6"/>
        <v>0</v>
      </c>
      <c r="H115" s="406">
        <f t="shared" si="6"/>
        <v>8</v>
      </c>
      <c r="I115" s="406">
        <f t="shared" si="6"/>
        <v>10</v>
      </c>
      <c r="J115" s="406">
        <f t="shared" si="6"/>
        <v>0</v>
      </c>
      <c r="K115" s="406">
        <f t="shared" si="6"/>
        <v>0</v>
      </c>
      <c r="L115" s="406">
        <f t="shared" si="6"/>
        <v>0</v>
      </c>
      <c r="M115" s="406">
        <f t="shared" si="6"/>
        <v>0</v>
      </c>
      <c r="N115" s="116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6" r:id="rId1"/>
  <rowBreaks count="2" manualBreakCount="2">
    <brk id="42" max="12" man="1"/>
    <brk id="7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67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894" t="s">
        <v>1026</v>
      </c>
      <c r="D1" s="1134"/>
      <c r="E1" s="66"/>
    </row>
    <row r="2" spans="3:5" ht="15">
      <c r="C2" s="6"/>
      <c r="D2" s="104"/>
      <c r="E2" s="66"/>
    </row>
    <row r="3" spans="2:4" ht="15.75">
      <c r="B3" s="1135" t="s">
        <v>804</v>
      </c>
      <c r="C3" s="1135"/>
      <c r="D3" s="1135"/>
    </row>
    <row r="4" spans="2:4" ht="15">
      <c r="B4" s="117"/>
      <c r="C4" s="117"/>
      <c r="D4" s="117"/>
    </row>
    <row r="5" ht="15.75" thickBot="1">
      <c r="D5" s="6"/>
    </row>
    <row r="6" spans="1:4" s="4" customFormat="1" ht="14.25">
      <c r="A6" s="1126" t="s">
        <v>423</v>
      </c>
      <c r="B6" s="1136" t="s">
        <v>353</v>
      </c>
      <c r="C6" s="1137"/>
      <c r="D6" s="7" t="s">
        <v>364</v>
      </c>
    </row>
    <row r="7" spans="1:4" s="78" customFormat="1" ht="12">
      <c r="A7" s="1127"/>
      <c r="B7" s="1138" t="s">
        <v>417</v>
      </c>
      <c r="C7" s="1138"/>
      <c r="D7" s="77" t="s">
        <v>418</v>
      </c>
    </row>
    <row r="8" spans="1:4" s="4" customFormat="1" ht="14.25">
      <c r="A8" s="84">
        <v>1</v>
      </c>
      <c r="B8" s="79" t="s">
        <v>358</v>
      </c>
      <c r="C8" s="11"/>
      <c r="D8" s="245"/>
    </row>
    <row r="9" spans="1:4" s="13" customFormat="1" ht="15">
      <c r="A9" s="84">
        <v>2</v>
      </c>
      <c r="B9" s="80" t="s">
        <v>432</v>
      </c>
      <c r="C9" s="12"/>
      <c r="D9" s="246"/>
    </row>
    <row r="10" spans="1:6" ht="18.75" customHeight="1">
      <c r="A10" s="84">
        <v>3</v>
      </c>
      <c r="B10" s="69" t="s">
        <v>365</v>
      </c>
      <c r="C10" s="96" t="s">
        <v>759</v>
      </c>
      <c r="D10" s="629">
        <f>42654146+1-13005804+22387266</f>
        <v>52035609</v>
      </c>
      <c r="F10" s="630"/>
    </row>
    <row r="11" spans="1:4" ht="30">
      <c r="A11" s="84">
        <v>4</v>
      </c>
      <c r="B11" s="69" t="s">
        <v>365</v>
      </c>
      <c r="C11" s="96" t="s">
        <v>760</v>
      </c>
      <c r="D11" s="566">
        <f>187978206-911000</f>
        <v>187067206</v>
      </c>
    </row>
    <row r="12" spans="1:4" ht="18.75" customHeight="1">
      <c r="A12" s="84">
        <v>5</v>
      </c>
      <c r="B12" s="69" t="s">
        <v>365</v>
      </c>
      <c r="C12" s="96" t="s">
        <v>761</v>
      </c>
      <c r="D12" s="566">
        <f>404687022+2197500</f>
        <v>406884522</v>
      </c>
    </row>
    <row r="13" spans="1:4" ht="18.75" customHeight="1">
      <c r="A13" s="84">
        <v>6</v>
      </c>
      <c r="B13" s="69" t="s">
        <v>365</v>
      </c>
      <c r="C13" s="96" t="s">
        <v>862</v>
      </c>
      <c r="D13" s="566">
        <f>25000000-20000000</f>
        <v>5000000</v>
      </c>
    </row>
    <row r="14" spans="1:4" ht="18.75" customHeight="1">
      <c r="A14" s="84">
        <v>7</v>
      </c>
      <c r="B14" s="69" t="s">
        <v>365</v>
      </c>
      <c r="C14" s="96" t="s">
        <v>863</v>
      </c>
      <c r="D14" s="566">
        <v>363120</v>
      </c>
    </row>
    <row r="15" spans="1:4" ht="18.75" customHeight="1">
      <c r="A15" s="84">
        <v>8</v>
      </c>
      <c r="B15" s="69" t="s">
        <v>365</v>
      </c>
      <c r="C15" s="96" t="s">
        <v>864</v>
      </c>
      <c r="D15" s="566">
        <v>5000000</v>
      </c>
    </row>
    <row r="16" spans="1:4" ht="18.75" customHeight="1">
      <c r="A16" s="84">
        <v>9</v>
      </c>
      <c r="B16" s="69" t="s">
        <v>365</v>
      </c>
      <c r="C16" s="96" t="s">
        <v>762</v>
      </c>
      <c r="D16" s="566">
        <f>100932090-3817843-5373648</f>
        <v>91740599</v>
      </c>
    </row>
    <row r="17" spans="1:4" ht="18.75" customHeight="1">
      <c r="A17" s="84">
        <v>10</v>
      </c>
      <c r="B17" s="69" t="s">
        <v>365</v>
      </c>
      <c r="C17" s="96" t="s">
        <v>865</v>
      </c>
      <c r="D17" s="566">
        <v>750000</v>
      </c>
    </row>
    <row r="18" spans="1:4" ht="18.75" customHeight="1">
      <c r="A18" s="84">
        <v>11</v>
      </c>
      <c r="B18" s="69" t="s">
        <v>365</v>
      </c>
      <c r="C18" s="96" t="s">
        <v>805</v>
      </c>
      <c r="D18" s="566">
        <v>1940000</v>
      </c>
    </row>
    <row r="19" spans="1:4" ht="18.75" customHeight="1">
      <c r="A19" s="84">
        <v>12</v>
      </c>
      <c r="B19" s="69" t="s">
        <v>365</v>
      </c>
      <c r="C19" s="96" t="s">
        <v>917</v>
      </c>
      <c r="D19" s="566">
        <f>400000+100000</f>
        <v>500000</v>
      </c>
    </row>
    <row r="20" spans="1:4" ht="18.75" customHeight="1">
      <c r="A20" s="84">
        <v>13</v>
      </c>
      <c r="B20" s="69" t="s">
        <v>365</v>
      </c>
      <c r="C20" s="96" t="s">
        <v>809</v>
      </c>
      <c r="D20" s="566">
        <v>541020</v>
      </c>
    </row>
    <row r="21" spans="1:4" ht="18.75" customHeight="1">
      <c r="A21" s="84">
        <v>14</v>
      </c>
      <c r="B21" s="69" t="s">
        <v>365</v>
      </c>
      <c r="C21" s="96" t="s">
        <v>810</v>
      </c>
      <c r="D21" s="566">
        <v>457200</v>
      </c>
    </row>
    <row r="22" spans="1:4" ht="18.75" customHeight="1">
      <c r="A22" s="84">
        <v>15</v>
      </c>
      <c r="B22" s="69" t="s">
        <v>365</v>
      </c>
      <c r="C22" s="96" t="s">
        <v>866</v>
      </c>
      <c r="D22" s="566">
        <v>600000</v>
      </c>
    </row>
    <row r="23" spans="1:4" ht="18.75" customHeight="1">
      <c r="A23" s="84">
        <v>16</v>
      </c>
      <c r="B23" s="69" t="s">
        <v>365</v>
      </c>
      <c r="C23" s="96" t="s">
        <v>811</v>
      </c>
      <c r="D23" s="566">
        <v>600000</v>
      </c>
    </row>
    <row r="24" spans="1:4" ht="18.75" customHeight="1">
      <c r="A24" s="84">
        <v>17</v>
      </c>
      <c r="B24" s="69" t="s">
        <v>365</v>
      </c>
      <c r="C24" s="96" t="s">
        <v>812</v>
      </c>
      <c r="D24" s="566">
        <v>500000</v>
      </c>
    </row>
    <row r="25" spans="1:4" ht="18.75" customHeight="1">
      <c r="A25" s="84">
        <v>18</v>
      </c>
      <c r="B25" s="69" t="s">
        <v>365</v>
      </c>
      <c r="C25" s="96" t="s">
        <v>813</v>
      </c>
      <c r="D25" s="566">
        <v>650000</v>
      </c>
    </row>
    <row r="26" spans="1:4" ht="18.75" customHeight="1">
      <c r="A26" s="84">
        <v>19</v>
      </c>
      <c r="B26" s="69" t="s">
        <v>365</v>
      </c>
      <c r="C26" s="96" t="s">
        <v>868</v>
      </c>
      <c r="D26" s="566">
        <v>190500</v>
      </c>
    </row>
    <row r="27" spans="1:4" ht="18.75" customHeight="1">
      <c r="A27" s="84">
        <v>20</v>
      </c>
      <c r="B27" s="69" t="s">
        <v>365</v>
      </c>
      <c r="C27" s="96" t="s">
        <v>867</v>
      </c>
      <c r="D27" s="566">
        <v>730250</v>
      </c>
    </row>
    <row r="28" spans="1:4" ht="18.75" customHeight="1">
      <c r="A28" s="84">
        <v>21</v>
      </c>
      <c r="B28" s="69" t="s">
        <v>365</v>
      </c>
      <c r="C28" s="96" t="s">
        <v>869</v>
      </c>
      <c r="D28" s="566">
        <v>74930</v>
      </c>
    </row>
    <row r="29" spans="1:4" ht="18.75" customHeight="1">
      <c r="A29" s="84">
        <v>22</v>
      </c>
      <c r="B29" s="69" t="s">
        <v>365</v>
      </c>
      <c r="C29" s="96" t="s">
        <v>892</v>
      </c>
      <c r="D29" s="566">
        <v>1000000</v>
      </c>
    </row>
    <row r="30" spans="1:4" ht="31.5" customHeight="1">
      <c r="A30" s="84">
        <v>23</v>
      </c>
      <c r="B30" s="69" t="s">
        <v>365</v>
      </c>
      <c r="C30" s="96" t="s">
        <v>870</v>
      </c>
      <c r="D30" s="566">
        <v>2460790</v>
      </c>
    </row>
    <row r="31" spans="1:4" ht="18.75" customHeight="1">
      <c r="A31" s="84">
        <v>24</v>
      </c>
      <c r="B31" s="69" t="s">
        <v>365</v>
      </c>
      <c r="C31" s="96" t="s">
        <v>918</v>
      </c>
      <c r="D31" s="566">
        <v>6000000</v>
      </c>
    </row>
    <row r="32" spans="1:4" ht="18.75" customHeight="1">
      <c r="A32" s="84">
        <v>25</v>
      </c>
      <c r="B32" s="69" t="s">
        <v>365</v>
      </c>
      <c r="C32" s="96" t="s">
        <v>871</v>
      </c>
      <c r="D32" s="566">
        <f>973100-755546</f>
        <v>217554</v>
      </c>
    </row>
    <row r="33" spans="1:4" ht="18.75" customHeight="1">
      <c r="A33" s="84">
        <v>26</v>
      </c>
      <c r="B33" s="69" t="s">
        <v>365</v>
      </c>
      <c r="C33" s="96" t="s">
        <v>919</v>
      </c>
      <c r="D33" s="566">
        <v>4790554</v>
      </c>
    </row>
    <row r="34" spans="1:4" ht="18.75" customHeight="1">
      <c r="A34" s="84">
        <v>27</v>
      </c>
      <c r="B34" s="69" t="s">
        <v>365</v>
      </c>
      <c r="C34" s="96" t="s">
        <v>901</v>
      </c>
      <c r="D34" s="566">
        <v>74295</v>
      </c>
    </row>
    <row r="35" spans="1:4" ht="18.75" customHeight="1">
      <c r="A35" s="84">
        <v>28</v>
      </c>
      <c r="B35" s="69" t="s">
        <v>365</v>
      </c>
      <c r="C35" s="96" t="s">
        <v>900</v>
      </c>
      <c r="D35" s="566">
        <v>190500</v>
      </c>
    </row>
    <row r="36" spans="1:4" ht="18.75" customHeight="1">
      <c r="A36" s="84">
        <v>29</v>
      </c>
      <c r="B36" s="841" t="s">
        <v>365</v>
      </c>
      <c r="C36" s="840" t="s">
        <v>979</v>
      </c>
      <c r="D36" s="566">
        <v>810000</v>
      </c>
    </row>
    <row r="37" spans="1:4" s="21" customFormat="1" ht="15">
      <c r="A37" s="84">
        <v>30</v>
      </c>
      <c r="B37" s="69"/>
      <c r="C37" s="15" t="s">
        <v>375</v>
      </c>
      <c r="D37" s="247">
        <f>SUM(D10:D36)</f>
        <v>771168649</v>
      </c>
    </row>
    <row r="38" spans="1:4" s="21" customFormat="1" ht="15">
      <c r="A38" s="84">
        <v>31</v>
      </c>
      <c r="B38" s="1131" t="s">
        <v>362</v>
      </c>
      <c r="C38" s="1132"/>
      <c r="D38" s="1133"/>
    </row>
    <row r="39" spans="1:4" ht="18.75" customHeight="1">
      <c r="A39" s="84">
        <v>32</v>
      </c>
      <c r="B39" s="69" t="s">
        <v>365</v>
      </c>
      <c r="C39" s="96" t="s">
        <v>872</v>
      </c>
      <c r="D39" s="566">
        <f>706500-103077</f>
        <v>603423</v>
      </c>
    </row>
    <row r="40" spans="1:4" ht="18.75" customHeight="1">
      <c r="A40" s="84">
        <v>33</v>
      </c>
      <c r="B40" s="69" t="s">
        <v>365</v>
      </c>
      <c r="C40" s="96" t="s">
        <v>814</v>
      </c>
      <c r="D40" s="566">
        <v>127000</v>
      </c>
    </row>
    <row r="41" spans="1:4" s="21" customFormat="1" ht="15">
      <c r="A41" s="84">
        <v>34</v>
      </c>
      <c r="B41" s="95"/>
      <c r="C41" s="15" t="s">
        <v>455</v>
      </c>
      <c r="D41" s="247">
        <f>SUM(D39:D40)</f>
        <v>730423</v>
      </c>
    </row>
    <row r="42" spans="1:4" s="21" customFormat="1" ht="15">
      <c r="A42" s="84">
        <v>35</v>
      </c>
      <c r="B42" s="1131" t="s">
        <v>715</v>
      </c>
      <c r="C42" s="1132"/>
      <c r="D42" s="1133"/>
    </row>
    <row r="43" spans="1:4" ht="15" customHeight="1">
      <c r="A43" s="84">
        <v>36</v>
      </c>
      <c r="B43" s="69" t="s">
        <v>365</v>
      </c>
      <c r="C43" s="96" t="s">
        <v>873</v>
      </c>
      <c r="D43" s="566">
        <v>127000</v>
      </c>
    </row>
    <row r="44" spans="1:4" ht="15" customHeight="1">
      <c r="A44" s="84">
        <v>37</v>
      </c>
      <c r="B44" s="69" t="s">
        <v>365</v>
      </c>
      <c r="C44" s="96" t="s">
        <v>902</v>
      </c>
      <c r="D44" s="566">
        <v>800000</v>
      </c>
    </row>
    <row r="45" spans="1:4" ht="30">
      <c r="A45" s="84">
        <v>38</v>
      </c>
      <c r="B45" s="69" t="s">
        <v>365</v>
      </c>
      <c r="C45" s="96" t="s">
        <v>920</v>
      </c>
      <c r="D45" s="566">
        <v>700000</v>
      </c>
    </row>
    <row r="46" spans="1:4" s="21" customFormat="1" ht="15">
      <c r="A46" s="84">
        <v>39</v>
      </c>
      <c r="B46" s="95"/>
      <c r="C46" s="15" t="s">
        <v>716</v>
      </c>
      <c r="D46" s="247">
        <f>SUM(D43:D45)</f>
        <v>1627000</v>
      </c>
    </row>
    <row r="47" spans="1:4" s="21" customFormat="1" ht="15">
      <c r="A47" s="84">
        <v>40</v>
      </c>
      <c r="B47" s="1131" t="s">
        <v>678</v>
      </c>
      <c r="C47" s="1132"/>
      <c r="D47" s="1133"/>
    </row>
    <row r="48" spans="1:4" ht="28.5" customHeight="1">
      <c r="A48" s="84">
        <v>41</v>
      </c>
      <c r="B48" s="69" t="s">
        <v>365</v>
      </c>
      <c r="C48" s="96" t="s">
        <v>1008</v>
      </c>
      <c r="D48" s="566">
        <f>309245+1130000</f>
        <v>1439245</v>
      </c>
    </row>
    <row r="49" spans="1:4" ht="15" customHeight="1">
      <c r="A49" s="84">
        <v>42</v>
      </c>
      <c r="B49" s="69" t="s">
        <v>365</v>
      </c>
      <c r="C49" s="96" t="s">
        <v>876</v>
      </c>
      <c r="D49" s="566">
        <v>95250</v>
      </c>
    </row>
    <row r="50" spans="1:4" ht="28.5" customHeight="1">
      <c r="A50" s="84">
        <v>43</v>
      </c>
      <c r="B50" s="69" t="s">
        <v>365</v>
      </c>
      <c r="C50" s="96" t="s">
        <v>877</v>
      </c>
      <c r="D50" s="566">
        <v>304800</v>
      </c>
    </row>
    <row r="51" spans="1:4" ht="27.75" customHeight="1">
      <c r="A51" s="84">
        <v>44</v>
      </c>
      <c r="B51" s="69" t="s">
        <v>365</v>
      </c>
      <c r="C51" s="96" t="s">
        <v>878</v>
      </c>
      <c r="D51" s="566">
        <v>401320</v>
      </c>
    </row>
    <row r="52" spans="1:4" ht="28.5" customHeight="1">
      <c r="A52" s="84">
        <v>45</v>
      </c>
      <c r="B52" s="69" t="s">
        <v>365</v>
      </c>
      <c r="C52" s="96" t="s">
        <v>921</v>
      </c>
      <c r="D52" s="566">
        <f>63500+47925</f>
        <v>111425</v>
      </c>
    </row>
    <row r="53" spans="1:4" s="21" customFormat="1" ht="15">
      <c r="A53" s="84">
        <v>46</v>
      </c>
      <c r="B53" s="95"/>
      <c r="C53" s="15" t="s">
        <v>779</v>
      </c>
      <c r="D53" s="247">
        <f>SUM(D48:D52)</f>
        <v>2352040</v>
      </c>
    </row>
    <row r="54" spans="1:4" s="4" customFormat="1" ht="15" thickBot="1">
      <c r="A54" s="85">
        <v>47</v>
      </c>
      <c r="B54" s="16" t="s">
        <v>356</v>
      </c>
      <c r="C54" s="16"/>
      <c r="D54" s="248">
        <f>SUM(D53+D46+D41+D37)</f>
        <v>775878112</v>
      </c>
    </row>
    <row r="55" spans="1:4" ht="15">
      <c r="A55" s="494">
        <v>48</v>
      </c>
      <c r="B55" s="1128" t="s">
        <v>363</v>
      </c>
      <c r="C55" s="1128"/>
      <c r="D55" s="1129"/>
    </row>
    <row r="56" spans="1:4" s="13" customFormat="1" ht="15">
      <c r="A56" s="84">
        <v>49</v>
      </c>
      <c r="B56" s="91" t="s">
        <v>432</v>
      </c>
      <c r="C56" s="14"/>
      <c r="D56" s="8"/>
    </row>
    <row r="57" spans="1:4" ht="18.75" customHeight="1">
      <c r="A57" s="84">
        <v>50</v>
      </c>
      <c r="B57" s="69" t="s">
        <v>365</v>
      </c>
      <c r="C57" s="96" t="s">
        <v>549</v>
      </c>
      <c r="D57" s="566">
        <v>500000</v>
      </c>
    </row>
    <row r="58" spans="1:4" ht="18.75" customHeight="1">
      <c r="A58" s="84">
        <v>51</v>
      </c>
      <c r="B58" s="69" t="s">
        <v>365</v>
      </c>
      <c r="C58" s="96" t="s">
        <v>879</v>
      </c>
      <c r="D58" s="566">
        <f>8294813-5098639</f>
        <v>3196174</v>
      </c>
    </row>
    <row r="59" spans="1:4" ht="30">
      <c r="A59" s="84">
        <v>52</v>
      </c>
      <c r="B59" s="69" t="s">
        <v>365</v>
      </c>
      <c r="C59" s="96" t="s">
        <v>758</v>
      </c>
      <c r="D59" s="566">
        <v>21830061</v>
      </c>
    </row>
    <row r="60" spans="1:4" ht="18.75" customHeight="1">
      <c r="A60" s="84">
        <v>53</v>
      </c>
      <c r="B60" s="69" t="s">
        <v>365</v>
      </c>
      <c r="C60" s="96" t="s">
        <v>807</v>
      </c>
      <c r="D60" s="566">
        <v>2794000</v>
      </c>
    </row>
    <row r="61" spans="1:4" ht="18.75" customHeight="1">
      <c r="A61" s="84">
        <v>54</v>
      </c>
      <c r="B61" s="69" t="s">
        <v>365</v>
      </c>
      <c r="C61" s="96" t="s">
        <v>808</v>
      </c>
      <c r="D61" s="566">
        <v>2000000</v>
      </c>
    </row>
    <row r="62" spans="1:4" ht="18.75" customHeight="1">
      <c r="A62" s="84">
        <v>55</v>
      </c>
      <c r="B62" s="69" t="s">
        <v>365</v>
      </c>
      <c r="C62" s="96" t="s">
        <v>880</v>
      </c>
      <c r="D62" s="566">
        <f>91442680+863600</f>
        <v>92306280</v>
      </c>
    </row>
    <row r="63" spans="1:4" ht="25.5" customHeight="1">
      <c r="A63" s="84">
        <v>56</v>
      </c>
      <c r="B63" s="69" t="s">
        <v>365</v>
      </c>
      <c r="C63" s="96" t="s">
        <v>763</v>
      </c>
      <c r="D63" s="566">
        <v>523290</v>
      </c>
    </row>
    <row r="64" spans="1:4" ht="30">
      <c r="A64" s="84">
        <v>57</v>
      </c>
      <c r="B64" s="69" t="s">
        <v>365</v>
      </c>
      <c r="C64" s="96" t="s">
        <v>806</v>
      </c>
      <c r="D64" s="566">
        <v>6759599</v>
      </c>
    </row>
    <row r="65" spans="1:4" ht="18.75" customHeight="1">
      <c r="A65" s="84">
        <v>58</v>
      </c>
      <c r="B65" s="69" t="s">
        <v>365</v>
      </c>
      <c r="C65" s="96" t="s">
        <v>875</v>
      </c>
      <c r="D65" s="566">
        <v>31599998</v>
      </c>
    </row>
    <row r="66" spans="1:4" s="13" customFormat="1" ht="15">
      <c r="A66" s="84">
        <v>59</v>
      </c>
      <c r="B66" s="82"/>
      <c r="C66" s="5" t="s">
        <v>375</v>
      </c>
      <c r="D66" s="249">
        <f>SUM(D55:D65)</f>
        <v>161509402</v>
      </c>
    </row>
    <row r="67" spans="1:4" s="21" customFormat="1" ht="15">
      <c r="A67" s="84">
        <v>60</v>
      </c>
      <c r="B67" s="1131" t="s">
        <v>362</v>
      </c>
      <c r="C67" s="1132"/>
      <c r="D67" s="1133"/>
    </row>
    <row r="68" spans="1:4" ht="18.75" customHeight="1">
      <c r="A68" s="84">
        <v>61</v>
      </c>
      <c r="B68" s="69" t="s">
        <v>365</v>
      </c>
      <c r="C68" s="96" t="s">
        <v>1006</v>
      </c>
      <c r="D68" s="566">
        <v>1204167</v>
      </c>
    </row>
    <row r="69" spans="1:4" s="21" customFormat="1" ht="15">
      <c r="A69" s="84">
        <v>62</v>
      </c>
      <c r="B69" s="95"/>
      <c r="C69" s="15" t="s">
        <v>1007</v>
      </c>
      <c r="D69" s="247">
        <f>SUM(D68)</f>
        <v>1204167</v>
      </c>
    </row>
    <row r="70" spans="1:4" s="21" customFormat="1" ht="15">
      <c r="A70" s="84">
        <v>63</v>
      </c>
      <c r="B70" s="1131" t="s">
        <v>678</v>
      </c>
      <c r="C70" s="1132"/>
      <c r="D70" s="1133"/>
    </row>
    <row r="71" spans="1:4" ht="18.75" customHeight="1">
      <c r="A71" s="84">
        <v>64</v>
      </c>
      <c r="B71" s="69" t="s">
        <v>365</v>
      </c>
      <c r="C71" s="96" t="s">
        <v>1009</v>
      </c>
      <c r="D71" s="566">
        <v>507849</v>
      </c>
    </row>
    <row r="72" spans="1:4" ht="18.75" customHeight="1">
      <c r="A72" s="84">
        <v>65</v>
      </c>
      <c r="B72" s="69" t="s">
        <v>365</v>
      </c>
      <c r="C72" s="96" t="s">
        <v>874</v>
      </c>
      <c r="D72" s="566">
        <v>508000</v>
      </c>
    </row>
    <row r="73" spans="1:4" s="21" customFormat="1" ht="15">
      <c r="A73" s="84">
        <v>66</v>
      </c>
      <c r="B73" s="95"/>
      <c r="C73" s="15" t="s">
        <v>779</v>
      </c>
      <c r="D73" s="247">
        <f>SUM(D71:D72)</f>
        <v>1015849</v>
      </c>
    </row>
    <row r="74" spans="1:4" ht="15.75" thickBot="1">
      <c r="A74" s="85">
        <v>67</v>
      </c>
      <c r="B74" s="81" t="s">
        <v>356</v>
      </c>
      <c r="C74" s="16"/>
      <c r="D74" s="250">
        <f>SUM(D66+D69+D73)</f>
        <v>163729418</v>
      </c>
    </row>
    <row r="75" spans="1:4" ht="15">
      <c r="A75" s="84">
        <v>68</v>
      </c>
      <c r="B75" s="1128" t="s">
        <v>108</v>
      </c>
      <c r="C75" s="1128"/>
      <c r="D75" s="1129"/>
    </row>
    <row r="76" spans="1:4" s="13" customFormat="1" ht="15">
      <c r="A76" s="84">
        <v>69</v>
      </c>
      <c r="B76" s="17" t="s">
        <v>432</v>
      </c>
      <c r="C76" s="14"/>
      <c r="D76" s="9"/>
    </row>
    <row r="77" spans="1:4" s="21" customFormat="1" ht="20.25" customHeight="1">
      <c r="A77" s="84">
        <v>70</v>
      </c>
      <c r="B77" s="69" t="s">
        <v>365</v>
      </c>
      <c r="C77" s="96" t="s">
        <v>413</v>
      </c>
      <c r="D77" s="567">
        <v>449520</v>
      </c>
    </row>
    <row r="78" spans="1:4" ht="18.75" customHeight="1">
      <c r="A78" s="84">
        <v>71</v>
      </c>
      <c r="B78" s="69" t="s">
        <v>365</v>
      </c>
      <c r="C78" s="96" t="s">
        <v>757</v>
      </c>
      <c r="D78" s="566">
        <v>5000000</v>
      </c>
    </row>
    <row r="79" spans="1:4" s="4" customFormat="1" ht="15" thickBot="1">
      <c r="A79" s="85">
        <v>72</v>
      </c>
      <c r="B79" s="18" t="s">
        <v>356</v>
      </c>
      <c r="C79" s="16"/>
      <c r="D79" s="251">
        <f>SUM(D77:D78)</f>
        <v>5449520</v>
      </c>
    </row>
    <row r="80" spans="1:4" ht="15" hidden="1">
      <c r="A80" s="494">
        <v>45</v>
      </c>
      <c r="B80" s="1128" t="s">
        <v>414</v>
      </c>
      <c r="C80" s="1128"/>
      <c r="D80" s="1129"/>
    </row>
    <row r="81" spans="1:4" s="13" customFormat="1" ht="15" hidden="1">
      <c r="A81" s="84">
        <v>46</v>
      </c>
      <c r="B81" s="69"/>
      <c r="C81" s="20"/>
      <c r="D81" s="19"/>
    </row>
    <row r="82" spans="1:4" s="4" customFormat="1" ht="15" hidden="1" thickBot="1">
      <c r="A82" s="84">
        <v>47</v>
      </c>
      <c r="B82" s="18" t="s">
        <v>356</v>
      </c>
      <c r="C82" s="16"/>
      <c r="D82" s="10">
        <f>SUM(D81:D81)</f>
        <v>0</v>
      </c>
    </row>
    <row r="83" spans="1:4" ht="15" hidden="1">
      <c r="A83" s="84">
        <v>64</v>
      </c>
      <c r="B83" s="1128" t="s">
        <v>415</v>
      </c>
      <c r="C83" s="1128"/>
      <c r="D83" s="1129"/>
    </row>
    <row r="84" spans="1:4" ht="15" hidden="1">
      <c r="A84" s="84">
        <v>65</v>
      </c>
      <c r="B84" s="17"/>
      <c r="C84" s="76"/>
      <c r="D84" s="75"/>
    </row>
    <row r="85" spans="1:4" s="4" customFormat="1" ht="15" hidden="1" thickBot="1">
      <c r="A85" s="85">
        <v>66</v>
      </c>
      <c r="B85" s="18" t="s">
        <v>356</v>
      </c>
      <c r="C85" s="16"/>
      <c r="D85" s="251">
        <v>0</v>
      </c>
    </row>
    <row r="86" spans="1:4" ht="15">
      <c r="A86" s="84">
        <v>73</v>
      </c>
      <c r="B86" s="1128" t="s">
        <v>415</v>
      </c>
      <c r="C86" s="1128"/>
      <c r="D86" s="1129"/>
    </row>
    <row r="87" spans="1:4" ht="15">
      <c r="A87" s="84">
        <v>74</v>
      </c>
      <c r="B87" s="17" t="s">
        <v>432</v>
      </c>
      <c r="C87" s="76"/>
      <c r="D87" s="75"/>
    </row>
    <row r="88" spans="1:4" s="21" customFormat="1" ht="20.25" customHeight="1">
      <c r="A88" s="84">
        <v>75</v>
      </c>
      <c r="B88" s="69" t="s">
        <v>365</v>
      </c>
      <c r="C88" s="96" t="s">
        <v>1010</v>
      </c>
      <c r="D88" s="567">
        <v>15055017</v>
      </c>
    </row>
    <row r="89" spans="1:4" s="4" customFormat="1" ht="15" thickBot="1">
      <c r="A89" s="85">
        <v>76</v>
      </c>
      <c r="B89" s="18" t="s">
        <v>356</v>
      </c>
      <c r="C89" s="16"/>
      <c r="D89" s="251">
        <f>SUM(D87:D88)</f>
        <v>15055017</v>
      </c>
    </row>
    <row r="90" spans="1:4" ht="21" customHeight="1" thickBot="1">
      <c r="A90" s="85">
        <v>77</v>
      </c>
      <c r="B90" s="83" t="s">
        <v>357</v>
      </c>
      <c r="C90" s="18"/>
      <c r="D90" s="251">
        <f>SUM(D85+D79+D74+D89+D54)</f>
        <v>960112067</v>
      </c>
    </row>
    <row r="92" ht="21" customHeight="1"/>
    <row r="94" spans="2:4" ht="15">
      <c r="B94" s="1130"/>
      <c r="C94" s="1130"/>
      <c r="D94" s="1130"/>
    </row>
    <row r="96" ht="15">
      <c r="H96" s="68"/>
    </row>
  </sheetData>
  <sheetProtection/>
  <mergeCells count="16">
    <mergeCell ref="C1:D1"/>
    <mergeCell ref="B75:D75"/>
    <mergeCell ref="B3:D3"/>
    <mergeCell ref="B6:C6"/>
    <mergeCell ref="B55:D55"/>
    <mergeCell ref="B7:C7"/>
    <mergeCell ref="B38:D38"/>
    <mergeCell ref="B67:D67"/>
    <mergeCell ref="B42:D42"/>
    <mergeCell ref="B70:D70"/>
    <mergeCell ref="A6:A7"/>
    <mergeCell ref="B80:D80"/>
    <mergeCell ref="B83:D83"/>
    <mergeCell ref="B94:D94"/>
    <mergeCell ref="B47:D47"/>
    <mergeCell ref="B86:D8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2020-07-10T07:23:33Z</cp:lastPrinted>
  <dcterms:created xsi:type="dcterms:W3CDTF">2001-11-30T10:27:10Z</dcterms:created>
  <dcterms:modified xsi:type="dcterms:W3CDTF">2020-07-13T11:14:58Z</dcterms:modified>
  <cp:category/>
  <cp:version/>
  <cp:contentType/>
  <cp:contentStatus/>
</cp:coreProperties>
</file>