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0" windowWidth="15480" windowHeight="11010" tabRatio="903"/>
  </bookViews>
  <sheets>
    <sheet name="Címrend" sheetId="17" r:id="rId1"/>
    <sheet name="1. melléklet" sheetId="10" r:id="rId2"/>
    <sheet name="2. melléklet" sheetId="66" r:id="rId3"/>
    <sheet name="3. melléklet" sheetId="67" r:id="rId4"/>
    <sheet name="4. melléklet" sheetId="64" r:id="rId5"/>
    <sheet name="5. melléklet" sheetId="65" r:id="rId6"/>
    <sheet name="6. melléklet" sheetId="69" r:id="rId7"/>
  </sheets>
  <definedNames>
    <definedName name="_xlnm.Print_Titles" localSheetId="2">'2. melléklet'!$1:$5</definedName>
    <definedName name="_xlnm.Print_Titles" localSheetId="3">'3. melléklet'!$A:$A</definedName>
    <definedName name="_xlnm.Print_Titles" localSheetId="5">'5. melléklet'!$2:$4</definedName>
    <definedName name="_xlnm.Print_Area" localSheetId="1">'1. melléklet'!$A$1:$F$49</definedName>
    <definedName name="_xlnm.Print_Area" localSheetId="6">'6. melléklet'!$A$1:$E$122</definedName>
    <definedName name="_xlnm.Print_Area" localSheetId="0">Címrend!$A$1:$F$19</definedName>
  </definedNames>
  <calcPr calcId="145621" calcMode="manual" fullCalcOnLoad="1"/>
</workbook>
</file>

<file path=xl/calcChain.xml><?xml version="1.0" encoding="utf-8"?>
<calcChain xmlns="http://schemas.openxmlformats.org/spreadsheetml/2006/main">
  <c r="F8" i="10" l="1"/>
  <c r="B9" i="10"/>
  <c r="B7" i="10" s="1"/>
  <c r="B13" i="10" s="1"/>
  <c r="B26" i="10" s="1"/>
  <c r="C9" i="10"/>
  <c r="C7" i="10" s="1"/>
  <c r="C13" i="10" s="1"/>
  <c r="D9" i="10"/>
  <c r="D7" i="10" s="1"/>
  <c r="D13" i="10" s="1"/>
  <c r="E9" i="10"/>
  <c r="E7" i="10" s="1"/>
  <c r="F9" i="10"/>
  <c r="D10" i="10"/>
  <c r="F10" i="10"/>
  <c r="F11" i="10"/>
  <c r="F12" i="10"/>
  <c r="F14" i="10"/>
  <c r="F15" i="10"/>
  <c r="F16" i="10"/>
  <c r="B17" i="10"/>
  <c r="C17" i="10"/>
  <c r="C20" i="10" s="1"/>
  <c r="C21" i="10" s="1"/>
  <c r="D17" i="10"/>
  <c r="E17" i="10"/>
  <c r="F17" i="10" s="1"/>
  <c r="F18" i="10"/>
  <c r="F19" i="10"/>
  <c r="B20" i="10"/>
  <c r="B21" i="10" s="1"/>
  <c r="D20" i="10"/>
  <c r="D21" i="10" s="1"/>
  <c r="B22" i="10"/>
  <c r="E22" i="10"/>
  <c r="B23" i="10"/>
  <c r="C23" i="10"/>
  <c r="C22" i="10" s="1"/>
  <c r="C25" i="10" s="1"/>
  <c r="D23" i="10"/>
  <c r="F23" i="10"/>
  <c r="C24" i="10"/>
  <c r="D24" i="10"/>
  <c r="D22" i="10" s="1"/>
  <c r="B25" i="10"/>
  <c r="E25" i="10"/>
  <c r="F30" i="10"/>
  <c r="F31" i="10"/>
  <c r="D32" i="10"/>
  <c r="F32" i="10" s="1"/>
  <c r="F33" i="10"/>
  <c r="B34" i="10"/>
  <c r="E34" i="10"/>
  <c r="C35" i="10"/>
  <c r="C34" i="10" s="1"/>
  <c r="C39" i="10" s="1"/>
  <c r="D35" i="10"/>
  <c r="D34" i="10" s="1"/>
  <c r="D39" i="10" s="1"/>
  <c r="D47" i="10" s="1"/>
  <c r="D49" i="10" s="1"/>
  <c r="F35" i="10"/>
  <c r="C36" i="10"/>
  <c r="D36" i="10"/>
  <c r="F36" i="10" s="1"/>
  <c r="C37" i="10"/>
  <c r="D37" i="10"/>
  <c r="F37" i="10"/>
  <c r="F38" i="10"/>
  <c r="B39" i="10"/>
  <c r="D40" i="10"/>
  <c r="F40" i="10"/>
  <c r="D41" i="10"/>
  <c r="F41" i="10"/>
  <c r="B42" i="10"/>
  <c r="C42" i="10"/>
  <c r="D42" i="10"/>
  <c r="E42" i="10"/>
  <c r="F42" i="10" s="1"/>
  <c r="F43" i="10"/>
  <c r="F44" i="10"/>
  <c r="F45" i="10"/>
  <c r="B46" i="10"/>
  <c r="C46" i="10"/>
  <c r="C47" i="10" s="1"/>
  <c r="C49" i="10" s="1"/>
  <c r="D46" i="10"/>
  <c r="E46" i="10"/>
  <c r="F46" i="10" s="1"/>
  <c r="B47" i="10"/>
  <c r="F48" i="10"/>
  <c r="B49" i="10"/>
  <c r="G8" i="66"/>
  <c r="C9" i="66"/>
  <c r="C7" i="66" s="1"/>
  <c r="D9" i="66"/>
  <c r="D7" i="66" s="1"/>
  <c r="E9" i="66"/>
  <c r="E7" i="66" s="1"/>
  <c r="E37" i="66" s="1"/>
  <c r="F9" i="66"/>
  <c r="F7" i="66" s="1"/>
  <c r="G10" i="66"/>
  <c r="G11" i="66"/>
  <c r="G12" i="66"/>
  <c r="G13" i="66"/>
  <c r="G14" i="66"/>
  <c r="G15" i="66"/>
  <c r="G16" i="66"/>
  <c r="G17" i="66"/>
  <c r="G18" i="66"/>
  <c r="C20" i="66"/>
  <c r="C19" i="66" s="1"/>
  <c r="D20" i="66"/>
  <c r="E20" i="66"/>
  <c r="E19" i="66" s="1"/>
  <c r="F20" i="66"/>
  <c r="G20" i="66"/>
  <c r="C21" i="66"/>
  <c r="D21" i="66"/>
  <c r="D19" i="66" s="1"/>
  <c r="E21" i="66"/>
  <c r="F21" i="66"/>
  <c r="F19" i="66" s="1"/>
  <c r="G19" i="66" s="1"/>
  <c r="G22" i="66"/>
  <c r="G23" i="66"/>
  <c r="D25" i="66"/>
  <c r="D24" i="66" s="1"/>
  <c r="E25" i="66"/>
  <c r="E24" i="66" s="1"/>
  <c r="F25" i="66"/>
  <c r="F24" i="66" s="1"/>
  <c r="G24" i="66" s="1"/>
  <c r="G25" i="66"/>
  <c r="E26" i="66"/>
  <c r="F26" i="66"/>
  <c r="G26" i="66" s="1"/>
  <c r="C27" i="66"/>
  <c r="C24" i="66" s="1"/>
  <c r="E27" i="66"/>
  <c r="C28" i="66"/>
  <c r="D28" i="66"/>
  <c r="D27" i="66" s="1"/>
  <c r="E28" i="66"/>
  <c r="F28" i="66"/>
  <c r="F27" i="66" s="1"/>
  <c r="G27" i="66" s="1"/>
  <c r="F29" i="66"/>
  <c r="G29" i="66" s="1"/>
  <c r="F30" i="66"/>
  <c r="G30" i="66" s="1"/>
  <c r="D31" i="66"/>
  <c r="E31" i="66"/>
  <c r="F31" i="66"/>
  <c r="G31" i="66" s="1"/>
  <c r="C32" i="66"/>
  <c r="E32" i="66"/>
  <c r="C33" i="66"/>
  <c r="D33" i="66"/>
  <c r="D32" i="66" s="1"/>
  <c r="E33" i="66"/>
  <c r="F33" i="66"/>
  <c r="F32" i="66" s="1"/>
  <c r="G32" i="66" s="1"/>
  <c r="G34" i="66"/>
  <c r="G35" i="66"/>
  <c r="G36" i="66"/>
  <c r="C40" i="66"/>
  <c r="D41" i="66"/>
  <c r="D40" i="66" s="1"/>
  <c r="D56" i="66" s="1"/>
  <c r="E41" i="66"/>
  <c r="E40" i="66" s="1"/>
  <c r="E56" i="66" s="1"/>
  <c r="E58" i="66" s="1"/>
  <c r="F41" i="66"/>
  <c r="F40" i="66" s="1"/>
  <c r="G41" i="66"/>
  <c r="F42" i="66"/>
  <c r="G42" i="66"/>
  <c r="G43" i="66"/>
  <c r="C44" i="66"/>
  <c r="D44" i="66"/>
  <c r="E44" i="66"/>
  <c r="F44" i="66"/>
  <c r="G44" i="66"/>
  <c r="G45" i="66"/>
  <c r="G46" i="66"/>
  <c r="G47" i="66"/>
  <c r="G48" i="66"/>
  <c r="D50" i="66"/>
  <c r="F50" i="66"/>
  <c r="G50" i="66" s="1"/>
  <c r="C51" i="66"/>
  <c r="C50" i="66" s="1"/>
  <c r="C56" i="66" s="1"/>
  <c r="D51" i="66"/>
  <c r="E51" i="66"/>
  <c r="E50" i="66" s="1"/>
  <c r="G52" i="66"/>
  <c r="G53" i="66"/>
  <c r="G54" i="66"/>
  <c r="G55" i="66"/>
  <c r="E6" i="67"/>
  <c r="I6" i="67"/>
  <c r="M6" i="67"/>
  <c r="Q6" i="67"/>
  <c r="U6" i="67"/>
  <c r="Y6" i="67"/>
  <c r="AC6" i="67"/>
  <c r="AD6" i="67"/>
  <c r="AE6" i="67"/>
  <c r="AF6" i="67"/>
  <c r="AG6" i="67" s="1"/>
  <c r="AK6" i="67"/>
  <c r="AO6" i="67"/>
  <c r="AQ6" i="67"/>
  <c r="AR6" i="67"/>
  <c r="AS6" i="67"/>
  <c r="AU6" i="67"/>
  <c r="BA6" i="67"/>
  <c r="BE6" i="67"/>
  <c r="BF6" i="67"/>
  <c r="BI6" i="67"/>
  <c r="BM6" i="67"/>
  <c r="BQ6" i="67"/>
  <c r="BU6" i="67"/>
  <c r="BV6" i="67"/>
  <c r="CX6" i="67" s="1"/>
  <c r="AL6" i="67" s="1"/>
  <c r="AP6" i="67" s="1"/>
  <c r="BW6" i="67"/>
  <c r="BX6" i="67"/>
  <c r="BY6" i="67" s="1"/>
  <c r="CC6" i="67"/>
  <c r="CG6" i="67"/>
  <c r="CK6" i="67"/>
  <c r="CO6" i="67"/>
  <c r="CP6" i="67"/>
  <c r="CQ6" i="67"/>
  <c r="CR6" i="67"/>
  <c r="CS6" i="67" s="1"/>
  <c r="CW6" i="67"/>
  <c r="CY6" i="67"/>
  <c r="DE6" i="67"/>
  <c r="E7" i="67"/>
  <c r="I7" i="67"/>
  <c r="M7" i="67"/>
  <c r="Q7" i="67"/>
  <c r="U7" i="67"/>
  <c r="Y7" i="67"/>
  <c r="AC7" i="67"/>
  <c r="AD7" i="67"/>
  <c r="AE7" i="67"/>
  <c r="AU7" i="67" s="1"/>
  <c r="AU9" i="67" s="1"/>
  <c r="AF7" i="67"/>
  <c r="AG7" i="67"/>
  <c r="AK7" i="67"/>
  <c r="AO7" i="67"/>
  <c r="AQ7" i="67"/>
  <c r="AR7" i="67"/>
  <c r="AS7" i="67" s="1"/>
  <c r="AS9" i="67" s="1"/>
  <c r="AV7" i="67"/>
  <c r="AW7" i="67" s="1"/>
  <c r="BA7" i="67"/>
  <c r="BE7" i="67"/>
  <c r="BG7" i="67"/>
  <c r="BI7" i="67" s="1"/>
  <c r="BM7" i="67"/>
  <c r="BM9" i="67" s="1"/>
  <c r="BQ7" i="67"/>
  <c r="BU7" i="67"/>
  <c r="BU9" i="67" s="1"/>
  <c r="BV7" i="67"/>
  <c r="BW7" i="67"/>
  <c r="BW9" i="67" s="1"/>
  <c r="BX7" i="67"/>
  <c r="BY7" i="67"/>
  <c r="BY9" i="67" s="1"/>
  <c r="CA7" i="67"/>
  <c r="CC7" i="67"/>
  <c r="CC9" i="67" s="1"/>
  <c r="CG7" i="67"/>
  <c r="CK7" i="67"/>
  <c r="CK9" i="67" s="1"/>
  <c r="CO7" i="67"/>
  <c r="CP7" i="67"/>
  <c r="CX7" i="67" s="1"/>
  <c r="AL7" i="67" s="1"/>
  <c r="CQ7" i="67"/>
  <c r="CR7" i="67"/>
  <c r="CW7" i="67"/>
  <c r="CY7" i="67"/>
  <c r="CY9" i="67" s="1"/>
  <c r="DE7" i="67"/>
  <c r="E8" i="67"/>
  <c r="I8" i="67"/>
  <c r="M8" i="67"/>
  <c r="Q8" i="67"/>
  <c r="U8" i="67"/>
  <c r="Y8" i="67"/>
  <c r="AC8" i="67"/>
  <c r="AD8" i="67"/>
  <c r="AE8" i="67"/>
  <c r="AU8" i="67" s="1"/>
  <c r="AF8" i="67"/>
  <c r="AG8" i="67"/>
  <c r="AK8" i="67"/>
  <c r="AO8" i="67"/>
  <c r="AQ8" i="67"/>
  <c r="AR8" i="67"/>
  <c r="AS8" i="67" s="1"/>
  <c r="AV8" i="67"/>
  <c r="AW8" i="67" s="1"/>
  <c r="BA8" i="67"/>
  <c r="BA9" i="67" s="1"/>
  <c r="BA12" i="67" s="1"/>
  <c r="BA14" i="67" s="1"/>
  <c r="BA15" i="67" s="1"/>
  <c r="BE8" i="67"/>
  <c r="BI8" i="67"/>
  <c r="BI9" i="67" s="1"/>
  <c r="BI12" i="67" s="1"/>
  <c r="BI14" i="67" s="1"/>
  <c r="BI15" i="67" s="1"/>
  <c r="BM8" i="67"/>
  <c r="BQ8" i="67"/>
  <c r="BQ9" i="67" s="1"/>
  <c r="BQ12" i="67" s="1"/>
  <c r="BQ14" i="67" s="1"/>
  <c r="BQ15" i="67" s="1"/>
  <c r="BU8" i="67"/>
  <c r="BV8" i="67"/>
  <c r="CX8" i="67" s="1"/>
  <c r="AL8" i="67" s="1"/>
  <c r="AP8" i="67" s="1"/>
  <c r="AT8" i="67" s="1"/>
  <c r="BW8" i="67"/>
  <c r="BX8" i="67"/>
  <c r="BY8" i="67" s="1"/>
  <c r="CC8" i="67"/>
  <c r="CG8" i="67"/>
  <c r="CK8" i="67"/>
  <c r="CO8" i="67"/>
  <c r="CP8" i="67"/>
  <c r="CQ8" i="67"/>
  <c r="CR8" i="67"/>
  <c r="CS8" i="67" s="1"/>
  <c r="CW8" i="67"/>
  <c r="CW9" i="67" s="1"/>
  <c r="CW12" i="67" s="1"/>
  <c r="CY8" i="67"/>
  <c r="CZ8" i="67"/>
  <c r="DA8" i="67" s="1"/>
  <c r="DE8" i="67"/>
  <c r="DE9" i="67" s="1"/>
  <c r="B9" i="67"/>
  <c r="C9" i="67"/>
  <c r="C12" i="67" s="1"/>
  <c r="D9" i="67"/>
  <c r="E9" i="67"/>
  <c r="F9" i="67"/>
  <c r="G9" i="67"/>
  <c r="G12" i="67" s="1"/>
  <c r="G14" i="67" s="1"/>
  <c r="H9" i="67"/>
  <c r="I9" i="67"/>
  <c r="I12" i="67" s="1"/>
  <c r="J9" i="67"/>
  <c r="K9" i="67"/>
  <c r="K12" i="67" s="1"/>
  <c r="K14" i="67" s="1"/>
  <c r="L9" i="67"/>
  <c r="M9" i="67"/>
  <c r="N9" i="67"/>
  <c r="O9" i="67"/>
  <c r="O12" i="67" s="1"/>
  <c r="O14" i="67" s="1"/>
  <c r="P9" i="67"/>
  <c r="Q9" i="67"/>
  <c r="Q12" i="67" s="1"/>
  <c r="R9" i="67"/>
  <c r="S9" i="67"/>
  <c r="S12" i="67" s="1"/>
  <c r="S14" i="67" s="1"/>
  <c r="T9" i="67"/>
  <c r="U9" i="67"/>
  <c r="V9" i="67"/>
  <c r="W9" i="67"/>
  <c r="W12" i="67" s="1"/>
  <c r="W14" i="67" s="1"/>
  <c r="X9" i="67"/>
  <c r="Y9" i="67"/>
  <c r="Y12" i="67" s="1"/>
  <c r="Y14" i="67" s="1"/>
  <c r="Z9" i="67"/>
  <c r="AA9" i="67"/>
  <c r="AA12" i="67" s="1"/>
  <c r="AA14" i="67" s="1"/>
  <c r="AB9" i="67"/>
  <c r="AC9" i="67"/>
  <c r="AD9" i="67"/>
  <c r="AE9" i="67"/>
  <c r="AF9" i="67"/>
  <c r="AG9" i="67"/>
  <c r="AH9" i="67"/>
  <c r="AI9" i="67"/>
  <c r="AI12" i="67" s="1"/>
  <c r="AI14" i="67" s="1"/>
  <c r="AJ9" i="67"/>
  <c r="AK9" i="67"/>
  <c r="AK12" i="67" s="1"/>
  <c r="AN9" i="67"/>
  <c r="AN12" i="67" s="1"/>
  <c r="AN14" i="67" s="1"/>
  <c r="AO9" i="67"/>
  <c r="AQ9" i="67"/>
  <c r="AR9" i="67"/>
  <c r="AR12" i="67" s="1"/>
  <c r="AR14" i="67" s="1"/>
  <c r="AX9" i="67"/>
  <c r="AX12" i="67" s="1"/>
  <c r="AY9" i="67"/>
  <c r="AZ9" i="67"/>
  <c r="AZ12" i="67" s="1"/>
  <c r="BB9" i="67"/>
  <c r="BB12" i="67" s="1"/>
  <c r="BB14" i="67" s="1"/>
  <c r="BC9" i="67"/>
  <c r="BD9" i="67"/>
  <c r="BD12" i="67" s="1"/>
  <c r="BD14" i="67" s="1"/>
  <c r="BE9" i="67"/>
  <c r="BF9" i="67"/>
  <c r="BF12" i="67" s="1"/>
  <c r="BF14" i="67" s="1"/>
  <c r="BG9" i="67"/>
  <c r="BH9" i="67"/>
  <c r="BH12" i="67" s="1"/>
  <c r="BH14" i="67" s="1"/>
  <c r="BJ9" i="67"/>
  <c r="BJ12" i="67" s="1"/>
  <c r="BJ14" i="67" s="1"/>
  <c r="BK9" i="67"/>
  <c r="BL9" i="67"/>
  <c r="BL12" i="67" s="1"/>
  <c r="BL14" i="67" s="1"/>
  <c r="BN9" i="67"/>
  <c r="BN12" i="67" s="1"/>
  <c r="BO9" i="67"/>
  <c r="BP9" i="67"/>
  <c r="BP12" i="67" s="1"/>
  <c r="BP14" i="67" s="1"/>
  <c r="BR9" i="67"/>
  <c r="BR12" i="67" s="1"/>
  <c r="BR14" i="67" s="1"/>
  <c r="BS9" i="67"/>
  <c r="BT9" i="67"/>
  <c r="BT12" i="67" s="1"/>
  <c r="BT14" i="67" s="1"/>
  <c r="BV9" i="67"/>
  <c r="BX9" i="67"/>
  <c r="BZ9" i="67"/>
  <c r="BZ12" i="67" s="1"/>
  <c r="CA9" i="67"/>
  <c r="CB9" i="67"/>
  <c r="CB12" i="67" s="1"/>
  <c r="CB14" i="67" s="1"/>
  <c r="CD9" i="67"/>
  <c r="CD12" i="67" s="1"/>
  <c r="CD14" i="67" s="1"/>
  <c r="CE9" i="67"/>
  <c r="CF9" i="67"/>
  <c r="CF12" i="67" s="1"/>
  <c r="CF14" i="67" s="1"/>
  <c r="CG9" i="67"/>
  <c r="CH9" i="67"/>
  <c r="CH12" i="67" s="1"/>
  <c r="CI9" i="67"/>
  <c r="CJ9" i="67"/>
  <c r="CJ12" i="67" s="1"/>
  <c r="CJ14" i="67" s="1"/>
  <c r="CL9" i="67"/>
  <c r="CL12" i="67" s="1"/>
  <c r="CL14" i="67" s="1"/>
  <c r="CM9" i="67"/>
  <c r="CN9" i="67"/>
  <c r="CN12" i="67" s="1"/>
  <c r="CN14" i="67" s="1"/>
  <c r="CO9" i="67"/>
  <c r="CP9" i="67"/>
  <c r="CQ9" i="67"/>
  <c r="CR9" i="67"/>
  <c r="CT9" i="67"/>
  <c r="CT12" i="67" s="1"/>
  <c r="CU9" i="67"/>
  <c r="CV9" i="67"/>
  <c r="CV12" i="67" s="1"/>
  <c r="CV14" i="67" s="1"/>
  <c r="CX9" i="67"/>
  <c r="DB9" i="67"/>
  <c r="DB12" i="67" s="1"/>
  <c r="DB14" i="67" s="1"/>
  <c r="DC9" i="67"/>
  <c r="DD9" i="67"/>
  <c r="DD12" i="67" s="1"/>
  <c r="DD14" i="67" s="1"/>
  <c r="E10" i="67"/>
  <c r="E12" i="67" s="1"/>
  <c r="I10" i="67"/>
  <c r="M10" i="67"/>
  <c r="M12" i="67" s="1"/>
  <c r="M14" i="67" s="1"/>
  <c r="Q10" i="67"/>
  <c r="U10" i="67"/>
  <c r="U12" i="67" s="1"/>
  <c r="Y10" i="67"/>
  <c r="AC10" i="67"/>
  <c r="AC12" i="67" s="1"/>
  <c r="AD10" i="67"/>
  <c r="AE10" i="67"/>
  <c r="AU10" i="67" s="1"/>
  <c r="AF10" i="67"/>
  <c r="AG10" i="67"/>
  <c r="AG12" i="67" s="1"/>
  <c r="AK10" i="67"/>
  <c r="AO10" i="67"/>
  <c r="AQ10" i="67"/>
  <c r="AR10" i="67"/>
  <c r="AS10" i="67" s="1"/>
  <c r="AV10" i="67"/>
  <c r="AW10" i="67" s="1"/>
  <c r="BA10" i="67"/>
  <c r="BE10" i="67"/>
  <c r="BI10" i="67"/>
  <c r="BM10" i="67"/>
  <c r="BQ10" i="67"/>
  <c r="BU10" i="67"/>
  <c r="BV10" i="67"/>
  <c r="CX10" i="67" s="1"/>
  <c r="AL10" i="67" s="1"/>
  <c r="AP10" i="67" s="1"/>
  <c r="AT10" i="67" s="1"/>
  <c r="BW10" i="67"/>
  <c r="BX10" i="67"/>
  <c r="BY10" i="67" s="1"/>
  <c r="CC10" i="67"/>
  <c r="CG10" i="67"/>
  <c r="CK10" i="67"/>
  <c r="CO10" i="67"/>
  <c r="CP10" i="67"/>
  <c r="CP12" i="67" s="1"/>
  <c r="CQ10" i="67"/>
  <c r="CR10" i="67"/>
  <c r="CS10" i="67" s="1"/>
  <c r="CW10" i="67"/>
  <c r="CY10" i="67"/>
  <c r="DE10" i="67"/>
  <c r="E11" i="67"/>
  <c r="I11" i="67"/>
  <c r="M11" i="67"/>
  <c r="Q11" i="67"/>
  <c r="U11" i="67"/>
  <c r="Y11" i="67"/>
  <c r="AC11" i="67"/>
  <c r="AD11" i="67"/>
  <c r="AE11" i="67"/>
  <c r="AU11" i="67" s="1"/>
  <c r="AF11" i="67"/>
  <c r="AG11" i="67"/>
  <c r="AK11" i="67"/>
  <c r="AO11" i="67"/>
  <c r="AQ11" i="67"/>
  <c r="AR11" i="67"/>
  <c r="AS11" i="67" s="1"/>
  <c r="AV11" i="67"/>
  <c r="AW11" i="67" s="1"/>
  <c r="BA11" i="67"/>
  <c r="BE11" i="67"/>
  <c r="BI11" i="67"/>
  <c r="BM11" i="67"/>
  <c r="BQ11" i="67"/>
  <c r="BU11" i="67"/>
  <c r="BV11" i="67"/>
  <c r="CX11" i="67" s="1"/>
  <c r="AL11" i="67" s="1"/>
  <c r="AP11" i="67" s="1"/>
  <c r="AT11" i="67" s="1"/>
  <c r="BW11" i="67"/>
  <c r="BX11" i="67"/>
  <c r="CC11" i="67"/>
  <c r="CG11" i="67"/>
  <c r="CK11" i="67"/>
  <c r="CO11" i="67"/>
  <c r="CP11" i="67"/>
  <c r="CQ11" i="67"/>
  <c r="CR11" i="67"/>
  <c r="CS11" i="67" s="1"/>
  <c r="CW11" i="67"/>
  <c r="CY11" i="67"/>
  <c r="DE11" i="67"/>
  <c r="B12" i="67"/>
  <c r="D12" i="67"/>
  <c r="F12" i="67"/>
  <c r="H12" i="67"/>
  <c r="J12" i="67"/>
  <c r="L12" i="67"/>
  <c r="N12" i="67"/>
  <c r="P12" i="67"/>
  <c r="R12" i="67"/>
  <c r="T12" i="67"/>
  <c r="V12" i="67"/>
  <c r="X12" i="67"/>
  <c r="Z12" i="67"/>
  <c r="AB12" i="67"/>
  <c r="AD12" i="67"/>
  <c r="AF12" i="67"/>
  <c r="AV12" i="67" s="1"/>
  <c r="AH12" i="67"/>
  <c r="AJ12" i="67"/>
  <c r="AO12" i="67"/>
  <c r="AQ12" i="67"/>
  <c r="AS12" i="67"/>
  <c r="AY12" i="67"/>
  <c r="BC12" i="67"/>
  <c r="BE12" i="67"/>
  <c r="BG12" i="67"/>
  <c r="BK12" i="67"/>
  <c r="BM12" i="67"/>
  <c r="BO12" i="67"/>
  <c r="BS12" i="67"/>
  <c r="BU12" i="67"/>
  <c r="BW12" i="67"/>
  <c r="BY12" i="67"/>
  <c r="CA12" i="67"/>
  <c r="CA14" i="67" s="1"/>
  <c r="CA15" i="67" s="1"/>
  <c r="CC12" i="67"/>
  <c r="CE12" i="67"/>
  <c r="CG12" i="67"/>
  <c r="CI12" i="67"/>
  <c r="CK12" i="67"/>
  <c r="CM12" i="67"/>
  <c r="CO12" i="67"/>
  <c r="CQ12" i="67"/>
  <c r="CQ14" i="67" s="1"/>
  <c r="CQ15" i="67" s="1"/>
  <c r="CU12" i="67"/>
  <c r="CY12" i="67"/>
  <c r="DC12" i="67"/>
  <c r="DE12" i="67"/>
  <c r="B13" i="67"/>
  <c r="C13" i="67"/>
  <c r="E13" i="67" s="1"/>
  <c r="I13" i="67"/>
  <c r="M13" i="67"/>
  <c r="Q13" i="67"/>
  <c r="R13" i="67"/>
  <c r="U13" i="67"/>
  <c r="Y13" i="67"/>
  <c r="AC13" i="67"/>
  <c r="AD13" i="67"/>
  <c r="AE13" i="67"/>
  <c r="AF13" i="67"/>
  <c r="AG13" i="67"/>
  <c r="AH13" i="67"/>
  <c r="AK13" i="67"/>
  <c r="AO13" i="67"/>
  <c r="AQ13" i="67"/>
  <c r="AR13" i="67"/>
  <c r="AS13" i="67"/>
  <c r="AS14" i="67" s="1"/>
  <c r="AV13" i="67"/>
  <c r="AX13" i="67"/>
  <c r="BA13" i="67"/>
  <c r="BB13" i="67"/>
  <c r="BE13" i="67"/>
  <c r="BF13" i="67"/>
  <c r="BI13" i="67"/>
  <c r="BM13" i="67"/>
  <c r="BN13" i="67"/>
  <c r="BO13" i="67"/>
  <c r="BQ13" i="67"/>
  <c r="BU13" i="67"/>
  <c r="BV13" i="67"/>
  <c r="BW13" i="67"/>
  <c r="BX13" i="67"/>
  <c r="BZ13" i="67"/>
  <c r="CA13" i="67"/>
  <c r="CC13" i="67"/>
  <c r="CC14" i="67" s="1"/>
  <c r="CC15" i="67" s="1"/>
  <c r="CG13" i="67"/>
  <c r="CH13" i="67"/>
  <c r="CP13" i="67" s="1"/>
  <c r="CK13" i="67"/>
  <c r="CO13" i="67"/>
  <c r="CO14" i="67" s="1"/>
  <c r="CO15" i="67" s="1"/>
  <c r="CQ13" i="67"/>
  <c r="CR13" i="67"/>
  <c r="CS13" i="67"/>
  <c r="CW13" i="67"/>
  <c r="CY13" i="67"/>
  <c r="DE13" i="67"/>
  <c r="B14" i="67"/>
  <c r="B15" i="67" s="1"/>
  <c r="D14" i="67"/>
  <c r="D15" i="67" s="1"/>
  <c r="F14" i="67"/>
  <c r="F15" i="67" s="1"/>
  <c r="H14" i="67"/>
  <c r="H15" i="67" s="1"/>
  <c r="J14" i="67"/>
  <c r="J15" i="67" s="1"/>
  <c r="L14" i="67"/>
  <c r="L15" i="67" s="1"/>
  <c r="N14" i="67"/>
  <c r="N15" i="67" s="1"/>
  <c r="P14" i="67"/>
  <c r="P15" i="67" s="1"/>
  <c r="R14" i="67"/>
  <c r="R15" i="67" s="1"/>
  <c r="T14" i="67"/>
  <c r="T15" i="67" s="1"/>
  <c r="V14" i="67"/>
  <c r="V15" i="67" s="1"/>
  <c r="X14" i="67"/>
  <c r="X15" i="67" s="1"/>
  <c r="Z14" i="67"/>
  <c r="Z15" i="67" s="1"/>
  <c r="AB14" i="67"/>
  <c r="AD14" i="67"/>
  <c r="AF14" i="67"/>
  <c r="AV14" i="67" s="1"/>
  <c r="AH14" i="67"/>
  <c r="AH15" i="67" s="1"/>
  <c r="AJ14" i="67"/>
  <c r="AO14" i="67"/>
  <c r="AQ14" i="67"/>
  <c r="AY14" i="67"/>
  <c r="AY15" i="67" s="1"/>
  <c r="BC14" i="67"/>
  <c r="BC15" i="67" s="1"/>
  <c r="BE14" i="67"/>
  <c r="BG14" i="67"/>
  <c r="BG15" i="67" s="1"/>
  <c r="BK14" i="67"/>
  <c r="BK15" i="67" s="1"/>
  <c r="BM14" i="67"/>
  <c r="BO14" i="67"/>
  <c r="BO15" i="67" s="1"/>
  <c r="BS14" i="67"/>
  <c r="BS15" i="67" s="1"/>
  <c r="BU14" i="67"/>
  <c r="BW14" i="67"/>
  <c r="BW15" i="67" s="1"/>
  <c r="CE14" i="67"/>
  <c r="CE15" i="67" s="1"/>
  <c r="CG14" i="67"/>
  <c r="CI14" i="67"/>
  <c r="CI15" i="67" s="1"/>
  <c r="CK14" i="67"/>
  <c r="CM14" i="67"/>
  <c r="CM15" i="67" s="1"/>
  <c r="CU14" i="67"/>
  <c r="CU15" i="67" s="1"/>
  <c r="DC14" i="67"/>
  <c r="DE14" i="67"/>
  <c r="G15" i="67"/>
  <c r="K15" i="67"/>
  <c r="M15" i="67"/>
  <c r="O15" i="67"/>
  <c r="S15" i="67"/>
  <c r="W15" i="67"/>
  <c r="Y15" i="67"/>
  <c r="AA15" i="67"/>
  <c r="AB15" i="67"/>
  <c r="AF15" i="67"/>
  <c r="AI15" i="67"/>
  <c r="AQ15" i="67" s="1"/>
  <c r="AJ15" i="67"/>
  <c r="AN15" i="67"/>
  <c r="AO15" i="67" s="1"/>
  <c r="AR15" i="67"/>
  <c r="AV15" i="67"/>
  <c r="BB15" i="67"/>
  <c r="BD15" i="67"/>
  <c r="BE15" i="67"/>
  <c r="BF15" i="67"/>
  <c r="BH15" i="67"/>
  <c r="BJ15" i="67"/>
  <c r="BL15" i="67"/>
  <c r="BM15" i="67"/>
  <c r="BP15" i="67"/>
  <c r="BR15" i="67"/>
  <c r="BT15" i="67"/>
  <c r="BU15" i="67"/>
  <c r="CB15" i="67"/>
  <c r="CD15" i="67"/>
  <c r="CF15" i="67"/>
  <c r="CG15" i="67"/>
  <c r="CJ15" i="67"/>
  <c r="CK15" i="67"/>
  <c r="CL15" i="67"/>
  <c r="CN15" i="67"/>
  <c r="CV15" i="67"/>
  <c r="CW15" i="67" s="1"/>
  <c r="D18" i="67"/>
  <c r="H18" i="67"/>
  <c r="I18" i="67" s="1"/>
  <c r="K18" i="67"/>
  <c r="L18" i="67"/>
  <c r="M18" i="67"/>
  <c r="Q18" i="67"/>
  <c r="T18" i="67"/>
  <c r="U18" i="67" s="1"/>
  <c r="W18" i="67"/>
  <c r="X18" i="67" s="1"/>
  <c r="Y18" i="67" s="1"/>
  <c r="Y21" i="67" s="1"/>
  <c r="Z18" i="67"/>
  <c r="AA18" i="67"/>
  <c r="AB18" i="67"/>
  <c r="AC18" i="67"/>
  <c r="AD18" i="67"/>
  <c r="AI18" i="67"/>
  <c r="AJ18" i="67"/>
  <c r="AK18" i="67" s="1"/>
  <c r="AP18" i="67"/>
  <c r="AQ18" i="67"/>
  <c r="AT18" i="67"/>
  <c r="AZ18" i="67"/>
  <c r="BA18" i="67" s="1"/>
  <c r="BD18" i="67"/>
  <c r="BE18" i="67" s="1"/>
  <c r="BH18" i="67"/>
  <c r="BI18" i="67" s="1"/>
  <c r="BI21" i="67" s="1"/>
  <c r="BL18" i="67"/>
  <c r="BM18" i="67" s="1"/>
  <c r="BN18" i="67"/>
  <c r="BO18" i="67" s="1"/>
  <c r="BO21" i="67" s="1"/>
  <c r="BS18" i="67"/>
  <c r="BS21" i="67" s="1"/>
  <c r="BT18" i="67"/>
  <c r="BU18" i="67"/>
  <c r="BU21" i="67" s="1"/>
  <c r="BW18" i="67"/>
  <c r="BZ18" i="67"/>
  <c r="CA18" i="67"/>
  <c r="CA21" i="67" s="1"/>
  <c r="CB18" i="67"/>
  <c r="CC18" i="67"/>
  <c r="CC21" i="67" s="1"/>
  <c r="CE18" i="67"/>
  <c r="CF18" i="67"/>
  <c r="CG18" i="67" s="1"/>
  <c r="CG21" i="67" s="1"/>
  <c r="CO18" i="67"/>
  <c r="CO21" i="67" s="1"/>
  <c r="CW18" i="67"/>
  <c r="D19" i="67"/>
  <c r="E19" i="67" s="1"/>
  <c r="I19" i="67"/>
  <c r="K19" i="67"/>
  <c r="L19" i="67"/>
  <c r="M19" i="67" s="1"/>
  <c r="M21" i="67" s="1"/>
  <c r="O19" i="67"/>
  <c r="AE19" i="67" s="1"/>
  <c r="AU19" i="67" s="1"/>
  <c r="P19" i="67"/>
  <c r="Q19" i="67"/>
  <c r="U19" i="67"/>
  <c r="Y19" i="67"/>
  <c r="AC19" i="67"/>
  <c r="AD19" i="67"/>
  <c r="AT19" i="67" s="1"/>
  <c r="AF19" i="67"/>
  <c r="AG19" i="67" s="1"/>
  <c r="AK19" i="67"/>
  <c r="AP19" i="67"/>
  <c r="AQ19" i="67"/>
  <c r="AR19" i="67"/>
  <c r="AS19" i="67"/>
  <c r="AZ19" i="67"/>
  <c r="BA19" i="67"/>
  <c r="BD19" i="67"/>
  <c r="BE19" i="67"/>
  <c r="BE21" i="67" s="1"/>
  <c r="BH19" i="67"/>
  <c r="BI19" i="67"/>
  <c r="BM19" i="67"/>
  <c r="BO19" i="67"/>
  <c r="BP19" i="67"/>
  <c r="BQ19" i="67"/>
  <c r="BT19" i="67"/>
  <c r="BU19" i="67"/>
  <c r="BV19" i="67"/>
  <c r="BW19" i="67"/>
  <c r="CY19" i="67" s="1"/>
  <c r="BX19" i="67"/>
  <c r="BY19" i="67"/>
  <c r="CA19" i="67"/>
  <c r="CB19" i="67"/>
  <c r="CC19" i="67" s="1"/>
  <c r="CG19" i="67"/>
  <c r="CI19" i="67"/>
  <c r="CJ19" i="67"/>
  <c r="CK19" i="67" s="1"/>
  <c r="CO19" i="67"/>
  <c r="CP19" i="67"/>
  <c r="CQ19" i="67"/>
  <c r="CW19" i="67"/>
  <c r="CX19" i="67"/>
  <c r="E20" i="67"/>
  <c r="I20" i="67"/>
  <c r="M20" i="67"/>
  <c r="Q20" i="67"/>
  <c r="U20" i="67"/>
  <c r="Y20" i="67"/>
  <c r="AC20" i="67"/>
  <c r="AD20" i="67"/>
  <c r="AE20" i="67"/>
  <c r="AU20" i="67" s="1"/>
  <c r="AF20" i="67"/>
  <c r="AG20" i="67"/>
  <c r="AK20" i="67"/>
  <c r="AP20" i="67"/>
  <c r="AP21" i="67" s="1"/>
  <c r="AQ20" i="67"/>
  <c r="AR20" i="67"/>
  <c r="AS20" i="67" s="1"/>
  <c r="AT20" i="67"/>
  <c r="AV20" i="67"/>
  <c r="AW20" i="67" s="1"/>
  <c r="BA20" i="67"/>
  <c r="BD20" i="67"/>
  <c r="BE20" i="67"/>
  <c r="BI20" i="67"/>
  <c r="BM20" i="67"/>
  <c r="BM21" i="67" s="1"/>
  <c r="BQ20" i="67"/>
  <c r="BU20" i="67"/>
  <c r="BY20" i="67"/>
  <c r="CC20" i="67"/>
  <c r="CG20" i="67"/>
  <c r="CK20" i="67"/>
  <c r="CO20" i="67"/>
  <c r="CP20" i="67"/>
  <c r="CX20" i="67" s="1"/>
  <c r="CQ20" i="67"/>
  <c r="CR20" i="67"/>
  <c r="CS20" i="67" s="1"/>
  <c r="CU20" i="67"/>
  <c r="CU21" i="67" s="1"/>
  <c r="CY20" i="67"/>
  <c r="B21" i="67"/>
  <c r="C21" i="67"/>
  <c r="F21" i="67"/>
  <c r="G21" i="67"/>
  <c r="I21" i="67"/>
  <c r="J21" i="67"/>
  <c r="K21" i="67"/>
  <c r="N21" i="67"/>
  <c r="O21" i="67"/>
  <c r="P21" i="67"/>
  <c r="Q21" i="67"/>
  <c r="R21" i="67"/>
  <c r="S21" i="67"/>
  <c r="T21" i="67"/>
  <c r="U21" i="67"/>
  <c r="V21" i="67"/>
  <c r="W21" i="67"/>
  <c r="Z21" i="67"/>
  <c r="AA21" i="67"/>
  <c r="AB21" i="67"/>
  <c r="AC21" i="67"/>
  <c r="AH21" i="67"/>
  <c r="AI21" i="67"/>
  <c r="AK21" i="67"/>
  <c r="AL21" i="67"/>
  <c r="AM21" i="67"/>
  <c r="AN21" i="67"/>
  <c r="AO21" i="67"/>
  <c r="AQ21" i="67"/>
  <c r="AX21" i="67"/>
  <c r="AY21" i="67"/>
  <c r="BA21" i="67"/>
  <c r="BB21" i="67"/>
  <c r="BD21" i="67"/>
  <c r="BF21" i="67"/>
  <c r="BG21" i="67"/>
  <c r="BH21" i="67"/>
  <c r="BJ21" i="67"/>
  <c r="BK21" i="67"/>
  <c r="BL21" i="67"/>
  <c r="BN21" i="67"/>
  <c r="BR21" i="67"/>
  <c r="BT21" i="67"/>
  <c r="BZ21" i="67"/>
  <c r="CB21" i="67"/>
  <c r="CD21" i="67"/>
  <c r="CE21" i="67"/>
  <c r="CF21" i="67"/>
  <c r="CL21" i="67"/>
  <c r="CM21" i="67"/>
  <c r="CN21" i="67"/>
  <c r="CT21" i="67"/>
  <c r="C8" i="64"/>
  <c r="C11" i="64" s="1"/>
  <c r="C37" i="64" s="1"/>
  <c r="C48" i="64" s="1"/>
  <c r="C51" i="64" s="1"/>
  <c r="D8" i="64"/>
  <c r="F8" i="64"/>
  <c r="F9" i="64"/>
  <c r="F10" i="64"/>
  <c r="D11" i="64"/>
  <c r="E11" i="64"/>
  <c r="F11" i="64"/>
  <c r="C14" i="64"/>
  <c r="D14" i="64"/>
  <c r="D22" i="64" s="1"/>
  <c r="E14" i="64"/>
  <c r="F14" i="64"/>
  <c r="F15" i="64"/>
  <c r="E16" i="64"/>
  <c r="F16" i="64" s="1"/>
  <c r="E17" i="64"/>
  <c r="F17" i="64" s="1"/>
  <c r="F18" i="64"/>
  <c r="F19" i="64"/>
  <c r="F20" i="64"/>
  <c r="F21" i="64"/>
  <c r="C22" i="64"/>
  <c r="E22" i="64"/>
  <c r="F26" i="64"/>
  <c r="F30" i="64" s="1"/>
  <c r="F35" i="64" s="1"/>
  <c r="F27" i="64"/>
  <c r="F28" i="64"/>
  <c r="F29" i="64"/>
  <c r="C30" i="64"/>
  <c r="D30" i="64"/>
  <c r="E30" i="64"/>
  <c r="C32" i="64"/>
  <c r="F32" i="64"/>
  <c r="C33" i="64"/>
  <c r="F33" i="64"/>
  <c r="C34" i="64"/>
  <c r="D34" i="64"/>
  <c r="E34" i="64"/>
  <c r="F34" i="64"/>
  <c r="C35" i="64"/>
  <c r="D35" i="64"/>
  <c r="E35" i="64"/>
  <c r="E37" i="64"/>
  <c r="E48" i="64" s="1"/>
  <c r="E51" i="64" s="1"/>
  <c r="F40" i="64"/>
  <c r="F41" i="64"/>
  <c r="F42" i="64"/>
  <c r="C43" i="64"/>
  <c r="D43" i="64"/>
  <c r="E43" i="64"/>
  <c r="F43" i="64"/>
  <c r="C44" i="64"/>
  <c r="D44" i="64"/>
  <c r="E44" i="64"/>
  <c r="F44" i="64"/>
  <c r="C46" i="64"/>
  <c r="D46" i="64"/>
  <c r="E46" i="64"/>
  <c r="F46" i="64"/>
  <c r="C52" i="64"/>
  <c r="D52" i="64"/>
  <c r="E52" i="64"/>
  <c r="F52" i="64"/>
  <c r="F8" i="65"/>
  <c r="F9" i="65"/>
  <c r="F10" i="65"/>
  <c r="C11" i="65"/>
  <c r="C35" i="65" s="1"/>
  <c r="D11" i="65"/>
  <c r="E11" i="65"/>
  <c r="F11" i="65" s="1"/>
  <c r="F35" i="65" s="1"/>
  <c r="C12" i="65"/>
  <c r="D12" i="65"/>
  <c r="E12" i="65"/>
  <c r="F12" i="65" s="1"/>
  <c r="F13" i="65"/>
  <c r="E14" i="65"/>
  <c r="F14" i="65"/>
  <c r="F15" i="65"/>
  <c r="F16" i="65"/>
  <c r="F17" i="65"/>
  <c r="F18" i="65"/>
  <c r="F19" i="65"/>
  <c r="F20" i="65"/>
  <c r="F21" i="65"/>
  <c r="F22" i="65"/>
  <c r="F23" i="65"/>
  <c r="D24" i="65"/>
  <c r="E24" i="65"/>
  <c r="F24" i="65"/>
  <c r="E25" i="65"/>
  <c r="F25" i="65"/>
  <c r="E26" i="65"/>
  <c r="F26" i="65"/>
  <c r="F27" i="65"/>
  <c r="D28" i="65"/>
  <c r="E28" i="65"/>
  <c r="F28" i="65"/>
  <c r="F29" i="65"/>
  <c r="E30" i="65"/>
  <c r="F30" i="65" s="1"/>
  <c r="E31" i="65"/>
  <c r="F31" i="65" s="1"/>
  <c r="F32" i="65"/>
  <c r="F33" i="65"/>
  <c r="F34" i="65"/>
  <c r="D35" i="65"/>
  <c r="F38" i="65"/>
  <c r="D39" i="65"/>
  <c r="E39" i="65"/>
  <c r="F39" i="65"/>
  <c r="C40" i="65"/>
  <c r="F40" i="65"/>
  <c r="F41" i="65"/>
  <c r="D42" i="65"/>
  <c r="F42" i="65" s="1"/>
  <c r="E42" i="65"/>
  <c r="F43" i="65"/>
  <c r="F44" i="65"/>
  <c r="D45" i="65"/>
  <c r="E45" i="65"/>
  <c r="F45" i="65" s="1"/>
  <c r="D46" i="65"/>
  <c r="F46" i="65" s="1"/>
  <c r="E46" i="65"/>
  <c r="E47" i="65"/>
  <c r="F47" i="65"/>
  <c r="C48" i="65"/>
  <c r="D48" i="65"/>
  <c r="F52" i="65"/>
  <c r="F53" i="65"/>
  <c r="C54" i="65"/>
  <c r="D54" i="65"/>
  <c r="E54" i="65"/>
  <c r="F54" i="65"/>
  <c r="F56" i="65"/>
  <c r="F57" i="65"/>
  <c r="F58" i="65"/>
  <c r="F59" i="65"/>
  <c r="F60" i="65"/>
  <c r="F61" i="65"/>
  <c r="F62" i="65"/>
  <c r="F63" i="65"/>
  <c r="C64" i="65"/>
  <c r="D64" i="65"/>
  <c r="E64" i="65"/>
  <c r="F64" i="65"/>
  <c r="F66" i="65"/>
  <c r="C67" i="65"/>
  <c r="C71" i="65" s="1"/>
  <c r="C73" i="65" s="1"/>
  <c r="C80" i="65" s="1"/>
  <c r="D67" i="65"/>
  <c r="E67" i="65"/>
  <c r="E71" i="65" s="1"/>
  <c r="F67" i="65"/>
  <c r="F69" i="65"/>
  <c r="F83" i="65" s="1"/>
  <c r="C70" i="65"/>
  <c r="D70" i="65"/>
  <c r="E70" i="65"/>
  <c r="F70" i="65"/>
  <c r="D71" i="65"/>
  <c r="F71" i="65"/>
  <c r="D73" i="65"/>
  <c r="D80" i="65" s="1"/>
  <c r="D82" i="65" s="1"/>
  <c r="F76" i="65"/>
  <c r="C77" i="65"/>
  <c r="D77" i="65"/>
  <c r="E77" i="65"/>
  <c r="F77" i="65"/>
  <c r="C78" i="65"/>
  <c r="D78" i="65"/>
  <c r="E78" i="65"/>
  <c r="F78" i="65"/>
  <c r="C83" i="65"/>
  <c r="D83" i="65"/>
  <c r="E83" i="65"/>
  <c r="C105" i="65"/>
  <c r="D11" i="69"/>
  <c r="D12" i="69"/>
  <c r="D13" i="69"/>
  <c r="C19" i="69"/>
  <c r="D19" i="69"/>
  <c r="C21" i="69"/>
  <c r="C14" i="69" s="1"/>
  <c r="D21" i="69"/>
  <c r="D26" i="69"/>
  <c r="D27" i="69"/>
  <c r="D28" i="69"/>
  <c r="D34" i="69"/>
  <c r="D35" i="69"/>
  <c r="C36" i="69"/>
  <c r="C29" i="69" s="1"/>
  <c r="D40" i="69"/>
  <c r="D41" i="69"/>
  <c r="D42" i="69"/>
  <c r="D48" i="69"/>
  <c r="D49" i="69"/>
  <c r="C50" i="69"/>
  <c r="C43" i="69" s="1"/>
  <c r="D50" i="69"/>
  <c r="D54" i="69"/>
  <c r="D55" i="69"/>
  <c r="D56" i="69"/>
  <c r="D62" i="69"/>
  <c r="D63" i="69"/>
  <c r="C64" i="69"/>
  <c r="C57" i="69" s="1"/>
  <c r="D69" i="69"/>
  <c r="D70" i="69"/>
  <c r="D71" i="69"/>
  <c r="D77" i="69"/>
  <c r="D78" i="69"/>
  <c r="C79" i="69"/>
  <c r="C72" i="69" s="1"/>
  <c r="D79" i="69"/>
  <c r="D83" i="69"/>
  <c r="D84" i="69"/>
  <c r="D85" i="69"/>
  <c r="C86" i="69"/>
  <c r="C87" i="69" s="1"/>
  <c r="D87" i="69" s="1"/>
  <c r="D91" i="69"/>
  <c r="C92" i="69"/>
  <c r="D92" i="69"/>
  <c r="C93" i="69"/>
  <c r="D93" i="69"/>
  <c r="D97" i="69"/>
  <c r="D98" i="69"/>
  <c r="D99" i="69"/>
  <c r="D105" i="69"/>
  <c r="D106" i="69"/>
  <c r="C107" i="69"/>
  <c r="D107" i="69" s="1"/>
  <c r="D111" i="69"/>
  <c r="D112" i="69"/>
  <c r="D113" i="69"/>
  <c r="D119" i="69"/>
  <c r="D120" i="69"/>
  <c r="C121" i="69"/>
  <c r="C114" i="69" s="1"/>
  <c r="D121" i="69"/>
  <c r="D72" i="69" l="1"/>
  <c r="C73" i="69"/>
  <c r="D73" i="69" s="1"/>
  <c r="C15" i="69"/>
  <c r="D15" i="69" s="1"/>
  <c r="D14" i="69"/>
  <c r="C82" i="65"/>
  <c r="C86" i="65"/>
  <c r="D43" i="69"/>
  <c r="C44" i="69"/>
  <c r="D44" i="69" s="1"/>
  <c r="D29" i="69"/>
  <c r="C30" i="69"/>
  <c r="D30" i="69" s="1"/>
  <c r="F48" i="65"/>
  <c r="F73" i="65" s="1"/>
  <c r="F80" i="65" s="1"/>
  <c r="F82" i="65" s="1"/>
  <c r="F22" i="64"/>
  <c r="F37" i="64"/>
  <c r="F48" i="64" s="1"/>
  <c r="F51" i="64" s="1"/>
  <c r="D37" i="64"/>
  <c r="D48" i="64" s="1"/>
  <c r="D51" i="64" s="1"/>
  <c r="D114" i="69"/>
  <c r="C115" i="69"/>
  <c r="D115" i="69" s="1"/>
  <c r="D57" i="69"/>
  <c r="C58" i="69"/>
  <c r="D58" i="69" s="1"/>
  <c r="C100" i="69"/>
  <c r="D86" i="69"/>
  <c r="D64" i="69"/>
  <c r="D36" i="69"/>
  <c r="E48" i="65"/>
  <c r="E73" i="65" s="1"/>
  <c r="E80" i="65" s="1"/>
  <c r="E82" i="65" s="1"/>
  <c r="E35" i="65"/>
  <c r="BW21" i="67"/>
  <c r="AZ21" i="67"/>
  <c r="AJ21" i="67"/>
  <c r="AD21" i="67"/>
  <c r="AT21" i="67" s="1"/>
  <c r="X21" i="67"/>
  <c r="L21" i="67"/>
  <c r="H21" i="67"/>
  <c r="D21" i="67"/>
  <c r="CZ20" i="67"/>
  <c r="DA20" i="67" s="1"/>
  <c r="CV20" i="67"/>
  <c r="CR19" i="67"/>
  <c r="AV19" i="67"/>
  <c r="AW19" i="67" s="1"/>
  <c r="BV18" i="67"/>
  <c r="BP18" i="67"/>
  <c r="AR18" i="67"/>
  <c r="AE18" i="67"/>
  <c r="E18" i="67"/>
  <c r="E21" i="67" s="1"/>
  <c r="AF18" i="67"/>
  <c r="CY14" i="67"/>
  <c r="CY15" i="67"/>
  <c r="AD15" i="67"/>
  <c r="AU13" i="67"/>
  <c r="AW13" i="67" s="1"/>
  <c r="CW14" i="67"/>
  <c r="BY11" i="67"/>
  <c r="CZ11" i="67"/>
  <c r="DA11" i="67" s="1"/>
  <c r="CP14" i="67"/>
  <c r="CP15" i="67" s="1"/>
  <c r="CH14" i="67"/>
  <c r="CH15" i="67" s="1"/>
  <c r="CH18" i="67" s="1"/>
  <c r="AZ14" i="67"/>
  <c r="AX14" i="67"/>
  <c r="AP7" i="67"/>
  <c r="AL9" i="67"/>
  <c r="AL12" i="67" s="1"/>
  <c r="BY13" i="67"/>
  <c r="BY14" i="67" s="1"/>
  <c r="BY15" i="67" s="1"/>
  <c r="CZ13" i="67"/>
  <c r="DA13" i="67" s="1"/>
  <c r="AG14" i="67"/>
  <c r="AG15" i="67" s="1"/>
  <c r="AC14" i="67"/>
  <c r="AC15" i="67" s="1"/>
  <c r="U14" i="67"/>
  <c r="U15" i="67" s="1"/>
  <c r="E14" i="67"/>
  <c r="E15" i="67" s="1"/>
  <c r="BZ14" i="67"/>
  <c r="BZ15" i="67" s="1"/>
  <c r="BN14" i="67"/>
  <c r="BN15" i="67" s="1"/>
  <c r="AK14" i="67"/>
  <c r="AK15" i="67" s="1"/>
  <c r="AS15" i="67" s="1"/>
  <c r="Q14" i="67"/>
  <c r="Q15" i="67" s="1"/>
  <c r="I14" i="67"/>
  <c r="I15" i="67" s="1"/>
  <c r="C14" i="67"/>
  <c r="C15" i="67" s="1"/>
  <c r="CS9" i="67"/>
  <c r="CS12" i="67" s="1"/>
  <c r="CS14" i="67" s="1"/>
  <c r="CS15" i="67" s="1"/>
  <c r="CR12" i="67"/>
  <c r="CR14" i="67" s="1"/>
  <c r="CR15" i="67" s="1"/>
  <c r="BX12" i="67"/>
  <c r="BX14" i="67" s="1"/>
  <c r="BX15" i="67" s="1"/>
  <c r="BV12" i="67"/>
  <c r="BV14" i="67" s="1"/>
  <c r="BV15" i="67" s="1"/>
  <c r="AE12" i="67"/>
  <c r="CZ10" i="67"/>
  <c r="DA10" i="67" s="1"/>
  <c r="AT6" i="67"/>
  <c r="G40" i="66"/>
  <c r="G56" i="66" s="1"/>
  <c r="G58" i="66" s="1"/>
  <c r="F56" i="66"/>
  <c r="D58" i="66"/>
  <c r="F37" i="66"/>
  <c r="G37" i="66" s="1"/>
  <c r="G7" i="66"/>
  <c r="D37" i="66"/>
  <c r="D26" i="10"/>
  <c r="CS7" i="67"/>
  <c r="CZ7" i="67"/>
  <c r="DA7" i="67" s="1"/>
  <c r="C37" i="66"/>
  <c r="C58" i="66" s="1"/>
  <c r="F34" i="10"/>
  <c r="F22" i="10"/>
  <c r="D25" i="10"/>
  <c r="F25" i="10" s="1"/>
  <c r="F7" i="10"/>
  <c r="E13" i="10"/>
  <c r="C26" i="10"/>
  <c r="CZ6" i="67"/>
  <c r="AV6" i="67"/>
  <c r="G51" i="66"/>
  <c r="G33" i="66"/>
  <c r="G28" i="66"/>
  <c r="G21" i="66"/>
  <c r="G9" i="66"/>
  <c r="E39" i="10"/>
  <c r="F39" i="10" s="1"/>
  <c r="F24" i="10"/>
  <c r="E20" i="10"/>
  <c r="E26" i="10" l="1"/>
  <c r="F26" i="10" s="1"/>
  <c r="F13" i="10"/>
  <c r="CT13" i="67"/>
  <c r="AX15" i="67"/>
  <c r="CH21" i="67"/>
  <c r="CI18" i="67"/>
  <c r="CP18" i="67"/>
  <c r="CP21" i="67" s="1"/>
  <c r="AS18" i="67"/>
  <c r="AS21" i="67" s="1"/>
  <c r="AR21" i="67"/>
  <c r="BV21" i="67"/>
  <c r="CS19" i="67"/>
  <c r="CZ19" i="67"/>
  <c r="DA19" i="67" s="1"/>
  <c r="C101" i="69"/>
  <c r="D101" i="69" s="1"/>
  <c r="D100" i="69"/>
  <c r="E47" i="10"/>
  <c r="AW6" i="67"/>
  <c r="AW9" i="67" s="1"/>
  <c r="AW12" i="67" s="1"/>
  <c r="AW14" i="67" s="1"/>
  <c r="AV9" i="67"/>
  <c r="F58" i="66"/>
  <c r="F59" i="66" s="1"/>
  <c r="AP9" i="67"/>
  <c r="AP12" i="67" s="1"/>
  <c r="AT7" i="67"/>
  <c r="CX12" i="67"/>
  <c r="CZ12" i="67"/>
  <c r="AG18" i="67"/>
  <c r="AG21" i="67" s="1"/>
  <c r="AV18" i="67"/>
  <c r="AF21" i="67"/>
  <c r="AV21" i="67" s="1"/>
  <c r="AU18" i="67"/>
  <c r="AE21" i="67"/>
  <c r="AU21" i="67" s="1"/>
  <c r="BQ18" i="67"/>
  <c r="BQ21" i="67" s="1"/>
  <c r="BP21" i="67"/>
  <c r="BX18" i="67"/>
  <c r="CW20" i="67"/>
  <c r="CW21" i="67" s="1"/>
  <c r="CV21" i="67"/>
  <c r="F20" i="10"/>
  <c r="E21" i="10"/>
  <c r="F21" i="10" s="1"/>
  <c r="DA6" i="67"/>
  <c r="DA9" i="67" s="1"/>
  <c r="DA12" i="67" s="1"/>
  <c r="DA14" i="67" s="1"/>
  <c r="CZ9" i="67"/>
  <c r="AT9" i="67"/>
  <c r="AE14" i="67"/>
  <c r="AU12" i="67"/>
  <c r="CZ14" i="67"/>
  <c r="AZ15" i="67"/>
  <c r="CZ15" i="67" s="1"/>
  <c r="DA15" i="67" s="1"/>
  <c r="AT12" i="67" l="1"/>
  <c r="CT14" i="67"/>
  <c r="CX13" i="67"/>
  <c r="AL13" i="67" s="1"/>
  <c r="AU14" i="67"/>
  <c r="AE15" i="67"/>
  <c r="AU15" i="67" s="1"/>
  <c r="AW15" i="67" s="1"/>
  <c r="BY18" i="67"/>
  <c r="BY21" i="67" s="1"/>
  <c r="BX21" i="67"/>
  <c r="AW18" i="67"/>
  <c r="AW21" i="67" s="1"/>
  <c r="F47" i="10"/>
  <c r="E49" i="10"/>
  <c r="F49" i="10" s="1"/>
  <c r="CX18" i="67"/>
  <c r="CX21" i="67" s="1"/>
  <c r="CJ18" i="67"/>
  <c r="CQ18" i="67"/>
  <c r="CI21" i="67"/>
  <c r="CQ21" i="67" l="1"/>
  <c r="CY18" i="67"/>
  <c r="CY21" i="67" s="1"/>
  <c r="CT15" i="67"/>
  <c r="CX15" i="67" s="1"/>
  <c r="CX14" i="67"/>
  <c r="CJ21" i="67"/>
  <c r="CK18" i="67"/>
  <c r="CK21" i="67" s="1"/>
  <c r="CR18" i="67"/>
  <c r="AP13" i="67"/>
  <c r="AL14" i="67"/>
  <c r="AL15" i="67" s="1"/>
  <c r="AP15" i="67" s="1"/>
  <c r="AT15" i="67" s="1"/>
  <c r="CS18" i="67" l="1"/>
  <c r="CS21" i="67" s="1"/>
  <c r="CR21" i="67"/>
  <c r="CZ18" i="67"/>
  <c r="AT13" i="67"/>
  <c r="AP14" i="67"/>
  <c r="AT14" i="67" s="1"/>
  <c r="DA18" i="67" l="1"/>
  <c r="DA21" i="67" s="1"/>
  <c r="CZ21" i="67"/>
</calcChain>
</file>

<file path=xl/sharedStrings.xml><?xml version="1.0" encoding="utf-8"?>
<sst xmlns="http://schemas.openxmlformats.org/spreadsheetml/2006/main" count="666" uniqueCount="331">
  <si>
    <t>Jogcím</t>
  </si>
  <si>
    <t>I.</t>
  </si>
  <si>
    <t>II.</t>
  </si>
  <si>
    <t>Intézmény</t>
  </si>
  <si>
    <t>Összesen:</t>
  </si>
  <si>
    <t xml:space="preserve">          (E Ft)</t>
  </si>
  <si>
    <t>1.</t>
  </si>
  <si>
    <t>2.</t>
  </si>
  <si>
    <t>3.</t>
  </si>
  <si>
    <t>4.</t>
  </si>
  <si>
    <t>5.</t>
  </si>
  <si>
    <t xml:space="preserve">II. </t>
  </si>
  <si>
    <t>III.</t>
  </si>
  <si>
    <t>Rehabilitációs kölcsön visszatérülése</t>
  </si>
  <si>
    <t>Lakástámogatás visszatérítés (bérlakás-számla)</t>
  </si>
  <si>
    <t>Munkáltatói támogatás</t>
  </si>
  <si>
    <t>IV.</t>
  </si>
  <si>
    <t>MINDÖSSZESEN:</t>
  </si>
  <si>
    <t>Dologi kiadások</t>
  </si>
  <si>
    <t xml:space="preserve">Eredeti ei. </t>
  </si>
  <si>
    <t xml:space="preserve">Eredeti  ei. </t>
  </si>
  <si>
    <t xml:space="preserve">szakmai </t>
  </si>
  <si>
    <t>technikai</t>
  </si>
  <si>
    <t>összesen</t>
  </si>
  <si>
    <t>Közműv. intézm. összesen:</t>
  </si>
  <si>
    <t>Intézmények összesen:</t>
  </si>
  <si>
    <t>Felújítás</t>
  </si>
  <si>
    <t>6.</t>
  </si>
  <si>
    <t>7.</t>
  </si>
  <si>
    <t>Közvilágítás fejlesztési keretösszeg</t>
  </si>
  <si>
    <t>8.</t>
  </si>
  <si>
    <t>Tervezési keretösszeg</t>
  </si>
  <si>
    <t>11.</t>
  </si>
  <si>
    <t>12.</t>
  </si>
  <si>
    <t xml:space="preserve">Kőszeg Város Önkormányzatának bevételei és kiadásai </t>
  </si>
  <si>
    <t>Bevételi előirányzatok (e Ft-ban)</t>
  </si>
  <si>
    <t>Kiemelt előirányzatok</t>
  </si>
  <si>
    <t>BEVÉTELI ELŐIRÁNYZAT MINDÖSSZESEN:</t>
  </si>
  <si>
    <t>Kiadási előirányzatok (e Ft-ban)</t>
  </si>
  <si>
    <t>Személyi juttatások</t>
  </si>
  <si>
    <t>Munkaadókat terhelő járulékok</t>
  </si>
  <si>
    <t>Ellátottak pénzbeli juttatásai</t>
  </si>
  <si>
    <t>KIADÁSI ELŐIRÁNYZAT MINDÖSSZESEN:</t>
  </si>
  <si>
    <t>Kőszeg Város Önkormányzatának címrendje</t>
  </si>
  <si>
    <t>Cím</t>
  </si>
  <si>
    <t>Alcím</t>
  </si>
  <si>
    <t>Jurisics-vár Művelődési Központ és Várszínház</t>
  </si>
  <si>
    <t>Hulladékgazdálkodási társulási beruházásokhoz átadás</t>
  </si>
  <si>
    <t>Kőszeg Város Önkormányzata</t>
  </si>
  <si>
    <t>Önkormányzat és intézményei összesen</t>
  </si>
  <si>
    <t>közfogl</t>
  </si>
  <si>
    <t>5. Kőszeg Város Önkormányzata</t>
  </si>
  <si>
    <t>I. Önkormányzat és intézményei összesen</t>
  </si>
  <si>
    <t>1. a) Önkormányzati hivatal működésének támogatása</t>
  </si>
  <si>
    <t>1. b) Település-üzemeltetéshez kapcsolódó feladatellátás támogatása</t>
  </si>
  <si>
    <t>A helyi önkormányzatok általános müködésének és ágazati feladatainak támogatása összesen:</t>
  </si>
  <si>
    <t>1. Chernel K. Városi Könyvtár</t>
  </si>
  <si>
    <t>2 Jurisics-vár Műv.Központ és Várszínház</t>
  </si>
  <si>
    <t xml:space="preserve">4. Kőszegi Közös Önkormányzati Hivatal </t>
  </si>
  <si>
    <t>13.</t>
  </si>
  <si>
    <t>14.</t>
  </si>
  <si>
    <t xml:space="preserve">1. </t>
  </si>
  <si>
    <t xml:space="preserve">Kőszegi Közös Önkormányzati Hivatal </t>
  </si>
  <si>
    <t>I.) Települési önkromáynzatok működésének támogatása</t>
  </si>
  <si>
    <t>II.) Települési önkormányzatok egyes köznevelési feladatainak támogatása</t>
  </si>
  <si>
    <t>III.) Települési önkormányzatok szociális és gyermekjóléti feladatainak támogatása</t>
  </si>
  <si>
    <t>1. e) Települési önkormányzatok muzeális intézményi feladatainak támogatása</t>
  </si>
  <si>
    <t>-ebből: munkaszervezeti feladatok</t>
  </si>
  <si>
    <t>15.</t>
  </si>
  <si>
    <t>16.</t>
  </si>
  <si>
    <t>9.</t>
  </si>
  <si>
    <t>10.</t>
  </si>
  <si>
    <t>17.</t>
  </si>
  <si>
    <t>Kötelező feladatok</t>
  </si>
  <si>
    <t>Önként vállalt feladatok</t>
  </si>
  <si>
    <t>Államigazgatási feladatok</t>
  </si>
  <si>
    <t>Az előirányzatok megoszlása feladatjelleg alapján</t>
  </si>
  <si>
    <t>18.</t>
  </si>
  <si>
    <t>19.</t>
  </si>
  <si>
    <t>Egészségház építés pályázati támogatása</t>
  </si>
  <si>
    <t>Újvárosi Óvoda fejlesztési hozzájárulás</t>
  </si>
  <si>
    <t>Városrehabilitációs kölcsön</t>
  </si>
  <si>
    <t>Vis maior pályázat támogatása</t>
  </si>
  <si>
    <t>Nepomuki Szent János kápolna felújítás támogatása</t>
  </si>
  <si>
    <t>Szociális Gondozási Központ fejlesztési hozzájárulás</t>
  </si>
  <si>
    <t>Vis maior káresemény helyreállítási munkái</t>
  </si>
  <si>
    <t>Fejlesztési tartalék</t>
  </si>
  <si>
    <t xml:space="preserve">Jurisics vár turisztikai fejlesztése pályázati támogatás </t>
  </si>
  <si>
    <t>Önként vállalt feladatok összesen:</t>
  </si>
  <si>
    <t>ebből:</t>
  </si>
  <si>
    <t>Kötelező feladatok összesen:</t>
  </si>
  <si>
    <t>2. Óvodaműködtetési támogatás</t>
  </si>
  <si>
    <t>V.) Beszámítás összege (levonva előző jogcímeken)</t>
  </si>
  <si>
    <t>2. Nem közművel gyűjtött háztartási szennyvíz ártalmatlanítása</t>
  </si>
  <si>
    <t>5. b) Gyermekétkeztetés támogatása: üzemeltetési támogatás</t>
  </si>
  <si>
    <t>5. a) Gyermekétkeztetés támogatása: elismerhető dolgozók bértámogatása</t>
  </si>
  <si>
    <t>IV.) Települési önkormányzatok kulturális feledatainak támogatása</t>
  </si>
  <si>
    <t>Chernel Kálmán Városi Könyvtár</t>
  </si>
  <si>
    <t xml:space="preserve">         bc) Köztemető fenntartásának támogatása</t>
  </si>
  <si>
    <t xml:space="preserve">         bb) Közvilágítás fenntartásának támogatása</t>
  </si>
  <si>
    <t xml:space="preserve">         ba) Zöldterület gazdálkodással kapcsolatos feladatok</t>
  </si>
  <si>
    <t>1. d) Nyilvános könyvtári ellátási és közművelődési feladatok támogatása</t>
  </si>
  <si>
    <t>Beruházás</t>
  </si>
  <si>
    <t>Felhalmozási célú átvett pénzeszközök</t>
  </si>
  <si>
    <t>Kőszeg Város Önkormányzatának bevételei 2015. évben</t>
  </si>
  <si>
    <t>Kőszeg Város Önkormányzatának kiadásai 2015. évben</t>
  </si>
  <si>
    <t>Bérlakás törlesztések</t>
  </si>
  <si>
    <t>Vagyonhasznosító bevétele</t>
  </si>
  <si>
    <t>Bezerédy u. 3. (40 lakás) biztosítási kártérítése</t>
  </si>
  <si>
    <t>Rendkívüli támogatás maradványa (egészségházhoz)</t>
  </si>
  <si>
    <t>Egészségház pályázati támogatás maradványa</t>
  </si>
  <si>
    <t>Vár projekt pályázati támogatás maradványa</t>
  </si>
  <si>
    <t>Kraft projekt pályázati támogatás maradványa</t>
  </si>
  <si>
    <t>2015. évi felhalmozási  kiadások (E Ft)</t>
  </si>
  <si>
    <t>Központi Óvoda Bölcsőde fejlesztési hozzájárulás</t>
  </si>
  <si>
    <t>Központi Óvoda Felsővárosi Tagóvodája fejlesztési hozzájárulás</t>
  </si>
  <si>
    <t>Központi Óvoda fejlesztési hozzájárulás</t>
  </si>
  <si>
    <t>Újvárosi Óvoda Kőszegfalvi Tagóvodája fejlesztési hozzájárulás</t>
  </si>
  <si>
    <t>KSK pálya nézőtér felújítás támogatása</t>
  </si>
  <si>
    <t>Szent Jakab templom ablak felújításhoz átadás</t>
  </si>
  <si>
    <t>Kőszegfalvi Szent Lénárd templom tető felújítás</t>
  </si>
  <si>
    <t>Hivatal épület tetőfelújítása (Jurisics tér 6-8.) pályázati önerő</t>
  </si>
  <si>
    <t>Vízi-közmű hálózaton végzett felújítási munkák</t>
  </si>
  <si>
    <t>Központi Óvoda hátsó épületrész villamos hálózat felújítása</t>
  </si>
  <si>
    <t>Államtól átvett ingatlanok állagmegóvó felújítása (pályázati önerő)</t>
  </si>
  <si>
    <t>Új temető területvásárlás</t>
  </si>
  <si>
    <t>Jurisics vár turisztikai fejlesztése (2014-ről áthúzódó kifizetések)</t>
  </si>
  <si>
    <t>Egészségház tervezés és kivitelezés (eszközbeszerzések I. és II. ütem)</t>
  </si>
  <si>
    <t>Rohonci u. (Tamás árok) gyaloghíd építése (2014-ről áthúzódó kifizetések)</t>
  </si>
  <si>
    <t>Balog iskola szennyvízelvezető rendszer részleges cseréje</t>
  </si>
  <si>
    <t>Képviselő-testületi munkához informatikai eszközök beszerzése</t>
  </si>
  <si>
    <t>ÖBB tulajdonában lévő volt vasúti pályatest megvásárlása (I. ütem)</t>
  </si>
  <si>
    <t>Kártalanítás 54/2014. (III.27.) KT határozat</t>
  </si>
  <si>
    <t>Autó vásárlás építéshatóság</t>
  </si>
  <si>
    <t>Kőszegfalvi sportpálya bejárati kapu cseréje</t>
  </si>
  <si>
    <t>Egészségház kerékpárút kiépítése I. ütem</t>
  </si>
  <si>
    <t>Írottkő utcai parkoló építés (2014-ről áthúzódó kifizetések)</t>
  </si>
  <si>
    <t>Liszt F. u. 30. épület bontása</t>
  </si>
  <si>
    <t>Vasivíz Zrt-től átvett vagyon értékeltetése</t>
  </si>
  <si>
    <t>Kőszegfalvi lakóparkhoz vezető út kisajátítása</t>
  </si>
  <si>
    <t>Kőszegfalvi árkok kiépítése (tervezés, engedélyezés, területszerzés)</t>
  </si>
  <si>
    <t xml:space="preserve">912 és 913 hrsz. Ingatlanok megvásárlása </t>
  </si>
  <si>
    <t xml:space="preserve">KRAFT projekt megvalósítása </t>
  </si>
  <si>
    <t>20.</t>
  </si>
  <si>
    <t>21.</t>
  </si>
  <si>
    <t>Kisértékű tárgyi eszköz beszerzések (Chernel K. Városi Könyvtár)</t>
  </si>
  <si>
    <t>Kisértékű tárgyi eszköz beszerzések (Kőszegi Közös Önkormányzati Hivatal)</t>
  </si>
  <si>
    <t>Posztó utca parkoló kialakítás</t>
  </si>
  <si>
    <t>Látogatóközpont előtt autóbuszöböl kivitelezése</t>
  </si>
  <si>
    <t>Vonal alatti tételek (nem kerültek beépítésre)</t>
  </si>
  <si>
    <t>Bérlakás értékesítési bevétel</t>
  </si>
  <si>
    <t>Tájékoztató tábla felállítása Kőszegfalván</t>
  </si>
  <si>
    <t>Tekepálya épület és pálya felújítás</t>
  </si>
  <si>
    <t>Síugró sánc öltöző felújítás</t>
  </si>
  <si>
    <t>Útfelújítási keretösszeg (Ambró Gy. U. 2 M Ft, stb)</t>
  </si>
  <si>
    <t>Bezerédy u. 3. (40 lakás) tetőfelújítás (2014-ről áthúzódó kifizetések)</t>
  </si>
  <si>
    <t>Fejlesztési kiadások-fejlesztési bevételek egyenlege:</t>
  </si>
  <si>
    <t>Koronaőrző bunker világítás felújítás</t>
  </si>
  <si>
    <t>Kőszeg Város Önkormányzatának központilag szabályozott bevételei 2015. évben</t>
  </si>
  <si>
    <t>Kőszegi Városi Múzeum</t>
  </si>
  <si>
    <t>Előző évi maradvány</t>
  </si>
  <si>
    <t>Finanszírozási bevételek összesen:</t>
  </si>
  <si>
    <t>Költségvetési bevételek összesen:</t>
  </si>
  <si>
    <t>Működési célú támogatások áht-n belülről</t>
  </si>
  <si>
    <t>Közhatalmi bevételek</t>
  </si>
  <si>
    <t>Működési bevételek</t>
  </si>
  <si>
    <t>Felhalmozási bevételek</t>
  </si>
  <si>
    <t>Működési célú átvett pénzeszközök</t>
  </si>
  <si>
    <t>BEVÉTELEK ÖSSZESEN</t>
  </si>
  <si>
    <t>Felhalmozási c. támogatások áht-n belülről</t>
  </si>
  <si>
    <t>Beruházások</t>
  </si>
  <si>
    <t>Felújítások</t>
  </si>
  <si>
    <t>Egyéb felhalmozási c. kiadások</t>
  </si>
  <si>
    <t>Irányító szervi támogatás bevétele</t>
  </si>
  <si>
    <t xml:space="preserve">Finanszírozási kiadások </t>
  </si>
  <si>
    <t>KIADÁSOK ÖSSZESEN</t>
  </si>
  <si>
    <t>Költségvetési létszámkeret (fő)</t>
  </si>
  <si>
    <t>Egyéb működési c. kiadások összesen:</t>
  </si>
  <si>
    <t xml:space="preserve">Működési c. tartalékok </t>
  </si>
  <si>
    <t xml:space="preserve">Felhalmozási c. tartalékok </t>
  </si>
  <si>
    <t xml:space="preserve">3. Kőszegi Városi Múzeum </t>
  </si>
  <si>
    <t>Egyéb műk c támogatások, elvonások, befizetések</t>
  </si>
  <si>
    <t>Irányító szervi (adott-kapott) támogatással nettósítva:</t>
  </si>
  <si>
    <t>Egyéb felhalm c támogatások, kölcsönök áht-n belülre és kívülre</t>
  </si>
  <si>
    <t xml:space="preserve">A helyi önkormányzatok általános müködésének és ágazati feladatainak támogatása (2014. évi C. törvény 2. melléklete szerint)  </t>
  </si>
  <si>
    <t>Központi támogatások összesen (2014. évi C. törvény 2. és 3. melléklete szerint):</t>
  </si>
  <si>
    <t xml:space="preserve">         bd) Közutak fenntartásának támogatása</t>
  </si>
  <si>
    <t xml:space="preserve">1. c) Egyéb kötelező önkormányzati feladatok támogatása </t>
  </si>
  <si>
    <t>1. d)  Lakott külterülettel kapcsolatos feladatok támogatása</t>
  </si>
  <si>
    <t xml:space="preserve">1. e)  Üdülőhelyi feladatok  támgoatása </t>
  </si>
  <si>
    <t xml:space="preserve">             1. Óvodapedagógusok, és az óvodapedagógusok nevelő munkáját közvetlenül segítők bértámogatása</t>
  </si>
  <si>
    <t>4.  Köznevelési intézmények működtetéséhez kapcsolódó támogatás</t>
  </si>
  <si>
    <t>5.  Pedagógus II. kategóriába sorolt óvodapedagógusok kiegészítő támogatása</t>
  </si>
  <si>
    <t>1. Pénzbeli szociális ellátások kiegészítése</t>
  </si>
  <si>
    <t>2. Települési önkormányzatok szociális feladatainak egyéb támogatása</t>
  </si>
  <si>
    <t>3. Egyes szociális és gyermekjóléti feladatok támogatása</t>
  </si>
  <si>
    <t>4.  Telpülési önkormányzatok által biztosított egyes szociális szakosított ellátások támogatása: (Idősek otthona)</t>
  </si>
  <si>
    <t xml:space="preserve">          2015. évi felhalmozási célú bevételek </t>
  </si>
  <si>
    <t>Felhalmozási bevételek (saját bevételek)</t>
  </si>
  <si>
    <t>Vasivíz vízdíj használati díjak</t>
  </si>
  <si>
    <t>Felhalmozási célú támogatások államháztartáson belülről</t>
  </si>
  <si>
    <t>Egyéb felhalmozási célú átvett pénzeszközök</t>
  </si>
  <si>
    <t>Egyéb felhalmozási c visszatérítendő támogatások, kölcsönök</t>
  </si>
  <si>
    <t>FELHALMOZÁSI C. KÖLTSÉGVETÉSI BEVÉTELEK ÖSSZESEN:</t>
  </si>
  <si>
    <t>Előző évi maradvány felhalmozási c felhasználása</t>
  </si>
  <si>
    <t>FINANSZÍROZÁSI BEVÉTELEK ÖSSZESEN:</t>
  </si>
  <si>
    <t>Egyéb felhalmozási célú kiadások</t>
  </si>
  <si>
    <t>Felhalmozási célú visszatérítendő támogatások, kölcsönök nyújtása</t>
  </si>
  <si>
    <t>Egyéb felhalmozási célú támogatások államháztartáson belülre</t>
  </si>
  <si>
    <t>Egyéb felhalmozási célú támogatások államháztartáson kívülre</t>
  </si>
  <si>
    <t>Tartalékok</t>
  </si>
  <si>
    <t>FELHALMOZÁSI C. KÖLTSÉGVETÉSI KIADÁSOK ÖSSZESEN:</t>
  </si>
  <si>
    <t>FINANSZÍROZÁSI KIADÁSOK ÖSSZESEN:</t>
  </si>
  <si>
    <t>Hiteltörlesztések</t>
  </si>
  <si>
    <t>Finanszírozási kiadások:</t>
  </si>
  <si>
    <t>2015. évi eredeti előirányzat</t>
  </si>
  <si>
    <t xml:space="preserve">                - ebből felhalmozási célú állami támogatás </t>
  </si>
  <si>
    <t xml:space="preserve">     -  ebből egyéb felhalmozási c visszatérítendő támogatások, kölcsönök</t>
  </si>
  <si>
    <t xml:space="preserve">KÖLTSÉGVETÉSI BEVÉTELEK ÖSSZESEN: </t>
  </si>
  <si>
    <t>Működési célú költségvetési bevételek összesen:</t>
  </si>
  <si>
    <t>Felhalmozási célú költségvetési bevételek összesen:</t>
  </si>
  <si>
    <t xml:space="preserve">               -ebből működési célú maradvány</t>
  </si>
  <si>
    <t xml:space="preserve">               -ebből fejlesztési célú maradvány</t>
  </si>
  <si>
    <t xml:space="preserve">FINANSZÍROZÁSI BEVÉTELEK ÖSSZESEN: </t>
  </si>
  <si>
    <t xml:space="preserve">               -ebből elvonások, befizetések</t>
  </si>
  <si>
    <t>Működési célú költségvetési kiadások összesen:</t>
  </si>
  <si>
    <t>Felhalmozási célú költségvetési kiadások  összesen:</t>
  </si>
  <si>
    <t xml:space="preserve">KÖLTSÉGVETÉSI KIADÁSOK ÖSSZESEN: </t>
  </si>
  <si>
    <t xml:space="preserve">FINANSZÍROZÁSI CÉLÚ KIADÁSOK ÖSSZESEN: </t>
  </si>
  <si>
    <t xml:space="preserve">  - ebből állami támogatás önkormányzati feladatokhoz</t>
  </si>
  <si>
    <t xml:space="preserve">     -  ebből egyéb felhalmozási célú átvett pénzeszközök</t>
  </si>
  <si>
    <t>Működési célú támogatások álamháztartáson belülről</t>
  </si>
  <si>
    <t xml:space="preserve">Egyéb működési célú kiadások </t>
  </si>
  <si>
    <t xml:space="preserve">               -ebből tartalékok</t>
  </si>
  <si>
    <t>KIMUTATÁS</t>
  </si>
  <si>
    <t xml:space="preserve">I. </t>
  </si>
  <si>
    <t>Jurisics Vár turisztikai hasznosítása:</t>
  </si>
  <si>
    <t>Bevételek (források)</t>
  </si>
  <si>
    <t>Európai Unios forrás</t>
  </si>
  <si>
    <t>Kormányzati támogatás</t>
  </si>
  <si>
    <t>Egyéb támogatás</t>
  </si>
  <si>
    <t>Önkormányzat saját forrásaiból</t>
  </si>
  <si>
    <t>Kiadások:</t>
  </si>
  <si>
    <t>Egyéb kiadás</t>
  </si>
  <si>
    <t>Foglalkoztatási paktum II. pályázat</t>
  </si>
  <si>
    <t xml:space="preserve"> </t>
  </si>
  <si>
    <t>Kőszeg Város Önkormányzata 2015. évi költségvetésében európai uniós forrásból megvalósítandó projektek, fejlesztések:</t>
  </si>
  <si>
    <t>Erasmus+ pályázat</t>
  </si>
  <si>
    <t>*</t>
  </si>
  <si>
    <t>Várkör - Rajnis u. - Pék u. gyalogátkelőhely kialakítása</t>
  </si>
  <si>
    <t>Balog iskola tornacsarnok védőborítás (rendezvények céljára)</t>
  </si>
  <si>
    <t xml:space="preserve">Kőszegfalvi Klub fűtés korszerűsítés </t>
  </si>
  <si>
    <t>Petőfi tér részleges útfelújítás</t>
  </si>
  <si>
    <t>* A vonal alatt felsorolt felújítások, beruházások a források rendelkezésre állása esetén kerülhetnek megvalósításra, a felsorolás nem jelent automatikus sorrendet, mivel elindításukhoz egyedi döntés szükséges.</t>
  </si>
  <si>
    <t>2015.06.30. módosított előirányzat</t>
  </si>
  <si>
    <t>"</t>
  </si>
  <si>
    <t xml:space="preserve">Változás </t>
  </si>
  <si>
    <t>Változás</t>
  </si>
  <si>
    <t>6. A 2014. évről áthúzódó bérkompenzáció támogatása</t>
  </si>
  <si>
    <t>6. Szociális ágazati pótlék</t>
  </si>
  <si>
    <t>i) A települési önkormányzatok könyvtári célú érdekeltségnövelő támogatása</t>
  </si>
  <si>
    <t xml:space="preserve">A helyi önkormányzatok kiegészítő támogatásai  (2014. évi C. törvény 3. melléklete szerint)  </t>
  </si>
  <si>
    <t xml:space="preserve">A helyi önkormányzatok kiegészítő támogatásai összesen: </t>
  </si>
  <si>
    <t>I. Helyi önkormányzatok működési célú költségvetési támogatásai</t>
  </si>
  <si>
    <t>II. Helyi önkormányzatok felhalmozási célú költségvetési támogatásai</t>
  </si>
  <si>
    <t>III.  Önkormányzati fejezeti tartalék</t>
  </si>
  <si>
    <t xml:space="preserve">4. A települési önkormányzatok rendkívüli támogatása </t>
  </si>
  <si>
    <t xml:space="preserve">2015. évi bérkompenzáció </t>
  </si>
  <si>
    <t>3. Gyermekszegénység elleni program keretében nyári étkeztetés biztosítása</t>
  </si>
  <si>
    <t>22.</t>
  </si>
  <si>
    <t>ÁROP 1.A.3 pályázat informatikai eszközök</t>
  </si>
  <si>
    <t>Lóránt Gy. U. vízellátás tervezése</t>
  </si>
  <si>
    <t>23.</t>
  </si>
  <si>
    <t>Hagyománőrző játékok (Jurisics-vár Műv. Központ és Várszínház)</t>
  </si>
  <si>
    <t xml:space="preserve">Jurisich Miklós Gimnázium kollégium fürdőfelújítás 112/2015(V.28.) sz határozat alapján </t>
  </si>
  <si>
    <t>"2. melléklet a 3/2015. (II.13.) önkormányzati rendelethez</t>
  </si>
  <si>
    <t>"3. melléklet a  3/2015. (II.13.) önkormányzati rendelethez</t>
  </si>
  <si>
    <t>"4. melléklet a  3/2015. (II.13.) önkormányzati rendelethez</t>
  </si>
  <si>
    <t xml:space="preserve"> - ebből egyéb működési célú támogatás áht-n belülről</t>
  </si>
  <si>
    <t xml:space="preserve">               -ebből működési célú támogatások áht-n belülre</t>
  </si>
  <si>
    <t xml:space="preserve">               -ebből működési célú támogatások áht-n kívülre</t>
  </si>
  <si>
    <t xml:space="preserve">               -ebből felhalmozási c visszatérítendő tám., kölcsönök nyújtása</t>
  </si>
  <si>
    <t xml:space="preserve">               -ebből egyéb felhalmozási célú tám áht-n belülre</t>
  </si>
  <si>
    <t xml:space="preserve">               -ebből egyéb felhalmozási célú tám áht-n kívülre</t>
  </si>
  <si>
    <t>2015. évben</t>
  </si>
  <si>
    <t>2015.09.30. módosított előirányzat</t>
  </si>
  <si>
    <t>Módosított ei. 09.30.</t>
  </si>
  <si>
    <t>Az európai uniós támogatással megvalósuló programok, projektek bevételeiről és kiadásairól, valamint az önkormányzaton kívüli ilyen projektekhez való hozzájárulásról 2015. évben</t>
  </si>
  <si>
    <t>Kiegészítő szocilis ágazati pótlék</t>
  </si>
  <si>
    <r>
      <t xml:space="preserve">           </t>
    </r>
    <r>
      <rPr>
        <sz val="10"/>
        <rFont val="Times New Roman"/>
        <family val="1"/>
        <charset val="238"/>
      </rPr>
      <t xml:space="preserve"> 4. aa) Kötelező önkormányzati feladatot ellátó intézmények fejlesztése, felújítása</t>
    </r>
  </si>
  <si>
    <t xml:space="preserve">Központi Óvoda felújításának pályázati támogatás </t>
  </si>
  <si>
    <t xml:space="preserve">Kőszegi Városi Múzeum szoftverbeszerzés pályázati támogatás </t>
  </si>
  <si>
    <t>Kisértékű tárgyi eszköz beszerzések (Jurisics-vár Műv. Központ és Várszínház)</t>
  </si>
  <si>
    <t>Szellemi termék beszerzézése (Kőszegi Városi Múzeum)</t>
  </si>
  <si>
    <t>Támogatás                               összege                   2015. 01. 01.                                         (Ft)</t>
  </si>
  <si>
    <t>Támogatás                 összege                  2015. 06.30.             (Ft)</t>
  </si>
  <si>
    <t>Támogatás                    összege                      2015. 09.30.             (Ft)</t>
  </si>
  <si>
    <t>24.</t>
  </si>
  <si>
    <t>25.</t>
  </si>
  <si>
    <t>26.</t>
  </si>
  <si>
    <t>2015.12.31. módosított előirányzat</t>
  </si>
  <si>
    <t>Támogatás                    összege                      2015. 12.31.             (Ft)</t>
  </si>
  <si>
    <t>Módosított ei. 12.31.</t>
  </si>
  <si>
    <t xml:space="preserve">            7. a) Közművelődési érdekeltségnövelő támogatás</t>
  </si>
  <si>
    <t>IV.  Vis maior támogatás</t>
  </si>
  <si>
    <t xml:space="preserve">            8. d. Járásszékhely települési önkormányzatok által fenntartott múzeumok szakmai támogatása</t>
  </si>
  <si>
    <t xml:space="preserve">            Család és gyermekjóléti központok egyszeri támogatás </t>
  </si>
  <si>
    <t xml:space="preserve">Vízkárelhárítási terv </t>
  </si>
  <si>
    <t>Balog iskola lábazatfelújítása</t>
  </si>
  <si>
    <t>Érdekeltségnövelő pályázat támogatás és saját erőből beszerzett eszközök (Jurisics-vár Műv. Központ és Várszínház)</t>
  </si>
  <si>
    <t>Informatikai eszközök és egyéb tárgyi eszköz beszerzések (Kőszegi Városi Múzeum)</t>
  </si>
  <si>
    <t>Szociális Gondozási Központban kialakítandó  család és gyermekjóléti központhoz egyszeri felhalmozási támogatás átadása</t>
  </si>
  <si>
    <t>Jurisics-vár Művelődési Központ és Várszínház érdekeltségnevelő támogáta</t>
  </si>
  <si>
    <t>Szociális Gondozási Központban kialakítandó család és gyermekjóléti központ fejlesztési támogatása</t>
  </si>
  <si>
    <t xml:space="preserve"> ÁROP.-1.A.5.-2013-2013-0037 projekt szervezetfejlesztési projekt</t>
  </si>
  <si>
    <t xml:space="preserve"> ÁROP.-1.A.53-2014-2014-0019 projekt Esélyteremtési akcióprogram a Kőszegi Járásban</t>
  </si>
  <si>
    <t>Egészségház építése Kőszegen</t>
  </si>
  <si>
    <t>Egyéb bevétel</t>
  </si>
  <si>
    <t>2015. módosított ei.</t>
  </si>
  <si>
    <t>"1. melléklet a 3/2015. (II.13.) önkormányzati rendelethez</t>
  </si>
  <si>
    <t>"5. melléklet a  3/2015. (II.13.) önkormányzati rendelethez</t>
  </si>
  <si>
    <t>"7. melléklet a  3/2015. (II.13.) önkormányzati rendelethez</t>
  </si>
  <si>
    <t>TÁMOP kulturális szakember képzés (könyvtár)</t>
  </si>
  <si>
    <t>KŐ-KÖZ-MŰ projekt (Jurisics-vár)</t>
  </si>
  <si>
    <t>,</t>
  </si>
  <si>
    <t>5. melléklet a 12/2016. (IV. 29.) önkormányzati rendelethez</t>
  </si>
  <si>
    <t xml:space="preserve"> 1. melléklet a 12/2016. (IV. 29.) önkormányzati rendelethez</t>
  </si>
  <si>
    <t xml:space="preserve"> 2. melléklet a 12/2016. (IV. 29.) önkormányzati rendelethez</t>
  </si>
  <si>
    <t>3. melléklet a 12/2016. (IV. 29.) önkormányzati rendelethez</t>
  </si>
  <si>
    <t>4. melléklet a 12/2016. (IV. 29.) önkormányzati rendelethez</t>
  </si>
  <si>
    <t>6. melléklet a 12/2016. 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</si>
</sst>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1" x14ac:knownFonts="1">
    <font>
      <sz val="10"/>
      <name val="Arial CE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36" fillId="3" borderId="0" applyNumberFormat="0" applyBorder="0" applyAlignment="0" applyProtection="0"/>
    <xf numFmtId="0" fontId="45" fillId="7" borderId="1" applyNumberFormat="0" applyAlignment="0" applyProtection="0"/>
    <xf numFmtId="0" fontId="38" fillId="20" borderId="1" applyNumberFormat="0" applyAlignment="0" applyProtection="0"/>
    <xf numFmtId="0" fontId="29" fillId="21" borderId="2" applyNumberFormat="0" applyAlignment="0" applyProtection="0"/>
    <xf numFmtId="0" fontId="46" fillId="0" borderId="0" applyNumberFormat="0" applyFill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21" borderId="2" applyNumberFormat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24" fillId="7" borderId="1" applyNumberFormat="0" applyAlignment="0" applyProtection="0"/>
    <xf numFmtId="0" fontId="21" fillId="22" borderId="7" applyNumberFormat="0" applyFont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53" fillId="4" borderId="0" applyNumberFormat="0" applyBorder="0" applyAlignment="0" applyProtection="0"/>
    <xf numFmtId="0" fontId="54" fillId="20" borderId="8" applyNumberFormat="0" applyAlignment="0" applyProtection="0"/>
    <xf numFmtId="0" fontId="3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37" fillId="23" borderId="0" applyNumberFormat="0" applyBorder="0" applyAlignment="0" applyProtection="0"/>
    <xf numFmtId="0" fontId="2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22" fillId="22" borderId="7" applyNumberFormat="0" applyFont="0" applyAlignment="0" applyProtection="0"/>
    <xf numFmtId="0" fontId="33" fillId="20" borderId="8" applyNumberFormat="0" applyAlignment="0" applyProtection="0"/>
    <xf numFmtId="0" fontId="56" fillId="0" borderId="9" applyNumberFormat="0" applyFill="0" applyAlignment="0" applyProtection="0"/>
    <xf numFmtId="0" fontId="57" fillId="3" borderId="0" applyNumberFormat="0" applyBorder="0" applyAlignment="0" applyProtection="0"/>
    <xf numFmtId="0" fontId="58" fillId="23" borderId="0" applyNumberFormat="0" applyBorder="0" applyAlignment="0" applyProtection="0"/>
    <xf numFmtId="0" fontId="59" fillId="20" borderId="1" applyNumberFormat="0" applyAlignment="0" applyProtection="0"/>
    <xf numFmtId="0" fontId="25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222">
    <xf numFmtId="0" fontId="0" fillId="0" borderId="0" xfId="0"/>
    <xf numFmtId="0" fontId="4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2" fillId="0" borderId="0" xfId="0" applyFont="1" applyFill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8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3" fontId="4" fillId="0" borderId="0" xfId="0" applyNumberFormat="1" applyFont="1" applyFill="1" applyBorder="1"/>
    <xf numFmtId="0" fontId="4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17" fillId="0" borderId="0" xfId="0" applyFont="1" applyFill="1"/>
    <xf numFmtId="0" fontId="17" fillId="0" borderId="0" xfId="0" applyFont="1"/>
    <xf numFmtId="0" fontId="19" fillId="0" borderId="0" xfId="0" applyFont="1" applyFill="1"/>
    <xf numFmtId="0" fontId="19" fillId="0" borderId="0" xfId="0" applyFont="1"/>
    <xf numFmtId="0" fontId="1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17" fillId="0" borderId="0" xfId="0" applyFont="1" applyFill="1" applyAlignment="1">
      <alignment horizontal="center"/>
    </xf>
    <xf numFmtId="3" fontId="17" fillId="0" borderId="10" xfId="0" applyNumberFormat="1" applyFont="1" applyFill="1" applyBorder="1"/>
    <xf numFmtId="3" fontId="17" fillId="0" borderId="11" xfId="0" applyNumberFormat="1" applyFont="1" applyFill="1" applyBorder="1"/>
    <xf numFmtId="3" fontId="17" fillId="0" borderId="12" xfId="0" applyNumberFormat="1" applyFont="1" applyFill="1" applyBorder="1"/>
    <xf numFmtId="3" fontId="19" fillId="0" borderId="13" xfId="0" applyNumberFormat="1" applyFont="1" applyFill="1" applyBorder="1"/>
    <xf numFmtId="3" fontId="19" fillId="0" borderId="14" xfId="0" applyNumberFormat="1" applyFont="1" applyFill="1" applyBorder="1"/>
    <xf numFmtId="0" fontId="18" fillId="0" borderId="0" xfId="0" applyFont="1" applyAlignment="1">
      <alignment horizontal="left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center"/>
    </xf>
    <xf numFmtId="3" fontId="17" fillId="0" borderId="0" xfId="0" applyNumberFormat="1" applyFont="1" applyFill="1"/>
    <xf numFmtId="0" fontId="3" fillId="0" borderId="0" xfId="0" applyFont="1" applyAlignment="1">
      <alignment wrapText="1"/>
    </xf>
    <xf numFmtId="0" fontId="3" fillId="24" borderId="0" xfId="0" applyFont="1" applyFill="1"/>
    <xf numFmtId="0" fontId="3" fillId="25" borderId="0" xfId="0" applyFont="1" applyFill="1"/>
    <xf numFmtId="0" fontId="3" fillId="25" borderId="0" xfId="0" applyFont="1" applyFill="1" applyAlignment="1">
      <alignment wrapText="1"/>
    </xf>
    <xf numFmtId="0" fontId="3" fillId="24" borderId="0" xfId="0" applyFont="1" applyFill="1" applyAlignment="1">
      <alignment wrapText="1"/>
    </xf>
    <xf numFmtId="0" fontId="3" fillId="25" borderId="0" xfId="0" applyFont="1" applyFill="1" applyBorder="1" applyAlignment="1"/>
    <xf numFmtId="3" fontId="3" fillId="25" borderId="0" xfId="0" applyNumberFormat="1" applyFont="1" applyFill="1" applyBorder="1" applyAlignment="1">
      <alignment horizontal="right"/>
    </xf>
    <xf numFmtId="0" fontId="3" fillId="24" borderId="0" xfId="0" applyFont="1" applyFill="1" applyBorder="1" applyAlignment="1"/>
    <xf numFmtId="3" fontId="3" fillId="24" borderId="0" xfId="0" applyNumberFormat="1" applyFont="1" applyFill="1" applyBorder="1" applyAlignment="1">
      <alignment horizontal="right"/>
    </xf>
    <xf numFmtId="0" fontId="3" fillId="25" borderId="0" xfId="0" applyFont="1" applyFill="1" applyAlignment="1">
      <alignment vertical="center" wrapText="1"/>
    </xf>
    <xf numFmtId="0" fontId="3" fillId="24" borderId="0" xfId="0" applyFont="1" applyFill="1" applyAlignment="1">
      <alignment vertical="center" wrapText="1"/>
    </xf>
    <xf numFmtId="3" fontId="3" fillId="24" borderId="0" xfId="0" applyNumberFormat="1" applyFont="1" applyFill="1" applyAlignment="1">
      <alignment vertical="center"/>
    </xf>
    <xf numFmtId="3" fontId="3" fillId="25" borderId="0" xfId="0" applyNumberFormat="1" applyFont="1" applyFill="1" applyAlignment="1">
      <alignment vertical="center"/>
    </xf>
    <xf numFmtId="0" fontId="3" fillId="25" borderId="0" xfId="0" applyFont="1" applyFill="1" applyAlignment="1">
      <alignment vertical="top"/>
    </xf>
    <xf numFmtId="3" fontId="3" fillId="25" borderId="0" xfId="0" applyNumberFormat="1" applyFont="1" applyFill="1" applyAlignment="1"/>
    <xf numFmtId="3" fontId="3" fillId="24" borderId="0" xfId="0" applyNumberFormat="1" applyFont="1" applyFill="1" applyAlignment="1"/>
    <xf numFmtId="0" fontId="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77" applyFont="1" applyFill="1" applyAlignment="1">
      <alignment horizontal="left" vertical="top"/>
    </xf>
    <xf numFmtId="0" fontId="10" fillId="0" borderId="0" xfId="0" applyFont="1"/>
    <xf numFmtId="0" fontId="4" fillId="25" borderId="0" xfId="0" applyFont="1" applyFill="1" applyAlignment="1"/>
    <xf numFmtId="3" fontId="4" fillId="25" borderId="0" xfId="0" applyNumberFormat="1" applyFont="1" applyFill="1"/>
    <xf numFmtId="0" fontId="4" fillId="24" borderId="0" xfId="0" applyFont="1" applyFill="1" applyAlignment="1"/>
    <xf numFmtId="3" fontId="4" fillId="24" borderId="0" xfId="0" applyNumberFormat="1" applyFont="1" applyFill="1"/>
    <xf numFmtId="3" fontId="3" fillId="24" borderId="0" xfId="0" applyNumberFormat="1" applyFont="1" applyFill="1" applyAlignment="1">
      <alignment horizontal="right"/>
    </xf>
    <xf numFmtId="0" fontId="3" fillId="25" borderId="0" xfId="77" applyFont="1" applyFill="1" applyAlignment="1">
      <alignment horizontal="left" vertical="top"/>
    </xf>
    <xf numFmtId="0" fontId="3" fillId="25" borderId="0" xfId="77" applyFont="1" applyFill="1" applyBorder="1" applyAlignment="1">
      <alignment wrapText="1"/>
    </xf>
    <xf numFmtId="3" fontId="3" fillId="25" borderId="0" xfId="77" applyNumberFormat="1" applyFont="1" applyFill="1" applyBorder="1" applyAlignment="1">
      <alignment horizontal="right"/>
    </xf>
    <xf numFmtId="0" fontId="3" fillId="24" borderId="0" xfId="77" applyFont="1" applyFill="1" applyAlignment="1">
      <alignment horizontal="left" vertical="top"/>
    </xf>
    <xf numFmtId="3" fontId="3" fillId="25" borderId="0" xfId="0" applyNumberFormat="1" applyFont="1" applyFill="1" applyAlignment="1">
      <alignment horizontal="right"/>
    </xf>
    <xf numFmtId="0" fontId="3" fillId="24" borderId="0" xfId="77" applyFont="1" applyFill="1" applyAlignment="1">
      <alignment horizontal="left"/>
    </xf>
    <xf numFmtId="0" fontId="3" fillId="24" borderId="0" xfId="77" applyFont="1" applyFill="1" applyBorder="1" applyAlignment="1"/>
    <xf numFmtId="3" fontId="3" fillId="24" borderId="0" xfId="77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3" fontId="3" fillId="0" borderId="0" xfId="76" applyNumberFormat="1" applyFont="1" applyFill="1" applyAlignment="1">
      <alignment vertical="top"/>
    </xf>
    <xf numFmtId="0" fontId="3" fillId="0" borderId="0" xfId="76" applyFont="1" applyFill="1" applyAlignment="1">
      <alignment vertical="top"/>
    </xf>
    <xf numFmtId="0" fontId="2" fillId="0" borderId="0" xfId="78" applyFont="1" applyFill="1" applyBorder="1"/>
    <xf numFmtId="3" fontId="3" fillId="0" borderId="0" xfId="76" applyNumberFormat="1" applyFont="1" applyFill="1"/>
    <xf numFmtId="0" fontId="3" fillId="0" borderId="0" xfId="76" applyFont="1" applyFill="1"/>
    <xf numFmtId="0" fontId="2" fillId="0" borderId="0" xfId="76" applyFont="1" applyFill="1"/>
    <xf numFmtId="3" fontId="20" fillId="0" borderId="0" xfId="76" applyNumberFormat="1" applyFont="1" applyFill="1" applyAlignment="1">
      <alignment horizontal="center" wrapText="1"/>
    </xf>
    <xf numFmtId="0" fontId="12" fillId="0" borderId="0" xfId="76" applyFont="1" applyFill="1"/>
    <xf numFmtId="0" fontId="4" fillId="0" borderId="0" xfId="76" applyFont="1" applyFill="1"/>
    <xf numFmtId="3" fontId="4" fillId="0" borderId="0" xfId="76" applyNumberFormat="1" applyFont="1" applyFill="1"/>
    <xf numFmtId="0" fontId="5" fillId="0" borderId="0" xfId="76" applyFont="1" applyFill="1"/>
    <xf numFmtId="0" fontId="6" fillId="26" borderId="0" xfId="76" applyFont="1" applyFill="1" applyBorder="1" applyAlignment="1">
      <alignment horizontal="left"/>
    </xf>
    <xf numFmtId="3" fontId="3" fillId="26" borderId="0" xfId="76" applyNumberFormat="1" applyFont="1" applyFill="1" applyBorder="1"/>
    <xf numFmtId="0" fontId="5" fillId="0" borderId="0" xfId="76" applyFont="1" applyFill="1" applyBorder="1" applyAlignment="1">
      <alignment horizontal="left" wrapText="1" indent="3"/>
    </xf>
    <xf numFmtId="0" fontId="5" fillId="0" borderId="0" xfId="76" applyFont="1" applyFill="1" applyBorder="1" applyAlignment="1">
      <alignment horizontal="left" indent="3"/>
    </xf>
    <xf numFmtId="0" fontId="3" fillId="0" borderId="0" xfId="76" applyFont="1" applyFill="1" applyBorder="1" applyAlignment="1">
      <alignment horizontal="left" wrapText="1" indent="3"/>
    </xf>
    <xf numFmtId="0" fontId="3" fillId="0" borderId="0" xfId="76" applyFont="1" applyFill="1" applyBorder="1" applyAlignment="1">
      <alignment horizontal="left" indent="3"/>
    </xf>
    <xf numFmtId="0" fontId="4" fillId="26" borderId="0" xfId="76" applyFont="1" applyFill="1" applyBorder="1" applyAlignment="1">
      <alignment wrapText="1"/>
    </xf>
    <xf numFmtId="3" fontId="3" fillId="26" borderId="0" xfId="76" applyNumberFormat="1" applyFont="1" applyFill="1"/>
    <xf numFmtId="0" fontId="5" fillId="0" borderId="0" xfId="76" applyFont="1" applyFill="1" applyBorder="1" applyAlignment="1">
      <alignment wrapText="1"/>
    </xf>
    <xf numFmtId="2" fontId="5" fillId="0" borderId="0" xfId="76" applyNumberFormat="1" applyFont="1" applyFill="1" applyBorder="1" applyAlignment="1">
      <alignment horizontal="left" wrapText="1" indent="3"/>
    </xf>
    <xf numFmtId="0" fontId="3" fillId="0" borderId="0" xfId="76" applyFont="1" applyFill="1" applyBorder="1"/>
    <xf numFmtId="0" fontId="15" fillId="0" borderId="0" xfId="76" applyFont="1" applyFill="1" applyBorder="1" applyAlignment="1">
      <alignment wrapText="1"/>
    </xf>
    <xf numFmtId="0" fontId="7" fillId="0" borderId="0" xfId="76" applyFont="1" applyFill="1"/>
    <xf numFmtId="0" fontId="6" fillId="0" borderId="0" xfId="76" applyFont="1" applyFill="1" applyAlignment="1">
      <alignment horizontal="right"/>
    </xf>
    <xf numFmtId="0" fontId="7" fillId="0" borderId="0" xfId="76" applyFont="1" applyFill="1" applyAlignment="1">
      <alignment horizontal="right"/>
    </xf>
    <xf numFmtId="0" fontId="15" fillId="0" borderId="0" xfId="76" applyFont="1" applyFill="1"/>
    <xf numFmtId="0" fontId="39" fillId="0" borderId="0" xfId="76" applyFont="1" applyFill="1"/>
    <xf numFmtId="0" fontId="4" fillId="0" borderId="0" xfId="76" applyFont="1" applyFill="1" applyAlignment="1"/>
    <xf numFmtId="0" fontId="15" fillId="27" borderId="0" xfId="76" applyFont="1" applyFill="1" applyBorder="1"/>
    <xf numFmtId="3" fontId="15" fillId="27" borderId="0" xfId="76" applyNumberFormat="1" applyFont="1" applyFill="1"/>
    <xf numFmtId="0" fontId="15" fillId="27" borderId="0" xfId="76" applyFont="1" applyFill="1" applyBorder="1" applyAlignment="1">
      <alignment wrapText="1"/>
    </xf>
    <xf numFmtId="3" fontId="15" fillId="27" borderId="0" xfId="76" applyNumberFormat="1" applyFont="1" applyFill="1" applyBorder="1" applyAlignment="1">
      <alignment wrapText="1"/>
    </xf>
    <xf numFmtId="0" fontId="12" fillId="25" borderId="0" xfId="76" applyFont="1" applyFill="1"/>
    <xf numFmtId="3" fontId="12" fillId="25" borderId="0" xfId="76" applyNumberFormat="1" applyFont="1" applyFill="1"/>
    <xf numFmtId="0" fontId="17" fillId="0" borderId="15" xfId="0" applyFont="1" applyFill="1" applyBorder="1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4" fillId="0" borderId="0" xfId="76" applyFont="1" applyFill="1" applyBorder="1" applyAlignment="1">
      <alignment horizontal="left" wrapText="1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vertical="top"/>
    </xf>
    <xf numFmtId="3" fontId="5" fillId="0" borderId="0" xfId="0" applyNumberFormat="1" applyFont="1" applyFill="1"/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9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wrapText="1"/>
    </xf>
    <xf numFmtId="3" fontId="17" fillId="0" borderId="18" xfId="0" applyNumberFormat="1" applyFont="1" applyFill="1" applyBorder="1"/>
    <xf numFmtId="0" fontId="19" fillId="0" borderId="19" xfId="0" applyFont="1" applyFill="1" applyBorder="1" applyAlignment="1">
      <alignment horizontal="center" vertical="center"/>
    </xf>
    <xf numFmtId="0" fontId="17" fillId="0" borderId="20" xfId="0" applyFont="1" applyFill="1" applyBorder="1"/>
    <xf numFmtId="0" fontId="19" fillId="0" borderId="21" xfId="0" applyFont="1" applyFill="1" applyBorder="1"/>
    <xf numFmtId="3" fontId="17" fillId="0" borderId="22" xfId="0" applyNumberFormat="1" applyFont="1" applyFill="1" applyBorder="1"/>
    <xf numFmtId="0" fontId="17" fillId="0" borderId="23" xfId="0" applyFont="1" applyFill="1" applyBorder="1"/>
    <xf numFmtId="0" fontId="19" fillId="0" borderId="24" xfId="0" applyFont="1" applyFill="1" applyBorder="1"/>
    <xf numFmtId="3" fontId="19" fillId="0" borderId="25" xfId="0" applyNumberFormat="1" applyFont="1" applyFill="1" applyBorder="1"/>
    <xf numFmtId="0" fontId="19" fillId="0" borderId="19" xfId="0" applyFont="1" applyFill="1" applyBorder="1"/>
    <xf numFmtId="0" fontId="17" fillId="0" borderId="15" xfId="0" applyFont="1" applyFill="1" applyBorder="1" applyAlignment="1">
      <alignment wrapText="1"/>
    </xf>
    <xf numFmtId="0" fontId="17" fillId="0" borderId="26" xfId="0" applyFont="1" applyFill="1" applyBorder="1"/>
    <xf numFmtId="0" fontId="40" fillId="0" borderId="20" xfId="0" applyFont="1" applyFill="1" applyBorder="1"/>
    <xf numFmtId="3" fontId="40" fillId="0" borderId="11" xfId="0" applyNumberFormat="1" applyFont="1" applyFill="1" applyBorder="1"/>
    <xf numFmtId="3" fontId="40" fillId="0" borderId="12" xfId="0" applyNumberFormat="1" applyFont="1" applyFill="1" applyBorder="1"/>
    <xf numFmtId="0" fontId="40" fillId="0" borderId="27" xfId="0" applyFont="1" applyFill="1" applyBorder="1"/>
    <xf numFmtId="3" fontId="40" fillId="0" borderId="22" xfId="0" applyNumberFormat="1" applyFont="1" applyFill="1" applyBorder="1"/>
    <xf numFmtId="3" fontId="40" fillId="0" borderId="10" xfId="0" applyNumberFormat="1" applyFont="1" applyFill="1" applyBorder="1"/>
    <xf numFmtId="3" fontId="18" fillId="0" borderId="13" xfId="0" applyNumberFormat="1" applyFont="1" applyFill="1" applyBorder="1"/>
    <xf numFmtId="0" fontId="18" fillId="0" borderId="24" xfId="0" applyFont="1" applyFill="1" applyBorder="1" applyAlignment="1">
      <alignment wrapText="1"/>
    </xf>
    <xf numFmtId="0" fontId="40" fillId="0" borderId="20" xfId="0" applyFont="1" applyFill="1" applyBorder="1" applyAlignment="1">
      <alignment horizontal="left" wrapText="1" indent="2"/>
    </xf>
    <xf numFmtId="0" fontId="40" fillId="0" borderId="20" xfId="0" applyFont="1" applyFill="1" applyBorder="1" applyAlignment="1">
      <alignment horizontal="left" indent="2"/>
    </xf>
    <xf numFmtId="3" fontId="3" fillId="25" borderId="0" xfId="0" applyNumberFormat="1" applyFont="1" applyFill="1"/>
    <xf numFmtId="3" fontId="17" fillId="0" borderId="0" xfId="0" applyNumberFormat="1" applyFont="1"/>
    <xf numFmtId="0" fontId="2" fillId="0" borderId="0" xfId="0" applyFont="1" applyAlignment="1">
      <alignment horizontal="right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3" fontId="18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top"/>
    </xf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2" fillId="0" borderId="0" xfId="0" applyFont="1"/>
    <xf numFmtId="3" fontId="4" fillId="0" borderId="0" xfId="0" applyNumberFormat="1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19" fillId="0" borderId="0" xfId="0" applyFont="1" applyAlignment="1">
      <alignment wrapText="1"/>
    </xf>
    <xf numFmtId="0" fontId="3" fillId="25" borderId="0" xfId="0" applyFont="1" applyFill="1" applyAlignment="1"/>
    <xf numFmtId="0" fontId="19" fillId="0" borderId="24" xfId="0" applyFont="1" applyFill="1" applyBorder="1" applyAlignment="1">
      <alignment horizont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3" fontId="13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3" fillId="25" borderId="0" xfId="0" applyFont="1" applyFill="1" applyBorder="1" applyAlignment="1">
      <alignment vertical="top"/>
    </xf>
    <xf numFmtId="0" fontId="3" fillId="25" borderId="0" xfId="0" applyFont="1" applyFill="1" applyBorder="1" applyAlignment="1">
      <alignment wrapText="1"/>
    </xf>
    <xf numFmtId="3" fontId="3" fillId="25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/>
    <xf numFmtId="0" fontId="2" fillId="25" borderId="0" xfId="0" applyFont="1" applyFill="1" applyAlignment="1">
      <alignment horizontal="center"/>
    </xf>
    <xf numFmtId="3" fontId="3" fillId="25" borderId="0" xfId="0" applyNumberFormat="1" applyFont="1" applyFill="1" applyBorder="1"/>
    <xf numFmtId="0" fontId="3" fillId="25" borderId="0" xfId="0" applyFont="1" applyFill="1" applyAlignment="1">
      <alignment horizontal="right"/>
    </xf>
    <xf numFmtId="3" fontId="3" fillId="24" borderId="0" xfId="0" applyNumberFormat="1" applyFont="1" applyFill="1" applyBorder="1"/>
    <xf numFmtId="0" fontId="4" fillId="0" borderId="0" xfId="76" applyFont="1" applyFill="1" applyBorder="1" applyAlignment="1">
      <alignment wrapText="1"/>
    </xf>
    <xf numFmtId="0" fontId="4" fillId="0" borderId="0" xfId="76" applyFont="1" applyFill="1" applyBorder="1" applyAlignment="1">
      <alignment horizontal="right" wrapText="1"/>
    </xf>
    <xf numFmtId="0" fontId="3" fillId="0" borderId="0" xfId="76" applyFont="1" applyFill="1" applyBorder="1" applyAlignment="1">
      <alignment horizontal="left" wrapText="1"/>
    </xf>
    <xf numFmtId="3" fontId="3" fillId="0" borderId="0" xfId="76" applyNumberFormat="1" applyFont="1" applyFill="1" applyBorder="1" applyAlignment="1">
      <alignment horizontal="right" wrapText="1"/>
    </xf>
    <xf numFmtId="0" fontId="40" fillId="0" borderId="20" xfId="0" applyFont="1" applyFill="1" applyBorder="1" applyAlignment="1">
      <alignment wrapText="1"/>
    </xf>
    <xf numFmtId="3" fontId="3" fillId="24" borderId="0" xfId="0" applyNumberFormat="1" applyFont="1" applyFill="1"/>
    <xf numFmtId="0" fontId="5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3" fillId="0" borderId="0" xfId="76" applyFont="1" applyFill="1" applyBorder="1" applyAlignment="1">
      <alignment wrapText="1"/>
    </xf>
    <xf numFmtId="0" fontId="3" fillId="25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4" fontId="3" fillId="0" borderId="0" xfId="0" applyNumberFormat="1" applyFont="1" applyFill="1" applyBorder="1"/>
    <xf numFmtId="4" fontId="4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left" wrapText="1"/>
    </xf>
    <xf numFmtId="0" fontId="3" fillId="25" borderId="0" xfId="0" applyFont="1" applyFill="1" applyAlignment="1">
      <alignment vertical="top" wrapText="1"/>
    </xf>
    <xf numFmtId="3" fontId="3" fillId="25" borderId="0" xfId="0" applyNumberFormat="1" applyFont="1" applyFill="1" applyAlignment="1">
      <alignment vertical="top"/>
    </xf>
    <xf numFmtId="0" fontId="2" fillId="0" borderId="0" xfId="75" applyFont="1" applyFill="1" applyAlignment="1">
      <alignment wrapText="1"/>
    </xf>
    <xf numFmtId="0" fontId="2" fillId="0" borderId="0" xfId="75" applyFont="1" applyAlignment="1">
      <alignment wrapText="1"/>
    </xf>
    <xf numFmtId="0" fontId="9" fillId="0" borderId="0" xfId="0" applyFont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76" applyFont="1" applyFill="1" applyBorder="1" applyAlignment="1">
      <alignment horizontal="left" wrapText="1"/>
    </xf>
    <xf numFmtId="0" fontId="4" fillId="0" borderId="0" xfId="76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</cellXfs>
  <cellStyles count="8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elölőszín (1)" xfId="63" builtinId="29" customBuiltin="1"/>
    <cellStyle name="Jelölőszín (2)" xfId="64" builtinId="33" customBuiltin="1"/>
    <cellStyle name="Jelölőszín (3)" xfId="65" builtinId="37" customBuiltin="1"/>
    <cellStyle name="Jelölőszín (4)" xfId="66" builtinId="41" customBuiltin="1"/>
    <cellStyle name="Jelölőszín (5)" xfId="67" builtinId="45" customBuiltin="1"/>
    <cellStyle name="Jelölőszín (6)" xfId="68" builtinId="49" customBuiltin="1"/>
    <cellStyle name="Jó" xfId="69" builtinId="26" customBuiltin="1"/>
    <cellStyle name="Kimenet" xfId="70" builtinId="21" customBuiltin="1"/>
    <cellStyle name="Linked Cell" xfId="71"/>
    <cellStyle name="Magyarázó szöveg" xfId="72" builtinId="53" customBuiltin="1"/>
    <cellStyle name="Neutral" xfId="73"/>
    <cellStyle name="Normál" xfId="0" builtinId="0"/>
    <cellStyle name="Normál 2" xfId="74"/>
    <cellStyle name="Normál 3" xfId="75"/>
    <cellStyle name="Normál_2013. költségvetés mell" xfId="76"/>
    <cellStyle name="Normál_melléklet összesen_2012. koncepció kiegészítő táblázatok" xfId="77"/>
    <cellStyle name="Normál_R_2MELL" xfId="78"/>
    <cellStyle name="Note" xfId="79"/>
    <cellStyle name="Output" xfId="80"/>
    <cellStyle name="Összesen" xfId="81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/>
    <cellStyle name="Total" xfId="86"/>
    <cellStyle name="Warning Text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topLeftCell="B4" zoomScaleNormal="100" workbookViewId="0">
      <selection activeCell="E34" sqref="E34"/>
    </sheetView>
  </sheetViews>
  <sheetFormatPr defaultRowHeight="12.75" x14ac:dyDescent="0.2"/>
  <cols>
    <col min="1" max="1" width="12" style="25" customWidth="1"/>
    <col min="2" max="2" width="12.28515625" style="25" customWidth="1"/>
    <col min="3" max="3" width="6" style="23" customWidth="1"/>
    <col min="4" max="4" width="37.140625" style="23" customWidth="1"/>
    <col min="5" max="16384" width="9.140625" style="23"/>
  </cols>
  <sheetData>
    <row r="1" spans="1:6" ht="18.75" customHeight="1" x14ac:dyDescent="0.2"/>
    <row r="2" spans="1:6" ht="15.75" x14ac:dyDescent="0.25">
      <c r="A2" s="205" t="s">
        <v>43</v>
      </c>
      <c r="B2" s="205"/>
      <c r="C2" s="205"/>
      <c r="D2" s="205"/>
      <c r="E2" s="205"/>
      <c r="F2" s="205"/>
    </row>
    <row r="3" spans="1:6" x14ac:dyDescent="0.2">
      <c r="A3" s="29"/>
      <c r="B3" s="29"/>
      <c r="C3" s="27"/>
      <c r="D3" s="27"/>
      <c r="E3" s="27"/>
      <c r="F3" s="27"/>
    </row>
    <row r="4" spans="1:6" ht="27.75" customHeight="1" x14ac:dyDescent="0.2">
      <c r="A4" s="29"/>
      <c r="B4" s="29"/>
      <c r="C4" s="27"/>
      <c r="D4" s="27"/>
      <c r="E4" s="27"/>
      <c r="F4" s="27"/>
    </row>
    <row r="5" spans="1:6" x14ac:dyDescent="0.2">
      <c r="A5" s="30" t="s">
        <v>44</v>
      </c>
      <c r="B5" s="30"/>
      <c r="C5" s="27"/>
      <c r="D5" s="27"/>
      <c r="E5" s="27"/>
      <c r="F5" s="27"/>
    </row>
    <row r="6" spans="1:6" x14ac:dyDescent="0.2">
      <c r="A6" s="30"/>
      <c r="B6" s="30" t="s">
        <v>45</v>
      </c>
      <c r="C6" s="27"/>
      <c r="D6" s="27"/>
      <c r="E6" s="27"/>
      <c r="F6" s="27"/>
    </row>
    <row r="7" spans="1:6" ht="25.5" customHeight="1" x14ac:dyDescent="0.2">
      <c r="A7" s="30"/>
      <c r="B7" s="30" t="s">
        <v>6</v>
      </c>
      <c r="C7" s="31"/>
      <c r="D7" s="32" t="s">
        <v>97</v>
      </c>
      <c r="E7" s="27"/>
      <c r="F7" s="27"/>
    </row>
    <row r="8" spans="1:6" ht="25.5" customHeight="1" x14ac:dyDescent="0.2">
      <c r="A8" s="30"/>
      <c r="B8" s="30" t="s">
        <v>7</v>
      </c>
      <c r="C8" s="31"/>
      <c r="D8" s="41" t="s">
        <v>46</v>
      </c>
      <c r="E8" s="27"/>
      <c r="F8" s="27"/>
    </row>
    <row r="9" spans="1:6" ht="25.5" customHeight="1" x14ac:dyDescent="0.2">
      <c r="A9" s="30"/>
      <c r="B9" s="30" t="s">
        <v>8</v>
      </c>
      <c r="C9" s="31"/>
      <c r="D9" s="25" t="s">
        <v>159</v>
      </c>
      <c r="E9" s="27"/>
      <c r="F9" s="27"/>
    </row>
    <row r="10" spans="1:6" ht="25.5" customHeight="1" x14ac:dyDescent="0.2">
      <c r="A10" s="30"/>
      <c r="B10" s="30" t="s">
        <v>9</v>
      </c>
      <c r="C10" s="31"/>
      <c r="D10" s="41" t="s">
        <v>62</v>
      </c>
      <c r="E10" s="27"/>
      <c r="F10" s="27"/>
    </row>
    <row r="11" spans="1:6" ht="25.5" customHeight="1" x14ac:dyDescent="0.2">
      <c r="A11" s="30"/>
      <c r="B11" s="30" t="s">
        <v>10</v>
      </c>
      <c r="C11" s="31"/>
      <c r="D11" s="41" t="s">
        <v>48</v>
      </c>
      <c r="E11" s="27"/>
      <c r="F11" s="27"/>
    </row>
    <row r="12" spans="1:6" ht="25.5" customHeight="1" x14ac:dyDescent="0.2">
      <c r="A12" s="30" t="s">
        <v>1</v>
      </c>
      <c r="B12" s="29"/>
      <c r="C12" s="27"/>
      <c r="D12" s="32" t="s">
        <v>49</v>
      </c>
      <c r="E12" s="27"/>
      <c r="F12" s="27"/>
    </row>
    <row r="13" spans="1:6" x14ac:dyDescent="0.2">
      <c r="A13" s="29"/>
      <c r="B13" s="29"/>
      <c r="C13" s="27"/>
      <c r="D13" s="27"/>
      <c r="E13" s="27"/>
      <c r="F13" s="27"/>
    </row>
    <row r="14" spans="1:6" x14ac:dyDescent="0.2">
      <c r="A14" s="29"/>
      <c r="B14" s="29"/>
      <c r="C14" s="27"/>
      <c r="D14" s="27"/>
      <c r="E14" s="27"/>
      <c r="F14" s="27"/>
    </row>
    <row r="15" spans="1:6" x14ac:dyDescent="0.2">
      <c r="A15" s="29"/>
      <c r="B15" s="29"/>
      <c r="C15" s="27"/>
      <c r="D15" s="27"/>
      <c r="E15" s="27"/>
      <c r="F15" s="27"/>
    </row>
    <row r="16" spans="1:6" x14ac:dyDescent="0.2">
      <c r="A16" s="29"/>
      <c r="B16" s="29"/>
      <c r="C16" s="27"/>
      <c r="D16" s="27"/>
      <c r="E16" s="27"/>
      <c r="F16" s="27"/>
    </row>
    <row r="17" spans="1:17" x14ac:dyDescent="0.2">
      <c r="A17" s="29"/>
      <c r="B17" s="29"/>
      <c r="C17" s="27"/>
      <c r="D17" s="27"/>
      <c r="E17" s="27"/>
      <c r="F17" s="27"/>
    </row>
    <row r="18" spans="1:17" x14ac:dyDescent="0.2">
      <c r="A18" s="29"/>
      <c r="B18" s="29"/>
      <c r="C18" s="27"/>
      <c r="D18" s="27"/>
      <c r="E18" s="27"/>
      <c r="F18" s="27"/>
    </row>
    <row r="19" spans="1:17" x14ac:dyDescent="0.2">
      <c r="A19" s="29"/>
      <c r="B19" s="29"/>
      <c r="C19" s="27"/>
      <c r="D19" s="27"/>
      <c r="E19" s="27"/>
      <c r="F19" s="27"/>
      <c r="Q19" s="23" t="s">
        <v>324</v>
      </c>
    </row>
    <row r="20" spans="1:17" x14ac:dyDescent="0.2">
      <c r="A20" s="29"/>
      <c r="B20" s="29"/>
      <c r="C20" s="27"/>
      <c r="D20" s="27"/>
      <c r="E20" s="27"/>
      <c r="F20" s="27"/>
    </row>
    <row r="21" spans="1:17" x14ac:dyDescent="0.2">
      <c r="A21" s="29"/>
      <c r="B21" s="29"/>
      <c r="C21" s="27"/>
      <c r="D21" s="27"/>
      <c r="E21" s="27"/>
      <c r="F21" s="27"/>
    </row>
    <row r="22" spans="1:17" x14ac:dyDescent="0.2">
      <c r="A22" s="29"/>
      <c r="B22" s="29"/>
      <c r="C22" s="27"/>
      <c r="D22" s="27"/>
      <c r="E22" s="27"/>
      <c r="F22" s="27"/>
    </row>
    <row r="23" spans="1:17" x14ac:dyDescent="0.2">
      <c r="A23" s="29"/>
      <c r="B23" s="29"/>
      <c r="C23" s="27"/>
      <c r="D23" s="27"/>
      <c r="E23" s="27"/>
      <c r="F23" s="27"/>
    </row>
    <row r="24" spans="1:17" x14ac:dyDescent="0.2">
      <c r="A24" s="29"/>
      <c r="B24" s="29"/>
      <c r="C24" s="27"/>
      <c r="D24" s="27"/>
      <c r="E24" s="27"/>
      <c r="F24" s="27"/>
    </row>
    <row r="25" spans="1:17" x14ac:dyDescent="0.2">
      <c r="A25" s="29"/>
      <c r="B25" s="29"/>
      <c r="C25" s="27"/>
      <c r="D25" s="27"/>
      <c r="E25" s="27"/>
      <c r="F25" s="27"/>
    </row>
    <row r="26" spans="1:17" x14ac:dyDescent="0.2">
      <c r="A26" s="29"/>
      <c r="B26" s="29"/>
      <c r="C26" s="27"/>
      <c r="D26" s="27"/>
      <c r="E26" s="27"/>
      <c r="F26" s="27"/>
    </row>
    <row r="27" spans="1:17" x14ac:dyDescent="0.2">
      <c r="A27" s="29"/>
      <c r="B27" s="29"/>
      <c r="C27" s="27"/>
      <c r="D27" s="27"/>
      <c r="E27" s="27"/>
      <c r="F27" s="27"/>
    </row>
    <row r="28" spans="1:17" x14ac:dyDescent="0.2">
      <c r="A28" s="29"/>
      <c r="B28" s="29"/>
      <c r="C28" s="27"/>
      <c r="D28" s="27"/>
      <c r="E28" s="27"/>
      <c r="F28" s="27"/>
    </row>
    <row r="29" spans="1:17" x14ac:dyDescent="0.2">
      <c r="A29" s="29"/>
      <c r="B29" s="29"/>
      <c r="C29" s="27"/>
      <c r="D29" s="27"/>
      <c r="E29" s="27"/>
      <c r="F29" s="27"/>
    </row>
    <row r="30" spans="1:17" x14ac:dyDescent="0.2">
      <c r="A30" s="29"/>
      <c r="B30" s="29"/>
      <c r="C30" s="27"/>
      <c r="D30" s="27"/>
      <c r="E30" s="27"/>
      <c r="F30" s="27"/>
    </row>
    <row r="31" spans="1:17" x14ac:dyDescent="0.2">
      <c r="A31" s="29"/>
      <c r="B31" s="29"/>
      <c r="C31" s="27"/>
      <c r="D31" s="27"/>
      <c r="E31" s="27"/>
      <c r="F31" s="27"/>
    </row>
    <row r="32" spans="1:17" x14ac:dyDescent="0.2">
      <c r="A32" s="29"/>
      <c r="B32" s="29"/>
      <c r="C32" s="27"/>
      <c r="D32" s="27"/>
      <c r="E32" s="27"/>
      <c r="F32" s="27"/>
    </row>
    <row r="33" spans="1:6" x14ac:dyDescent="0.2">
      <c r="A33" s="29"/>
      <c r="B33" s="29"/>
      <c r="C33" s="27"/>
      <c r="D33" s="27"/>
      <c r="E33" s="27"/>
      <c r="F33" s="27"/>
    </row>
    <row r="34" spans="1:6" x14ac:dyDescent="0.2">
      <c r="A34" s="29"/>
      <c r="B34" s="29"/>
      <c r="C34" s="27"/>
      <c r="D34" s="27"/>
      <c r="E34" s="27"/>
      <c r="F34" s="27"/>
    </row>
    <row r="35" spans="1:6" x14ac:dyDescent="0.2">
      <c r="A35" s="29"/>
      <c r="B35" s="29"/>
      <c r="C35" s="27"/>
      <c r="D35" s="27"/>
      <c r="E35" s="27"/>
      <c r="F35" s="27"/>
    </row>
    <row r="36" spans="1:6" x14ac:dyDescent="0.2">
      <c r="A36" s="29"/>
      <c r="B36" s="29"/>
      <c r="C36" s="27"/>
      <c r="D36" s="27"/>
      <c r="E36" s="27"/>
      <c r="F36" s="27"/>
    </row>
    <row r="37" spans="1:6" x14ac:dyDescent="0.2">
      <c r="A37" s="29"/>
      <c r="B37" s="29"/>
      <c r="C37" s="27"/>
      <c r="D37" s="27"/>
      <c r="E37" s="27"/>
      <c r="F37" s="27"/>
    </row>
    <row r="38" spans="1:6" x14ac:dyDescent="0.2">
      <c r="A38" s="29"/>
      <c r="B38" s="29"/>
      <c r="C38" s="27"/>
      <c r="D38" s="27"/>
      <c r="E38" s="27"/>
      <c r="F38" s="27"/>
    </row>
    <row r="39" spans="1:6" x14ac:dyDescent="0.2">
      <c r="A39" s="29"/>
      <c r="B39" s="29"/>
      <c r="C39" s="27"/>
      <c r="D39" s="27"/>
      <c r="E39" s="27"/>
      <c r="F39" s="27"/>
    </row>
    <row r="40" spans="1:6" x14ac:dyDescent="0.2">
      <c r="A40" s="29"/>
      <c r="B40" s="29"/>
      <c r="C40" s="27"/>
      <c r="D40" s="27"/>
      <c r="E40" s="27"/>
      <c r="F40" s="27"/>
    </row>
    <row r="41" spans="1:6" x14ac:dyDescent="0.2">
      <c r="A41" s="29"/>
      <c r="B41" s="29"/>
      <c r="C41" s="27"/>
      <c r="D41" s="27"/>
      <c r="E41" s="27"/>
      <c r="F41" s="27"/>
    </row>
    <row r="42" spans="1:6" x14ac:dyDescent="0.2">
      <c r="A42" s="29"/>
      <c r="B42" s="29"/>
      <c r="C42" s="27"/>
      <c r="D42" s="27"/>
      <c r="E42" s="27"/>
      <c r="F42" s="27"/>
    </row>
    <row r="43" spans="1:6" x14ac:dyDescent="0.2">
      <c r="A43" s="29"/>
      <c r="B43" s="29"/>
      <c r="C43" s="27"/>
      <c r="D43" s="27"/>
      <c r="E43" s="27"/>
      <c r="F43" s="27"/>
    </row>
    <row r="44" spans="1:6" x14ac:dyDescent="0.2">
      <c r="A44" s="29"/>
      <c r="B44" s="29"/>
      <c r="C44" s="27"/>
      <c r="D44" s="27"/>
      <c r="E44" s="27"/>
      <c r="F44" s="27"/>
    </row>
    <row r="45" spans="1:6" x14ac:dyDescent="0.2">
      <c r="A45" s="29"/>
      <c r="B45" s="29"/>
      <c r="C45" s="27"/>
      <c r="D45" s="27"/>
      <c r="E45" s="27"/>
      <c r="F45" s="27"/>
    </row>
    <row r="46" spans="1:6" x14ac:dyDescent="0.2">
      <c r="A46" s="29"/>
      <c r="B46" s="29"/>
      <c r="C46" s="27"/>
      <c r="D46" s="27"/>
      <c r="E46" s="27"/>
      <c r="F46" s="27"/>
    </row>
    <row r="47" spans="1:6" x14ac:dyDescent="0.2">
      <c r="A47" s="29"/>
      <c r="B47" s="29"/>
      <c r="C47" s="27"/>
      <c r="D47" s="27"/>
      <c r="E47" s="27"/>
      <c r="F47" s="27"/>
    </row>
    <row r="48" spans="1:6" x14ac:dyDescent="0.2">
      <c r="A48" s="29"/>
      <c r="B48" s="29"/>
      <c r="C48" s="27"/>
      <c r="D48" s="27"/>
      <c r="E48" s="27"/>
      <c r="F48" s="27"/>
    </row>
    <row r="49" spans="1:6" x14ac:dyDescent="0.2">
      <c r="A49" s="29"/>
      <c r="B49" s="29"/>
      <c r="C49" s="27"/>
      <c r="D49" s="27"/>
      <c r="E49" s="27"/>
      <c r="F49" s="27"/>
    </row>
    <row r="50" spans="1:6" x14ac:dyDescent="0.2">
      <c r="A50" s="29"/>
      <c r="B50" s="29"/>
      <c r="C50" s="27"/>
      <c r="D50" s="27"/>
      <c r="E50" s="27"/>
      <c r="F50" s="27"/>
    </row>
    <row r="51" spans="1:6" x14ac:dyDescent="0.2">
      <c r="A51" s="29"/>
      <c r="B51" s="29"/>
      <c r="C51" s="27"/>
      <c r="D51" s="27"/>
      <c r="E51" s="27"/>
      <c r="F51" s="27"/>
    </row>
    <row r="52" spans="1:6" x14ac:dyDescent="0.2">
      <c r="A52" s="29"/>
      <c r="B52" s="29"/>
      <c r="C52" s="27"/>
      <c r="D52" s="27"/>
      <c r="E52" s="27"/>
      <c r="F52" s="27"/>
    </row>
    <row r="53" spans="1:6" x14ac:dyDescent="0.2">
      <c r="A53" s="29"/>
      <c r="B53" s="29"/>
      <c r="C53" s="27"/>
      <c r="D53" s="27"/>
      <c r="E53" s="27"/>
      <c r="F53" s="27"/>
    </row>
    <row r="54" spans="1:6" x14ac:dyDescent="0.2">
      <c r="A54" s="29"/>
      <c r="B54" s="29"/>
      <c r="C54" s="27"/>
      <c r="D54" s="27"/>
      <c r="E54" s="27"/>
      <c r="F54" s="27"/>
    </row>
    <row r="55" spans="1:6" x14ac:dyDescent="0.2">
      <c r="A55" s="29"/>
      <c r="B55" s="29"/>
      <c r="C55" s="27"/>
      <c r="D55" s="27"/>
      <c r="E55" s="27"/>
      <c r="F55" s="27"/>
    </row>
    <row r="56" spans="1:6" x14ac:dyDescent="0.2">
      <c r="A56" s="29"/>
      <c r="B56" s="29"/>
      <c r="C56" s="27"/>
      <c r="D56" s="27"/>
      <c r="E56" s="27"/>
      <c r="F56" s="27"/>
    </row>
    <row r="57" spans="1:6" x14ac:dyDescent="0.2">
      <c r="A57" s="29"/>
      <c r="B57" s="29"/>
      <c r="C57" s="27"/>
      <c r="D57" s="27"/>
      <c r="E57" s="27"/>
      <c r="F57" s="27"/>
    </row>
    <row r="58" spans="1:6" x14ac:dyDescent="0.2">
      <c r="A58" s="29"/>
      <c r="B58" s="29"/>
      <c r="C58" s="27"/>
      <c r="D58" s="27"/>
      <c r="E58" s="27"/>
      <c r="F58" s="27"/>
    </row>
    <row r="59" spans="1:6" x14ac:dyDescent="0.2">
      <c r="A59" s="29"/>
      <c r="B59" s="29"/>
      <c r="C59" s="27"/>
      <c r="D59" s="27"/>
      <c r="E59" s="27"/>
      <c r="F59" s="27"/>
    </row>
    <row r="60" spans="1:6" x14ac:dyDescent="0.2">
      <c r="A60" s="29"/>
      <c r="B60" s="29"/>
      <c r="C60" s="27"/>
      <c r="D60" s="27"/>
      <c r="E60" s="27"/>
      <c r="F60" s="27"/>
    </row>
    <row r="61" spans="1:6" x14ac:dyDescent="0.2">
      <c r="A61" s="29"/>
      <c r="B61" s="29"/>
      <c r="C61" s="27"/>
      <c r="D61" s="27"/>
      <c r="E61" s="27"/>
      <c r="F61" s="27"/>
    </row>
    <row r="62" spans="1:6" x14ac:dyDescent="0.2">
      <c r="A62" s="29"/>
      <c r="B62" s="29"/>
      <c r="C62" s="27"/>
      <c r="D62" s="27"/>
      <c r="E62" s="27"/>
      <c r="F62" s="27"/>
    </row>
    <row r="63" spans="1:6" x14ac:dyDescent="0.2">
      <c r="A63" s="29"/>
      <c r="B63" s="29"/>
      <c r="C63" s="27"/>
      <c r="D63" s="27"/>
      <c r="E63" s="27"/>
      <c r="F63" s="27"/>
    </row>
    <row r="64" spans="1:6" x14ac:dyDescent="0.2">
      <c r="A64" s="29"/>
      <c r="B64" s="29"/>
      <c r="C64" s="27"/>
      <c r="D64" s="27"/>
      <c r="E64" s="27"/>
      <c r="F64" s="27"/>
    </row>
    <row r="65" spans="1:6" x14ac:dyDescent="0.2">
      <c r="A65" s="29"/>
      <c r="B65" s="29"/>
      <c r="C65" s="27"/>
      <c r="D65" s="27"/>
      <c r="E65" s="27"/>
      <c r="F65" s="27"/>
    </row>
    <row r="66" spans="1:6" x14ac:dyDescent="0.2">
      <c r="A66" s="29"/>
      <c r="B66" s="29"/>
      <c r="C66" s="27"/>
      <c r="D66" s="27"/>
      <c r="E66" s="27"/>
      <c r="F66" s="27"/>
    </row>
    <row r="67" spans="1:6" x14ac:dyDescent="0.2">
      <c r="A67" s="29"/>
      <c r="B67" s="29"/>
      <c r="C67" s="27"/>
      <c r="D67" s="27"/>
      <c r="E67" s="27"/>
      <c r="F67" s="27"/>
    </row>
    <row r="68" spans="1:6" x14ac:dyDescent="0.2">
      <c r="A68" s="29"/>
      <c r="B68" s="29"/>
      <c r="C68" s="27"/>
      <c r="D68" s="27"/>
      <c r="E68" s="27"/>
      <c r="F68" s="27"/>
    </row>
    <row r="69" spans="1:6" x14ac:dyDescent="0.2">
      <c r="A69" s="29"/>
      <c r="B69" s="29"/>
      <c r="C69" s="27"/>
      <c r="D69" s="27"/>
      <c r="E69" s="27"/>
      <c r="F69" s="27"/>
    </row>
    <row r="70" spans="1:6" x14ac:dyDescent="0.2">
      <c r="A70" s="29"/>
      <c r="B70" s="29"/>
      <c r="C70" s="27"/>
      <c r="D70" s="27"/>
      <c r="E70" s="27"/>
      <c r="F70" s="27"/>
    </row>
    <row r="71" spans="1:6" x14ac:dyDescent="0.2">
      <c r="A71" s="29"/>
      <c r="B71" s="29"/>
      <c r="C71" s="27"/>
      <c r="D71" s="27"/>
      <c r="E71" s="27"/>
      <c r="F71" s="27"/>
    </row>
    <row r="72" spans="1:6" x14ac:dyDescent="0.2">
      <c r="A72" s="29"/>
      <c r="B72" s="29"/>
      <c r="C72" s="27"/>
      <c r="D72" s="27"/>
      <c r="E72" s="27"/>
      <c r="F72" s="27"/>
    </row>
    <row r="73" spans="1:6" x14ac:dyDescent="0.2">
      <c r="A73" s="29"/>
      <c r="B73" s="29"/>
      <c r="C73" s="27"/>
      <c r="D73" s="27"/>
      <c r="E73" s="27"/>
      <c r="F73" s="27"/>
    </row>
  </sheetData>
  <mergeCells count="1">
    <mergeCell ref="A2:F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zoomScaleSheetLayoutView="100" workbookViewId="0">
      <selection activeCell="E34" sqref="E34"/>
    </sheetView>
  </sheetViews>
  <sheetFormatPr defaultRowHeight="15.75" x14ac:dyDescent="0.25"/>
  <cols>
    <col min="1" max="1" width="48.7109375" style="11" customWidth="1"/>
    <col min="2" max="2" width="12.42578125" style="11" customWidth="1"/>
    <col min="3" max="5" width="11.5703125" style="11" customWidth="1"/>
    <col min="6" max="6" width="9.28515625" style="11" customWidth="1"/>
    <col min="7" max="7" width="2.85546875" style="11" customWidth="1"/>
    <col min="8" max="16384" width="9.140625" style="11"/>
  </cols>
  <sheetData>
    <row r="1" spans="1:7" x14ac:dyDescent="0.25">
      <c r="A1" s="82" t="s">
        <v>326</v>
      </c>
    </row>
    <row r="2" spans="1:7" x14ac:dyDescent="0.25">
      <c r="A2" s="82" t="s">
        <v>319</v>
      </c>
    </row>
    <row r="3" spans="1:7" x14ac:dyDescent="0.25">
      <c r="A3" s="207" t="s">
        <v>34</v>
      </c>
      <c r="B3" s="207"/>
      <c r="C3" s="207"/>
      <c r="D3" s="207"/>
      <c r="E3" s="207"/>
      <c r="F3" s="207"/>
    </row>
    <row r="4" spans="1:7" ht="14.25" customHeight="1" x14ac:dyDescent="0.25">
      <c r="A4" s="207" t="s">
        <v>284</v>
      </c>
      <c r="B4" s="207"/>
      <c r="C4" s="207"/>
      <c r="D4" s="207"/>
      <c r="E4" s="207"/>
      <c r="F4" s="207"/>
    </row>
    <row r="5" spans="1:7" s="26" customFormat="1" ht="21" customHeight="1" thickBot="1" x14ac:dyDescent="0.25">
      <c r="A5" s="206" t="s">
        <v>35</v>
      </c>
      <c r="B5" s="206"/>
      <c r="C5" s="206"/>
      <c r="D5" s="206"/>
      <c r="E5" s="206"/>
      <c r="F5" s="206"/>
    </row>
    <row r="6" spans="1:7" s="26" customFormat="1" ht="42" customHeight="1" thickBot="1" x14ac:dyDescent="0.25">
      <c r="A6" s="133" t="s">
        <v>36</v>
      </c>
      <c r="B6" s="131" t="s">
        <v>215</v>
      </c>
      <c r="C6" s="168" t="s">
        <v>254</v>
      </c>
      <c r="D6" s="168" t="s">
        <v>285</v>
      </c>
      <c r="E6" s="168" t="s">
        <v>300</v>
      </c>
      <c r="F6" s="168" t="s">
        <v>257</v>
      </c>
    </row>
    <row r="7" spans="1:7" s="26" customFormat="1" ht="12.75" x14ac:dyDescent="0.2">
      <c r="A7" s="115" t="s">
        <v>231</v>
      </c>
      <c r="B7" s="132">
        <f>B8+B9</f>
        <v>928546</v>
      </c>
      <c r="C7" s="132">
        <f>C8+C9</f>
        <v>965477</v>
      </c>
      <c r="D7" s="132">
        <f>D8+D9</f>
        <v>1003310</v>
      </c>
      <c r="E7" s="132">
        <f>E8+E9</f>
        <v>1030138</v>
      </c>
      <c r="F7" s="132">
        <f t="shared" ref="F7:F26" si="0">E7-D7</f>
        <v>26828</v>
      </c>
      <c r="G7" s="35"/>
    </row>
    <row r="8" spans="1:7" s="26" customFormat="1" ht="12.75" x14ac:dyDescent="0.2">
      <c r="A8" s="152" t="s">
        <v>229</v>
      </c>
      <c r="B8" s="144">
        <v>792094</v>
      </c>
      <c r="C8" s="144">
        <v>881424</v>
      </c>
      <c r="D8" s="144">
        <v>872391</v>
      </c>
      <c r="E8" s="144">
        <v>912301</v>
      </c>
      <c r="F8" s="144">
        <f t="shared" si="0"/>
        <v>39910</v>
      </c>
    </row>
    <row r="9" spans="1:7" s="26" customFormat="1" ht="12.75" x14ac:dyDescent="0.2">
      <c r="A9" s="152" t="s">
        <v>278</v>
      </c>
      <c r="B9" s="144">
        <f>928546-792094</f>
        <v>136452</v>
      </c>
      <c r="C9" s="144">
        <f>965477-881424</f>
        <v>84053</v>
      </c>
      <c r="D9" s="144">
        <f>981034-872391+22276</f>
        <v>130919</v>
      </c>
      <c r="E9" s="144">
        <f>1030138-E8</f>
        <v>117837</v>
      </c>
      <c r="F9" s="144">
        <f t="shared" si="0"/>
        <v>-13082</v>
      </c>
    </row>
    <row r="10" spans="1:7" s="26" customFormat="1" ht="12.75" x14ac:dyDescent="0.2">
      <c r="A10" s="134" t="s">
        <v>164</v>
      </c>
      <c r="B10" s="37">
        <v>394911</v>
      </c>
      <c r="C10" s="37">
        <v>382346</v>
      </c>
      <c r="D10" s="37">
        <f>399516+2724</f>
        <v>402240</v>
      </c>
      <c r="E10" s="37">
        <v>418441</v>
      </c>
      <c r="F10" s="144">
        <f t="shared" si="0"/>
        <v>16201</v>
      </c>
    </row>
    <row r="11" spans="1:7" s="26" customFormat="1" ht="12.75" x14ac:dyDescent="0.2">
      <c r="A11" s="134" t="s">
        <v>165</v>
      </c>
      <c r="B11" s="37">
        <v>143270</v>
      </c>
      <c r="C11" s="37">
        <v>153039</v>
      </c>
      <c r="D11" s="37">
        <v>154812</v>
      </c>
      <c r="E11" s="37">
        <v>166823</v>
      </c>
      <c r="F11" s="144">
        <f t="shared" si="0"/>
        <v>12011</v>
      </c>
    </row>
    <row r="12" spans="1:7" s="26" customFormat="1" ht="13.5" thickBot="1" x14ac:dyDescent="0.25">
      <c r="A12" s="137" t="s">
        <v>167</v>
      </c>
      <c r="B12" s="136">
        <v>11359</v>
      </c>
      <c r="C12" s="136">
        <v>11359</v>
      </c>
      <c r="D12" s="136">
        <v>13659</v>
      </c>
      <c r="E12" s="136">
        <v>22550</v>
      </c>
      <c r="F12" s="144">
        <f t="shared" si="0"/>
        <v>8891</v>
      </c>
    </row>
    <row r="13" spans="1:7" s="28" customFormat="1" ht="13.5" thickBot="1" x14ac:dyDescent="0.25">
      <c r="A13" s="138" t="s">
        <v>219</v>
      </c>
      <c r="B13" s="39">
        <f>B7+B10+B11+B12</f>
        <v>1478086</v>
      </c>
      <c r="C13" s="39">
        <f>C7+C10+C11+C12</f>
        <v>1512221</v>
      </c>
      <c r="D13" s="39">
        <f>D7+D10+D11+D12</f>
        <v>1574021</v>
      </c>
      <c r="E13" s="39">
        <f>E7+E10+E11+E12</f>
        <v>1637952</v>
      </c>
      <c r="F13" s="39">
        <f t="shared" si="0"/>
        <v>63931</v>
      </c>
    </row>
    <row r="14" spans="1:7" s="26" customFormat="1" ht="12.75" x14ac:dyDescent="0.2">
      <c r="A14" s="115" t="s">
        <v>200</v>
      </c>
      <c r="B14" s="36">
        <v>17211</v>
      </c>
      <c r="C14" s="36">
        <v>55692</v>
      </c>
      <c r="D14" s="36">
        <v>115892</v>
      </c>
      <c r="E14" s="36">
        <v>146180</v>
      </c>
      <c r="F14" s="36">
        <f t="shared" si="0"/>
        <v>30288</v>
      </c>
    </row>
    <row r="15" spans="1:7" s="26" customFormat="1" ht="12.75" x14ac:dyDescent="0.2">
      <c r="A15" s="143" t="s">
        <v>216</v>
      </c>
      <c r="B15" s="148"/>
      <c r="C15" s="148"/>
      <c r="D15" s="148">
        <v>31000</v>
      </c>
      <c r="E15" s="148">
        <v>33850</v>
      </c>
      <c r="F15" s="148">
        <f t="shared" si="0"/>
        <v>2850</v>
      </c>
    </row>
    <row r="16" spans="1:7" s="26" customFormat="1" ht="12.75" x14ac:dyDescent="0.2">
      <c r="A16" s="134" t="s">
        <v>166</v>
      </c>
      <c r="B16" s="37">
        <v>81349</v>
      </c>
      <c r="C16" s="37">
        <v>81349</v>
      </c>
      <c r="D16" s="37">
        <v>81349</v>
      </c>
      <c r="E16" s="37">
        <v>26515</v>
      </c>
      <c r="F16" s="37">
        <f t="shared" si="0"/>
        <v>-54834</v>
      </c>
    </row>
    <row r="17" spans="1:6" s="26" customFormat="1" ht="12.75" x14ac:dyDescent="0.2">
      <c r="A17" s="134" t="s">
        <v>103</v>
      </c>
      <c r="B17" s="37">
        <f>SUM(B18:B19)</f>
        <v>65600</v>
      </c>
      <c r="C17" s="37">
        <f>SUM(C18:C19)</f>
        <v>17350</v>
      </c>
      <c r="D17" s="37">
        <f>SUM(D18:D19)</f>
        <v>17350</v>
      </c>
      <c r="E17" s="37">
        <f>SUM(E18:E19)</f>
        <v>17350</v>
      </c>
      <c r="F17" s="37">
        <f t="shared" si="0"/>
        <v>0</v>
      </c>
    </row>
    <row r="18" spans="1:6" s="26" customFormat="1" ht="25.5" x14ac:dyDescent="0.2">
      <c r="A18" s="151" t="s">
        <v>217</v>
      </c>
      <c r="B18" s="144">
        <v>17350</v>
      </c>
      <c r="C18" s="144">
        <v>17350</v>
      </c>
      <c r="D18" s="144">
        <v>17350</v>
      </c>
      <c r="E18" s="144">
        <v>17350</v>
      </c>
      <c r="F18" s="144">
        <f t="shared" si="0"/>
        <v>0</v>
      </c>
    </row>
    <row r="19" spans="1:6" s="26" customFormat="1" ht="13.5" thickBot="1" x14ac:dyDescent="0.25">
      <c r="A19" s="151" t="s">
        <v>230</v>
      </c>
      <c r="B19" s="147">
        <v>48250</v>
      </c>
      <c r="C19" s="147"/>
      <c r="D19" s="147"/>
      <c r="E19" s="147"/>
      <c r="F19" s="147">
        <f t="shared" si="0"/>
        <v>0</v>
      </c>
    </row>
    <row r="20" spans="1:6" s="28" customFormat="1" ht="14.25" customHeight="1" thickBot="1" x14ac:dyDescent="0.25">
      <c r="A20" s="138" t="s">
        <v>220</v>
      </c>
      <c r="B20" s="39">
        <f>B17+B16+B14</f>
        <v>164160</v>
      </c>
      <c r="C20" s="39">
        <f>C17+C16+C14</f>
        <v>154391</v>
      </c>
      <c r="D20" s="39">
        <f>D17+D16+D14</f>
        <v>214591</v>
      </c>
      <c r="E20" s="39">
        <f>E17+E16+E14</f>
        <v>190045</v>
      </c>
      <c r="F20" s="39">
        <f t="shared" si="0"/>
        <v>-24546</v>
      </c>
    </row>
    <row r="21" spans="1:6" s="28" customFormat="1" ht="15.75" customHeight="1" thickBot="1" x14ac:dyDescent="0.25">
      <c r="A21" s="140" t="s">
        <v>218</v>
      </c>
      <c r="B21" s="139">
        <f>B20+B13</f>
        <v>1642246</v>
      </c>
      <c r="C21" s="139">
        <f>C20+C13</f>
        <v>1666612</v>
      </c>
      <c r="D21" s="139">
        <f>D20+D13</f>
        <v>1788612</v>
      </c>
      <c r="E21" s="139">
        <f>E20+E13</f>
        <v>1827997</v>
      </c>
      <c r="F21" s="139">
        <f t="shared" si="0"/>
        <v>39385</v>
      </c>
    </row>
    <row r="22" spans="1:6" s="26" customFormat="1" ht="12.75" x14ac:dyDescent="0.2">
      <c r="A22" s="141" t="s">
        <v>160</v>
      </c>
      <c r="B22" s="132">
        <f>SUM(B23:B24)</f>
        <v>250411</v>
      </c>
      <c r="C22" s="132">
        <f>SUM(C23:C24)</f>
        <v>320487</v>
      </c>
      <c r="D22" s="132">
        <f>SUM(D23:D24)</f>
        <v>320487</v>
      </c>
      <c r="E22" s="132">
        <f>SUM(E23:E24)</f>
        <v>320487</v>
      </c>
      <c r="F22" s="132">
        <f t="shared" si="0"/>
        <v>0</v>
      </c>
    </row>
    <row r="23" spans="1:6" s="26" customFormat="1" ht="12.75" x14ac:dyDescent="0.2">
      <c r="A23" s="143" t="s">
        <v>221</v>
      </c>
      <c r="B23" s="144">
        <f>250411-'1. melléklet'!B24</f>
        <v>98027</v>
      </c>
      <c r="C23" s="144">
        <f>307512-156697+951+387+10173+3197+862+200+54+1153+311</f>
        <v>168103</v>
      </c>
      <c r="D23" s="144">
        <f>307512-156697+951+387+10173+3197+862+200+54+1153+311</f>
        <v>168103</v>
      </c>
      <c r="E23" s="144">
        <v>168103</v>
      </c>
      <c r="F23" s="144">
        <f t="shared" si="0"/>
        <v>0</v>
      </c>
    </row>
    <row r="24" spans="1:6" s="26" customFormat="1" ht="13.5" thickBot="1" x14ac:dyDescent="0.25">
      <c r="A24" s="146" t="s">
        <v>222</v>
      </c>
      <c r="B24" s="145">
        <v>152384</v>
      </c>
      <c r="C24" s="145">
        <f>152384</f>
        <v>152384</v>
      </c>
      <c r="D24" s="145">
        <f>152384</f>
        <v>152384</v>
      </c>
      <c r="E24" s="145">
        <v>152384</v>
      </c>
      <c r="F24" s="145">
        <f t="shared" si="0"/>
        <v>0</v>
      </c>
    </row>
    <row r="25" spans="1:6" s="28" customFormat="1" ht="15.75" customHeight="1" thickBot="1" x14ac:dyDescent="0.25">
      <c r="A25" s="138" t="s">
        <v>223</v>
      </c>
      <c r="B25" s="39">
        <f>SUM(B22)</f>
        <v>250411</v>
      </c>
      <c r="C25" s="39">
        <f>SUM(C22)</f>
        <v>320487</v>
      </c>
      <c r="D25" s="39">
        <f>SUM(D22)</f>
        <v>320487</v>
      </c>
      <c r="E25" s="39">
        <f>SUM(E22)</f>
        <v>320487</v>
      </c>
      <c r="F25" s="39">
        <f t="shared" si="0"/>
        <v>0</v>
      </c>
    </row>
    <row r="26" spans="1:6" s="28" customFormat="1" ht="15.75" customHeight="1" thickBot="1" x14ac:dyDescent="0.25">
      <c r="A26" s="135" t="s">
        <v>37</v>
      </c>
      <c r="B26" s="40">
        <f>B13+B20+B22</f>
        <v>1892657</v>
      </c>
      <c r="C26" s="40">
        <f>C13+C20+C22</f>
        <v>1987099</v>
      </c>
      <c r="D26" s="40">
        <f>D13+D20+D22</f>
        <v>2109099</v>
      </c>
      <c r="E26" s="40">
        <f>E13+E20+E22</f>
        <v>2148484</v>
      </c>
      <c r="F26" s="40">
        <f t="shared" si="0"/>
        <v>39385</v>
      </c>
    </row>
    <row r="27" spans="1:6" s="26" customFormat="1" ht="12.75" x14ac:dyDescent="0.2"/>
    <row r="28" spans="1:6" s="26" customFormat="1" ht="13.5" thickBot="1" x14ac:dyDescent="0.25">
      <c r="A28" s="206" t="s">
        <v>38</v>
      </c>
      <c r="B28" s="206"/>
      <c r="C28" s="206"/>
      <c r="D28" s="206"/>
      <c r="E28" s="206"/>
      <c r="F28" s="206"/>
    </row>
    <row r="29" spans="1:6" s="26" customFormat="1" ht="39.75" customHeight="1" thickBot="1" x14ac:dyDescent="0.25">
      <c r="A29" s="130" t="s">
        <v>36</v>
      </c>
      <c r="B29" s="168" t="s">
        <v>215</v>
      </c>
      <c r="C29" s="168" t="s">
        <v>254</v>
      </c>
      <c r="D29" s="168" t="s">
        <v>285</v>
      </c>
      <c r="E29" s="168" t="s">
        <v>300</v>
      </c>
      <c r="F29" s="168" t="s">
        <v>257</v>
      </c>
    </row>
    <row r="30" spans="1:6" s="26" customFormat="1" ht="12.75" x14ac:dyDescent="0.2">
      <c r="A30" s="115" t="s">
        <v>39</v>
      </c>
      <c r="B30" s="36">
        <v>283334</v>
      </c>
      <c r="C30" s="36">
        <v>292196</v>
      </c>
      <c r="D30" s="36">
        <v>295728</v>
      </c>
      <c r="E30" s="36">
        <v>302543</v>
      </c>
      <c r="F30" s="36">
        <f t="shared" ref="F30:F49" si="1">E30-D30</f>
        <v>6815</v>
      </c>
    </row>
    <row r="31" spans="1:6" s="26" customFormat="1" ht="12.75" x14ac:dyDescent="0.2">
      <c r="A31" s="134" t="s">
        <v>40</v>
      </c>
      <c r="B31" s="37">
        <v>81535</v>
      </c>
      <c r="C31" s="37">
        <v>83516</v>
      </c>
      <c r="D31" s="37">
        <v>84270</v>
      </c>
      <c r="E31" s="37">
        <v>86761</v>
      </c>
      <c r="F31" s="37">
        <f t="shared" si="1"/>
        <v>2491</v>
      </c>
    </row>
    <row r="32" spans="1:6" s="26" customFormat="1" ht="12.75" x14ac:dyDescent="0.2">
      <c r="A32" s="134" t="s">
        <v>18</v>
      </c>
      <c r="B32" s="37">
        <v>563395</v>
      </c>
      <c r="C32" s="37">
        <v>588967</v>
      </c>
      <c r="D32" s="37">
        <f>613678-1000</f>
        <v>612678</v>
      </c>
      <c r="E32" s="37">
        <v>626444</v>
      </c>
      <c r="F32" s="37">
        <f t="shared" si="1"/>
        <v>13766</v>
      </c>
    </row>
    <row r="33" spans="1:7" s="26" customFormat="1" ht="12.75" x14ac:dyDescent="0.2">
      <c r="A33" s="134" t="s">
        <v>41</v>
      </c>
      <c r="B33" s="37">
        <v>39605</v>
      </c>
      <c r="C33" s="37">
        <v>40400</v>
      </c>
      <c r="D33" s="37">
        <v>42516</v>
      </c>
      <c r="E33" s="37">
        <v>38547</v>
      </c>
      <c r="F33" s="37">
        <f t="shared" si="1"/>
        <v>-3969</v>
      </c>
    </row>
    <row r="34" spans="1:7" s="26" customFormat="1" ht="12.75" x14ac:dyDescent="0.2">
      <c r="A34" s="134" t="s">
        <v>232</v>
      </c>
      <c r="B34" s="37">
        <f>SUM(B35:B38)</f>
        <v>608244</v>
      </c>
      <c r="C34" s="37">
        <f>SUM(C35:C38)</f>
        <v>629316</v>
      </c>
      <c r="D34" s="37">
        <f>SUM(D35:D38)</f>
        <v>634252</v>
      </c>
      <c r="E34" s="37">
        <f>SUM(E35:E38)</f>
        <v>662844</v>
      </c>
      <c r="F34" s="37">
        <f t="shared" si="1"/>
        <v>28592</v>
      </c>
      <c r="G34" s="45"/>
    </row>
    <row r="35" spans="1:7" s="26" customFormat="1" ht="12.75" x14ac:dyDescent="0.2">
      <c r="A35" s="143" t="s">
        <v>224</v>
      </c>
      <c r="B35" s="144">
        <v>113976</v>
      </c>
      <c r="C35" s="144">
        <f>113976+8091</f>
        <v>122067</v>
      </c>
      <c r="D35" s="144">
        <f>113976+8091+312</f>
        <v>122379</v>
      </c>
      <c r="E35" s="144">
        <v>122446</v>
      </c>
      <c r="F35" s="37">
        <f t="shared" si="1"/>
        <v>67</v>
      </c>
      <c r="G35" s="45"/>
    </row>
    <row r="36" spans="1:7" s="26" customFormat="1" ht="12.75" x14ac:dyDescent="0.2">
      <c r="A36" s="143" t="s">
        <v>279</v>
      </c>
      <c r="B36" s="144">
        <v>432376</v>
      </c>
      <c r="C36" s="144">
        <f>540+1161+436310+1800</f>
        <v>439811</v>
      </c>
      <c r="D36" s="144">
        <f>540+1161+436310+1800</f>
        <v>439811</v>
      </c>
      <c r="E36" s="144">
        <v>477177</v>
      </c>
      <c r="F36" s="37">
        <f t="shared" si="1"/>
        <v>37366</v>
      </c>
      <c r="G36" s="45"/>
    </row>
    <row r="37" spans="1:7" s="26" customFormat="1" ht="12.75" x14ac:dyDescent="0.2">
      <c r="A37" s="143" t="s">
        <v>280</v>
      </c>
      <c r="B37" s="144">
        <v>29592</v>
      </c>
      <c r="C37" s="144">
        <f>29592</f>
        <v>29592</v>
      </c>
      <c r="D37" s="144">
        <f>29592+500+25000+300</f>
        <v>55392</v>
      </c>
      <c r="E37" s="144">
        <v>63221</v>
      </c>
      <c r="F37" s="37">
        <f t="shared" si="1"/>
        <v>7829</v>
      </c>
    </row>
    <row r="38" spans="1:7" s="26" customFormat="1" ht="13.5" thickBot="1" x14ac:dyDescent="0.25">
      <c r="A38" s="143" t="s">
        <v>233</v>
      </c>
      <c r="B38" s="38">
        <v>32300</v>
      </c>
      <c r="C38" s="38">
        <v>37846</v>
      </c>
      <c r="D38" s="38">
        <v>16670</v>
      </c>
      <c r="E38" s="38">
        <v>0</v>
      </c>
      <c r="F38" s="37">
        <f t="shared" si="1"/>
        <v>-16670</v>
      </c>
    </row>
    <row r="39" spans="1:7" s="26" customFormat="1" ht="13.5" thickBot="1" x14ac:dyDescent="0.25">
      <c r="A39" s="138" t="s">
        <v>225</v>
      </c>
      <c r="B39" s="39">
        <f>B30+B31+B32+B33+B34</f>
        <v>1576113</v>
      </c>
      <c r="C39" s="39">
        <f>C30+C31+C32+C33+C34</f>
        <v>1634395</v>
      </c>
      <c r="D39" s="39">
        <f>D30+D31+D32+D33+D34</f>
        <v>1669444</v>
      </c>
      <c r="E39" s="39">
        <f>E30+E31+E32+E33+E34</f>
        <v>1717139</v>
      </c>
      <c r="F39" s="39">
        <f t="shared" si="1"/>
        <v>47695</v>
      </c>
      <c r="G39" s="45"/>
    </row>
    <row r="40" spans="1:7" s="26" customFormat="1" ht="12.75" x14ac:dyDescent="0.2">
      <c r="A40" s="115" t="s">
        <v>102</v>
      </c>
      <c r="B40" s="37">
        <v>247613</v>
      </c>
      <c r="C40" s="37">
        <v>141119</v>
      </c>
      <c r="D40" s="37">
        <f>172070+1000+2778</f>
        <v>175848</v>
      </c>
      <c r="E40" s="37">
        <v>185204</v>
      </c>
      <c r="F40" s="37">
        <f t="shared" si="1"/>
        <v>9356</v>
      </c>
    </row>
    <row r="41" spans="1:7" s="26" customFormat="1" ht="12.75" x14ac:dyDescent="0.2">
      <c r="A41" s="142" t="s">
        <v>26</v>
      </c>
      <c r="B41" s="36">
        <v>54047</v>
      </c>
      <c r="C41" s="36">
        <v>171562</v>
      </c>
      <c r="D41" s="36">
        <f>201562+25000-2778</f>
        <v>223784</v>
      </c>
      <c r="E41" s="36">
        <v>204118</v>
      </c>
      <c r="F41" s="37">
        <f t="shared" si="1"/>
        <v>-19666</v>
      </c>
    </row>
    <row r="42" spans="1:7" s="26" customFormat="1" ht="12.75" x14ac:dyDescent="0.2">
      <c r="A42" s="134" t="s">
        <v>206</v>
      </c>
      <c r="B42" s="37">
        <f>SUM(B43:B45)</f>
        <v>14884</v>
      </c>
      <c r="C42" s="37">
        <f>SUM(C43:C45)</f>
        <v>14884</v>
      </c>
      <c r="D42" s="37">
        <f>SUM(D43:D45)</f>
        <v>14884</v>
      </c>
      <c r="E42" s="37">
        <f>SUM(E43:E45)</f>
        <v>16884</v>
      </c>
      <c r="F42" s="37">
        <f t="shared" si="1"/>
        <v>2000</v>
      </c>
    </row>
    <row r="43" spans="1:7" s="26" customFormat="1" ht="25.5" x14ac:dyDescent="0.2">
      <c r="A43" s="190" t="s">
        <v>281</v>
      </c>
      <c r="B43" s="144">
        <v>2450</v>
      </c>
      <c r="C43" s="144">
        <v>2450</v>
      </c>
      <c r="D43" s="144">
        <v>2450</v>
      </c>
      <c r="E43" s="144">
        <v>2450</v>
      </c>
      <c r="F43" s="37">
        <f t="shared" si="1"/>
        <v>0</v>
      </c>
    </row>
    <row r="44" spans="1:7" s="26" customFormat="1" ht="12.75" x14ac:dyDescent="0.2">
      <c r="A44" s="143" t="s">
        <v>282</v>
      </c>
      <c r="B44" s="144">
        <v>11334</v>
      </c>
      <c r="C44" s="144">
        <v>11334</v>
      </c>
      <c r="D44" s="144">
        <v>11334</v>
      </c>
      <c r="E44" s="144">
        <v>13334</v>
      </c>
      <c r="F44" s="37">
        <f t="shared" si="1"/>
        <v>2000</v>
      </c>
    </row>
    <row r="45" spans="1:7" s="26" customFormat="1" ht="13.5" thickBot="1" x14ac:dyDescent="0.25">
      <c r="A45" s="143" t="s">
        <v>283</v>
      </c>
      <c r="B45" s="145">
        <v>1100</v>
      </c>
      <c r="C45" s="145">
        <v>1100</v>
      </c>
      <c r="D45" s="145">
        <v>1100</v>
      </c>
      <c r="E45" s="145">
        <v>1100</v>
      </c>
      <c r="F45" s="37">
        <f t="shared" si="1"/>
        <v>0</v>
      </c>
    </row>
    <row r="46" spans="1:7" s="26" customFormat="1" ht="13.5" thickBot="1" x14ac:dyDescent="0.25">
      <c r="A46" s="138" t="s">
        <v>226</v>
      </c>
      <c r="B46" s="39">
        <f>B40+B41+B42</f>
        <v>316544</v>
      </c>
      <c r="C46" s="39">
        <f>C40+C41+C42</f>
        <v>327565</v>
      </c>
      <c r="D46" s="39">
        <f>D40+D41+D42</f>
        <v>414516</v>
      </c>
      <c r="E46" s="39">
        <f>E40+E41+E42</f>
        <v>406206</v>
      </c>
      <c r="F46" s="39">
        <f t="shared" si="1"/>
        <v>-8310</v>
      </c>
    </row>
    <row r="47" spans="1:7" s="28" customFormat="1" ht="15.75" customHeight="1" thickBot="1" x14ac:dyDescent="0.25">
      <c r="A47" s="140" t="s">
        <v>227</v>
      </c>
      <c r="B47" s="139">
        <f>B46+B39</f>
        <v>1892657</v>
      </c>
      <c r="C47" s="139">
        <f>C46+C39</f>
        <v>1961960</v>
      </c>
      <c r="D47" s="139">
        <f>D46+D39</f>
        <v>2083960</v>
      </c>
      <c r="E47" s="139">
        <f>E46+E39</f>
        <v>2123345</v>
      </c>
      <c r="F47" s="139">
        <f t="shared" si="1"/>
        <v>39385</v>
      </c>
    </row>
    <row r="48" spans="1:7" s="26" customFormat="1" ht="15.75" customHeight="1" thickBot="1" x14ac:dyDescent="0.25">
      <c r="A48" s="150" t="s">
        <v>228</v>
      </c>
      <c r="B48" s="149">
        <v>0</v>
      </c>
      <c r="C48" s="149">
        <v>25139</v>
      </c>
      <c r="D48" s="149">
        <v>25139</v>
      </c>
      <c r="E48" s="149">
        <v>25139</v>
      </c>
      <c r="F48" s="149">
        <f t="shared" si="1"/>
        <v>0</v>
      </c>
    </row>
    <row r="49" spans="1:7" s="28" customFormat="1" ht="15.75" customHeight="1" thickBot="1" x14ac:dyDescent="0.25">
      <c r="A49" s="135" t="s">
        <v>42</v>
      </c>
      <c r="B49" s="40">
        <f>B48+B47</f>
        <v>1892657</v>
      </c>
      <c r="C49" s="40">
        <f>C48+C47</f>
        <v>1987099</v>
      </c>
      <c r="D49" s="40">
        <f>D48+D47</f>
        <v>2109099</v>
      </c>
      <c r="E49" s="40">
        <f>E48+E47</f>
        <v>2148484</v>
      </c>
      <c r="F49" s="40">
        <f t="shared" si="1"/>
        <v>39385</v>
      </c>
      <c r="G49" s="28" t="s">
        <v>255</v>
      </c>
    </row>
  </sheetData>
  <mergeCells count="4">
    <mergeCell ref="A5:F5"/>
    <mergeCell ref="A28:F28"/>
    <mergeCell ref="A3:F3"/>
    <mergeCell ref="A4:F4"/>
  </mergeCells>
  <phoneticPr fontId="0" type="noConversion"/>
  <pageMargins left="0.52" right="0.23" top="0.66" bottom="0.71" header="0.5" footer="0.5"/>
  <pageSetup paperSize="9" scale="93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64"/>
  <sheetViews>
    <sheetView tabSelected="1" zoomScaleNormal="100" zoomScaleSheetLayoutView="100" workbookViewId="0">
      <selection activeCell="E34" sqref="E34"/>
    </sheetView>
  </sheetViews>
  <sheetFormatPr defaultRowHeight="12.75" x14ac:dyDescent="0.2"/>
  <cols>
    <col min="1" max="1" width="2.85546875" style="84" customWidth="1"/>
    <col min="2" max="2" width="83.28515625" style="84" customWidth="1"/>
    <col min="3" max="5" width="12.42578125" style="83" bestFit="1" customWidth="1"/>
    <col min="6" max="6" width="12.85546875" style="83" customWidth="1"/>
    <col min="7" max="7" width="11.28515625" style="83" customWidth="1"/>
    <col min="8" max="8" width="1.7109375" style="84" customWidth="1"/>
    <col min="9" max="16384" width="9.140625" style="84"/>
  </cols>
  <sheetData>
    <row r="1" spans="1:110" s="81" customFormat="1" ht="15" customHeight="1" x14ac:dyDescent="0.25">
      <c r="A1" s="82"/>
      <c r="B1" s="82" t="s">
        <v>327</v>
      </c>
      <c r="C1" s="80"/>
      <c r="D1" s="80"/>
      <c r="E1" s="80"/>
      <c r="F1" s="80"/>
      <c r="G1" s="80"/>
    </row>
    <row r="2" spans="1:110" s="81" customFormat="1" ht="15" customHeight="1" x14ac:dyDescent="0.25">
      <c r="A2" s="82"/>
      <c r="B2" s="82" t="s">
        <v>275</v>
      </c>
      <c r="C2" s="80"/>
      <c r="D2" s="80"/>
      <c r="E2" s="80"/>
      <c r="F2" s="80"/>
      <c r="G2" s="80"/>
    </row>
    <row r="3" spans="1:110" s="81" customFormat="1" ht="15" customHeight="1" x14ac:dyDescent="0.25">
      <c r="A3" s="82"/>
      <c r="B3" s="82"/>
      <c r="C3" s="80"/>
      <c r="D3" s="80"/>
      <c r="E3" s="80"/>
      <c r="F3" s="80"/>
      <c r="G3" s="80"/>
    </row>
    <row r="4" spans="1:110" x14ac:dyDescent="0.2">
      <c r="A4" s="209" t="s">
        <v>158</v>
      </c>
      <c r="B4" s="209"/>
      <c r="C4" s="209"/>
      <c r="D4" s="209"/>
      <c r="E4" s="209"/>
      <c r="F4" s="209"/>
      <c r="G4" s="209"/>
    </row>
    <row r="5" spans="1:110" s="85" customFormat="1" ht="45.75" x14ac:dyDescent="0.25">
      <c r="B5" s="85" t="s">
        <v>0</v>
      </c>
      <c r="C5" s="86" t="s">
        <v>294</v>
      </c>
      <c r="D5" s="86" t="s">
        <v>295</v>
      </c>
      <c r="E5" s="86" t="s">
        <v>296</v>
      </c>
      <c r="F5" s="86" t="s">
        <v>301</v>
      </c>
      <c r="G5" s="86" t="s">
        <v>256</v>
      </c>
    </row>
    <row r="6" spans="1:110" s="88" customFormat="1" x14ac:dyDescent="0.2">
      <c r="A6" s="108" t="s">
        <v>184</v>
      </c>
      <c r="B6" s="108"/>
      <c r="C6" s="108"/>
      <c r="D6" s="108"/>
      <c r="E6" s="108"/>
      <c r="F6" s="108"/>
      <c r="G6" s="108"/>
      <c r="H6" s="108"/>
      <c r="DF6" s="84"/>
    </row>
    <row r="7" spans="1:110" s="90" customFormat="1" ht="13.35" customHeight="1" x14ac:dyDescent="0.2">
      <c r="B7" s="91" t="s">
        <v>63</v>
      </c>
      <c r="C7" s="92">
        <f>C8+C9+C14+C17+C15+C16+C18</f>
        <v>272043541</v>
      </c>
      <c r="D7" s="92">
        <f>D8+D9+D14+D17+D15+D16+D18</f>
        <v>272991850</v>
      </c>
      <c r="E7" s="92">
        <f>E8+E9+E14+E17+E15+E16+E18</f>
        <v>272991850</v>
      </c>
      <c r="F7" s="92">
        <f>F8+F9+F14+F17+F15+F16+F18</f>
        <v>272991850</v>
      </c>
      <c r="G7" s="92">
        <f t="shared" ref="G7:G37" si="0">F7-E7</f>
        <v>0</v>
      </c>
    </row>
    <row r="8" spans="1:110" ht="13.35" customHeight="1" x14ac:dyDescent="0.2">
      <c r="B8" s="93" t="s">
        <v>53</v>
      </c>
      <c r="C8" s="83">
        <v>161032800</v>
      </c>
      <c r="D8" s="83">
        <v>161032800</v>
      </c>
      <c r="E8" s="83">
        <v>161032800</v>
      </c>
      <c r="F8" s="83">
        <v>161032800</v>
      </c>
      <c r="G8" s="83">
        <f t="shared" si="0"/>
        <v>0</v>
      </c>
    </row>
    <row r="9" spans="1:110" ht="13.35" customHeight="1" x14ac:dyDescent="0.2">
      <c r="B9" s="94" t="s">
        <v>54</v>
      </c>
      <c r="C9" s="83">
        <f>C10+C11+C12+C13</f>
        <v>83003600</v>
      </c>
      <c r="D9" s="83">
        <f>D10+D11+D12+D13</f>
        <v>83003600</v>
      </c>
      <c r="E9" s="83">
        <f>E10+E11+E12+E13</f>
        <v>83003600</v>
      </c>
      <c r="F9" s="83">
        <f>F10+F11+F12+F13</f>
        <v>83003600</v>
      </c>
      <c r="G9" s="83">
        <f t="shared" si="0"/>
        <v>0</v>
      </c>
    </row>
    <row r="10" spans="1:110" ht="13.35" customHeight="1" x14ac:dyDescent="0.2">
      <c r="B10" s="95" t="s">
        <v>100</v>
      </c>
      <c r="C10" s="83">
        <v>13488588</v>
      </c>
      <c r="D10" s="83">
        <v>13488588</v>
      </c>
      <c r="E10" s="83">
        <v>13488588</v>
      </c>
      <c r="F10" s="83">
        <v>13488588</v>
      </c>
      <c r="G10" s="83">
        <f t="shared" si="0"/>
        <v>0</v>
      </c>
    </row>
    <row r="11" spans="1:110" ht="13.35" customHeight="1" x14ac:dyDescent="0.2">
      <c r="B11" s="96" t="s">
        <v>99</v>
      </c>
      <c r="C11" s="83">
        <v>45200000</v>
      </c>
      <c r="D11" s="83">
        <v>45200000</v>
      </c>
      <c r="E11" s="83">
        <v>45200000</v>
      </c>
      <c r="F11" s="83">
        <v>45200000</v>
      </c>
      <c r="G11" s="83">
        <f t="shared" si="0"/>
        <v>0</v>
      </c>
    </row>
    <row r="12" spans="1:110" ht="13.35" customHeight="1" x14ac:dyDescent="0.2">
      <c r="B12" s="96" t="s">
        <v>98</v>
      </c>
      <c r="C12" s="83">
        <v>3588312</v>
      </c>
      <c r="D12" s="83">
        <v>3588312</v>
      </c>
      <c r="E12" s="83">
        <v>3588312</v>
      </c>
      <c r="F12" s="83">
        <v>3588312</v>
      </c>
      <c r="G12" s="83">
        <f t="shared" si="0"/>
        <v>0</v>
      </c>
    </row>
    <row r="13" spans="1:110" ht="13.35" customHeight="1" x14ac:dyDescent="0.2">
      <c r="B13" s="96" t="s">
        <v>186</v>
      </c>
      <c r="C13" s="83">
        <v>20726700</v>
      </c>
      <c r="D13" s="83">
        <v>20726700</v>
      </c>
      <c r="E13" s="83">
        <v>20726700</v>
      </c>
      <c r="F13" s="83">
        <v>20726700</v>
      </c>
      <c r="G13" s="83">
        <f t="shared" si="0"/>
        <v>0</v>
      </c>
    </row>
    <row r="14" spans="1:110" ht="13.35" customHeight="1" x14ac:dyDescent="0.2">
      <c r="B14" s="93" t="s">
        <v>187</v>
      </c>
      <c r="C14" s="83">
        <v>11785641</v>
      </c>
      <c r="D14" s="83">
        <v>11785641</v>
      </c>
      <c r="E14" s="83">
        <v>11785641</v>
      </c>
      <c r="F14" s="83">
        <v>11785641</v>
      </c>
      <c r="G14" s="83">
        <f t="shared" si="0"/>
        <v>0</v>
      </c>
    </row>
    <row r="15" spans="1:110" ht="13.35" customHeight="1" x14ac:dyDescent="0.2">
      <c r="B15" s="93" t="s">
        <v>188</v>
      </c>
      <c r="C15" s="83">
        <v>328950</v>
      </c>
      <c r="D15" s="83">
        <v>328950</v>
      </c>
      <c r="E15" s="83">
        <v>328950</v>
      </c>
      <c r="F15" s="83">
        <v>328950</v>
      </c>
      <c r="G15" s="83">
        <f t="shared" si="0"/>
        <v>0</v>
      </c>
    </row>
    <row r="16" spans="1:110" ht="13.35" customHeight="1" x14ac:dyDescent="0.2">
      <c r="B16" s="93" t="s">
        <v>189</v>
      </c>
      <c r="C16" s="83">
        <v>15842550</v>
      </c>
      <c r="D16" s="83">
        <v>15842550</v>
      </c>
      <c r="E16" s="83">
        <v>15842550</v>
      </c>
      <c r="F16" s="83">
        <v>15842550</v>
      </c>
      <c r="G16" s="83">
        <f t="shared" si="0"/>
        <v>0</v>
      </c>
    </row>
    <row r="17" spans="2:7" ht="13.35" customHeight="1" x14ac:dyDescent="0.2">
      <c r="B17" s="93" t="s">
        <v>93</v>
      </c>
      <c r="C17" s="83">
        <v>50000</v>
      </c>
      <c r="D17" s="83">
        <v>50000</v>
      </c>
      <c r="E17" s="83">
        <v>50000</v>
      </c>
      <c r="F17" s="83">
        <v>50000</v>
      </c>
      <c r="G17" s="83">
        <f t="shared" si="0"/>
        <v>0</v>
      </c>
    </row>
    <row r="18" spans="2:7" ht="13.35" customHeight="1" x14ac:dyDescent="0.2">
      <c r="B18" s="93" t="s">
        <v>258</v>
      </c>
      <c r="D18" s="83">
        <v>948309</v>
      </c>
      <c r="E18" s="83">
        <v>948309</v>
      </c>
      <c r="F18" s="83">
        <v>948309</v>
      </c>
      <c r="G18" s="83">
        <f t="shared" si="0"/>
        <v>0</v>
      </c>
    </row>
    <row r="19" spans="2:7" ht="13.35" customHeight="1" x14ac:dyDescent="0.2">
      <c r="B19" s="97" t="s">
        <v>64</v>
      </c>
      <c r="C19" s="98">
        <f>C20+C21+C22+C23</f>
        <v>222209300</v>
      </c>
      <c r="D19" s="98">
        <f>D20+D21+D22+D23</f>
        <v>222209300</v>
      </c>
      <c r="E19" s="98">
        <f>E20+E21+E22+E23</f>
        <v>222716233</v>
      </c>
      <c r="F19" s="98">
        <f>F20+F21+F22+F23</f>
        <v>237888533</v>
      </c>
      <c r="G19" s="98">
        <f t="shared" si="0"/>
        <v>15172300</v>
      </c>
    </row>
    <row r="20" spans="2:7" ht="12.75" customHeight="1" x14ac:dyDescent="0.2">
      <c r="B20" s="99" t="s">
        <v>190</v>
      </c>
      <c r="C20" s="83">
        <f>97710400+48578400+1228500+30000000+15000000</f>
        <v>192517300</v>
      </c>
      <c r="D20" s="83">
        <f>97710400+48578400+1228500+30000000+15000000</f>
        <v>192517300</v>
      </c>
      <c r="E20" s="83">
        <f>97710400+48578400+1228500+30000000+15000000+553600</f>
        <v>193070900</v>
      </c>
      <c r="F20" s="83">
        <f>98264000+51623200+1305500+30000000+15000000</f>
        <v>196192700</v>
      </c>
      <c r="G20" s="83">
        <f t="shared" si="0"/>
        <v>3121800</v>
      </c>
    </row>
    <row r="21" spans="2:7" ht="13.35" customHeight="1" x14ac:dyDescent="0.2">
      <c r="B21" s="100" t="s">
        <v>91</v>
      </c>
      <c r="C21" s="83">
        <f>18386667+9193333</f>
        <v>27580000</v>
      </c>
      <c r="D21" s="83">
        <f>18386667+9193333</f>
        <v>27580000</v>
      </c>
      <c r="E21" s="83">
        <f>18386667+9193333-46667</f>
        <v>27533333</v>
      </c>
      <c r="F21" s="83">
        <f>18970000+9193333</f>
        <v>28163333</v>
      </c>
      <c r="G21" s="83">
        <f t="shared" si="0"/>
        <v>630000</v>
      </c>
    </row>
    <row r="22" spans="2:7" ht="13.35" customHeight="1" x14ac:dyDescent="0.2">
      <c r="B22" s="93" t="s">
        <v>191</v>
      </c>
      <c r="C22" s="83">
        <v>0</v>
      </c>
      <c r="D22" s="83">
        <v>0</v>
      </c>
      <c r="E22" s="83">
        <v>0</v>
      </c>
      <c r="F22" s="83">
        <v>11420500</v>
      </c>
      <c r="G22" s="83">
        <f t="shared" si="0"/>
        <v>11420500</v>
      </c>
    </row>
    <row r="23" spans="2:7" ht="13.35" customHeight="1" x14ac:dyDescent="0.2">
      <c r="B23" s="93" t="s">
        <v>192</v>
      </c>
      <c r="C23" s="83">
        <v>2112000</v>
      </c>
      <c r="D23" s="83">
        <v>2112000</v>
      </c>
      <c r="E23" s="83">
        <v>2112000</v>
      </c>
      <c r="F23" s="83">
        <v>2112000</v>
      </c>
      <c r="G23" s="83">
        <f t="shared" si="0"/>
        <v>0</v>
      </c>
    </row>
    <row r="24" spans="2:7" ht="13.35" customHeight="1" x14ac:dyDescent="0.2">
      <c r="B24" s="97" t="s">
        <v>65</v>
      </c>
      <c r="C24" s="98">
        <f>C25+C26+C27+C28+C29+C30+C31</f>
        <v>248031424</v>
      </c>
      <c r="D24" s="98">
        <f>D25+D26+D27+D28+D29+D30+D31</f>
        <v>251884728</v>
      </c>
      <c r="E24" s="98">
        <f>E25+E26+E27+E28+E29+E30+E31</f>
        <v>253163077</v>
      </c>
      <c r="F24" s="98">
        <f>F25+F26+F27+F28+F29+F30+F31</f>
        <v>285247651</v>
      </c>
      <c r="G24" s="98">
        <f t="shared" si="0"/>
        <v>32084574</v>
      </c>
    </row>
    <row r="25" spans="2:7" ht="13.35" customHeight="1" x14ac:dyDescent="0.2">
      <c r="B25" s="93" t="s">
        <v>193</v>
      </c>
      <c r="C25" s="83">
        <v>9878000</v>
      </c>
      <c r="D25" s="83">
        <f>9878000+498000+297270</f>
        <v>10673270</v>
      </c>
      <c r="E25" s="83">
        <f>9878000+497984+297270+216540+201780+198270</f>
        <v>11289844</v>
      </c>
      <c r="F25" s="83">
        <f>9878000+497984+297270+216540+201780+198270+184320</f>
        <v>11474164</v>
      </c>
      <c r="G25" s="83">
        <f t="shared" si="0"/>
        <v>184320</v>
      </c>
    </row>
    <row r="26" spans="2:7" ht="13.35" customHeight="1" x14ac:dyDescent="0.2">
      <c r="B26" s="93" t="s">
        <v>194</v>
      </c>
      <c r="C26" s="83">
        <v>38632170</v>
      </c>
      <c r="D26" s="83">
        <v>38632170</v>
      </c>
      <c r="E26" s="83">
        <f>38632170-913440-377000+494640</f>
        <v>37836370</v>
      </c>
      <c r="F26" s="83">
        <f>38632170-913440-377000+494640</f>
        <v>37836370</v>
      </c>
      <c r="G26" s="83">
        <f t="shared" si="0"/>
        <v>0</v>
      </c>
    </row>
    <row r="27" spans="2:7" ht="13.35" customHeight="1" x14ac:dyDescent="0.2">
      <c r="B27" s="93" t="s">
        <v>195</v>
      </c>
      <c r="C27" s="83">
        <f>9387900+100315797-C28</f>
        <v>84350377</v>
      </c>
      <c r="D27" s="83">
        <f>9387900+100315797-D28</f>
        <v>84350377</v>
      </c>
      <c r="E27" s="83">
        <f>9387900+100315797-E28</f>
        <v>84350377</v>
      </c>
      <c r="F27" s="83">
        <f>9387900+100315797-F28-548064-377000</f>
        <v>83425313</v>
      </c>
      <c r="G27" s="83">
        <f t="shared" si="0"/>
        <v>-925064</v>
      </c>
    </row>
    <row r="28" spans="2:7" ht="26.25" customHeight="1" x14ac:dyDescent="0.2">
      <c r="B28" s="93" t="s">
        <v>196</v>
      </c>
      <c r="C28" s="83">
        <f>20848320+4505000</f>
        <v>25353320</v>
      </c>
      <c r="D28" s="83">
        <f>20848320+4505000</f>
        <v>25353320</v>
      </c>
      <c r="E28" s="83">
        <f>20848320+4505000</f>
        <v>25353320</v>
      </c>
      <c r="F28" s="83">
        <f>20848320+4505000</f>
        <v>25353320</v>
      </c>
      <c r="G28" s="83">
        <f t="shared" si="0"/>
        <v>0</v>
      </c>
    </row>
    <row r="29" spans="2:7" ht="13.35" customHeight="1" x14ac:dyDescent="0.2">
      <c r="B29" s="93" t="s">
        <v>95</v>
      </c>
      <c r="C29" s="83">
        <v>53431680</v>
      </c>
      <c r="D29" s="83">
        <v>53431680</v>
      </c>
      <c r="E29" s="83">
        <v>53431680</v>
      </c>
      <c r="F29" s="83">
        <f>53431680-4993920</f>
        <v>48437760</v>
      </c>
      <c r="G29" s="83">
        <f t="shared" si="0"/>
        <v>-4993920</v>
      </c>
    </row>
    <row r="30" spans="2:7" ht="13.35" customHeight="1" x14ac:dyDescent="0.2">
      <c r="B30" s="93" t="s">
        <v>94</v>
      </c>
      <c r="C30" s="83">
        <v>36385877</v>
      </c>
      <c r="D30" s="83">
        <v>36385877</v>
      </c>
      <c r="E30" s="83">
        <v>36385877</v>
      </c>
      <c r="F30" s="83">
        <f>36385877+36228264</f>
        <v>72614141</v>
      </c>
      <c r="G30" s="83">
        <f t="shared" si="0"/>
        <v>36228264</v>
      </c>
    </row>
    <row r="31" spans="2:7" ht="13.35" customHeight="1" x14ac:dyDescent="0.2">
      <c r="B31" s="93" t="s">
        <v>259</v>
      </c>
      <c r="D31" s="83">
        <f>1490989+1567045</f>
        <v>3058034</v>
      </c>
      <c r="E31" s="83">
        <f>1490989+1567045+1457575</f>
        <v>4515609</v>
      </c>
      <c r="F31" s="83">
        <f>1490989+1567045+1457575+1590974</f>
        <v>6106583</v>
      </c>
      <c r="G31" s="83">
        <f t="shared" si="0"/>
        <v>1590974</v>
      </c>
    </row>
    <row r="32" spans="2:7" ht="13.35" customHeight="1" x14ac:dyDescent="0.2">
      <c r="B32" s="97" t="s">
        <v>96</v>
      </c>
      <c r="C32" s="98">
        <f>SUM(C33:C35)</f>
        <v>40849400</v>
      </c>
      <c r="D32" s="98">
        <f>SUM(D33:D35)</f>
        <v>41944102</v>
      </c>
      <c r="E32" s="98">
        <f>SUM(E33:E35)</f>
        <v>41944102</v>
      </c>
      <c r="F32" s="98">
        <f>SUM(F33:F35)</f>
        <v>41944102</v>
      </c>
      <c r="G32" s="98">
        <f t="shared" si="0"/>
        <v>0</v>
      </c>
    </row>
    <row r="33" spans="1:8" ht="13.35" customHeight="1" x14ac:dyDescent="0.2">
      <c r="B33" s="93" t="s">
        <v>101</v>
      </c>
      <c r="C33" s="83">
        <f>6560700*2</f>
        <v>13121400</v>
      </c>
      <c r="D33" s="83">
        <f>6560700*2</f>
        <v>13121400</v>
      </c>
      <c r="E33" s="83">
        <f>6560700*2</f>
        <v>13121400</v>
      </c>
      <c r="F33" s="83">
        <f>6560700*2</f>
        <v>13121400</v>
      </c>
      <c r="G33" s="83">
        <f t="shared" si="0"/>
        <v>0</v>
      </c>
    </row>
    <row r="34" spans="1:8" ht="13.35" customHeight="1" x14ac:dyDescent="0.2">
      <c r="B34" s="93" t="s">
        <v>66</v>
      </c>
      <c r="C34" s="83">
        <v>27728000</v>
      </c>
      <c r="D34" s="83">
        <v>27728000</v>
      </c>
      <c r="E34" s="83">
        <v>27728000</v>
      </c>
      <c r="F34" s="83">
        <v>27728000</v>
      </c>
      <c r="G34" s="83">
        <f t="shared" si="0"/>
        <v>0</v>
      </c>
    </row>
    <row r="35" spans="1:8" ht="13.35" customHeight="1" x14ac:dyDescent="0.2">
      <c r="B35" s="93" t="s">
        <v>260</v>
      </c>
      <c r="D35" s="83">
        <v>1094702</v>
      </c>
      <c r="E35" s="83">
        <v>1094702</v>
      </c>
      <c r="F35" s="83">
        <v>1094702</v>
      </c>
      <c r="G35" s="83">
        <f t="shared" si="0"/>
        <v>0</v>
      </c>
    </row>
    <row r="36" spans="1:8" ht="20.25" customHeight="1" x14ac:dyDescent="0.2">
      <c r="B36" s="97" t="s">
        <v>92</v>
      </c>
      <c r="C36" s="98">
        <v>-19291359</v>
      </c>
      <c r="D36" s="98">
        <v>-19291359</v>
      </c>
      <c r="E36" s="98">
        <v>-19291359</v>
      </c>
      <c r="F36" s="98">
        <v>-19291359</v>
      </c>
      <c r="G36" s="98">
        <f t="shared" si="0"/>
        <v>0</v>
      </c>
    </row>
    <row r="37" spans="1:8" s="106" customFormat="1" ht="16.5" customHeight="1" x14ac:dyDescent="0.2">
      <c r="B37" s="109" t="s">
        <v>55</v>
      </c>
      <c r="C37" s="110">
        <f>C7+C19+C24+C32</f>
        <v>783133665</v>
      </c>
      <c r="D37" s="110">
        <f>D7+D19+D24+D32</f>
        <v>789029980</v>
      </c>
      <c r="E37" s="110">
        <f>E7+E19+E24+E32</f>
        <v>790815262</v>
      </c>
      <c r="F37" s="110">
        <f>F7+F19+F24+F32</f>
        <v>838072136</v>
      </c>
      <c r="G37" s="110">
        <f t="shared" si="0"/>
        <v>47256874</v>
      </c>
    </row>
    <row r="38" spans="1:8" ht="17.25" customHeight="1" x14ac:dyDescent="0.2">
      <c r="B38" s="101"/>
    </row>
    <row r="39" spans="1:8" ht="17.25" customHeight="1" x14ac:dyDescent="0.2">
      <c r="A39" s="208" t="s">
        <v>261</v>
      </c>
      <c r="B39" s="208"/>
      <c r="C39" s="208"/>
      <c r="D39" s="208"/>
      <c r="E39" s="208"/>
      <c r="F39" s="208"/>
      <c r="G39" s="208"/>
      <c r="H39" s="208"/>
    </row>
    <row r="40" spans="1:8" x14ac:dyDescent="0.2">
      <c r="A40" s="120"/>
      <c r="B40" s="97" t="s">
        <v>263</v>
      </c>
      <c r="C40" s="98">
        <f>SUM(C41:C42)</f>
        <v>0</v>
      </c>
      <c r="D40" s="98">
        <f>SUM(D41:D43)</f>
        <v>6263421</v>
      </c>
      <c r="E40" s="98">
        <f>SUM(E41:E43)</f>
        <v>12616088</v>
      </c>
      <c r="F40" s="98">
        <f>SUM(F41:F43)</f>
        <v>14927821</v>
      </c>
      <c r="G40" s="98">
        <f t="shared" ref="G40:G48" si="1">F40-E40</f>
        <v>2311733</v>
      </c>
      <c r="H40" s="120"/>
    </row>
    <row r="41" spans="1:8" x14ac:dyDescent="0.2">
      <c r="A41" s="120"/>
      <c r="B41" s="93" t="s">
        <v>267</v>
      </c>
      <c r="C41" s="120"/>
      <c r="D41" s="189">
        <f>489068+950849+875284+900684+917448+917448</f>
        <v>5050781</v>
      </c>
      <c r="E41" s="189">
        <f>489068+950849+875284+900684+917448+917448+930910+934847+924560</f>
        <v>7841098</v>
      </c>
      <c r="F41" s="189">
        <f>489068+950849+875284+900684+917448+917448+930910+934847+924560+945388+939419+436254</f>
        <v>10162159</v>
      </c>
      <c r="G41" s="83">
        <f t="shared" si="1"/>
        <v>2321061</v>
      </c>
      <c r="H41" s="120"/>
    </row>
    <row r="42" spans="1:8" x14ac:dyDescent="0.2">
      <c r="A42" s="120"/>
      <c r="B42" s="93" t="s">
        <v>268</v>
      </c>
      <c r="C42" s="120"/>
      <c r="D42" s="189">
        <v>1212640</v>
      </c>
      <c r="E42" s="189">
        <v>1212640</v>
      </c>
      <c r="F42" s="189">
        <f>1212640-9328</f>
        <v>1203312</v>
      </c>
      <c r="G42" s="83">
        <f t="shared" si="1"/>
        <v>-9328</v>
      </c>
      <c r="H42" s="120"/>
    </row>
    <row r="43" spans="1:8" x14ac:dyDescent="0.2">
      <c r="A43" s="120"/>
      <c r="B43" s="93" t="s">
        <v>288</v>
      </c>
      <c r="C43" s="120"/>
      <c r="D43" s="187"/>
      <c r="E43" s="189">
        <v>3562350</v>
      </c>
      <c r="F43" s="189">
        <v>3562350</v>
      </c>
      <c r="G43" s="83">
        <f t="shared" si="1"/>
        <v>0</v>
      </c>
      <c r="H43" s="120"/>
    </row>
    <row r="44" spans="1:8" x14ac:dyDescent="0.2">
      <c r="A44" s="120"/>
      <c r="B44" s="97" t="s">
        <v>264</v>
      </c>
      <c r="C44" s="98">
        <f>SUM(C45:C48)</f>
        <v>0</v>
      </c>
      <c r="D44" s="98">
        <f>SUM(D45:D48)</f>
        <v>0</v>
      </c>
      <c r="E44" s="98">
        <f>SUM(E45:E48)</f>
        <v>31000000</v>
      </c>
      <c r="F44" s="98">
        <f>SUM(F45:F48)</f>
        <v>33280000</v>
      </c>
      <c r="G44" s="98">
        <f t="shared" si="1"/>
        <v>2280000</v>
      </c>
      <c r="H44" s="120"/>
    </row>
    <row r="45" spans="1:8" x14ac:dyDescent="0.2">
      <c r="A45" s="120"/>
      <c r="B45" s="186" t="s">
        <v>289</v>
      </c>
      <c r="E45" s="83">
        <v>30000000</v>
      </c>
      <c r="F45" s="83">
        <v>30000000</v>
      </c>
      <c r="G45" s="83">
        <f t="shared" si="1"/>
        <v>0</v>
      </c>
      <c r="H45" s="120"/>
    </row>
    <row r="46" spans="1:8" x14ac:dyDescent="0.2">
      <c r="A46" s="120"/>
      <c r="B46" s="195" t="s">
        <v>303</v>
      </c>
      <c r="F46" s="83">
        <v>280000</v>
      </c>
      <c r="G46" s="83">
        <f t="shared" si="1"/>
        <v>280000</v>
      </c>
      <c r="H46" s="120"/>
    </row>
    <row r="47" spans="1:8" x14ac:dyDescent="0.2">
      <c r="A47" s="120"/>
      <c r="B47" s="195" t="s">
        <v>305</v>
      </c>
      <c r="E47" s="83">
        <v>1000000</v>
      </c>
      <c r="F47" s="83">
        <v>1000000</v>
      </c>
      <c r="G47" s="83">
        <f t="shared" si="1"/>
        <v>0</v>
      </c>
      <c r="H47" s="120"/>
    </row>
    <row r="48" spans="1:8" x14ac:dyDescent="0.2">
      <c r="A48" s="120"/>
      <c r="B48" s="195" t="s">
        <v>306</v>
      </c>
      <c r="C48" s="120"/>
      <c r="D48" s="120"/>
      <c r="E48" s="120"/>
      <c r="F48" s="83">
        <v>2000000</v>
      </c>
      <c r="G48" s="83">
        <f t="shared" si="1"/>
        <v>2000000</v>
      </c>
      <c r="H48" s="120"/>
    </row>
    <row r="49" spans="1:8" x14ac:dyDescent="0.2">
      <c r="A49" s="120"/>
      <c r="B49" s="195"/>
      <c r="C49" s="120"/>
      <c r="D49" s="120"/>
      <c r="E49" s="120"/>
      <c r="H49" s="120"/>
    </row>
    <row r="50" spans="1:8" x14ac:dyDescent="0.2">
      <c r="A50" s="120"/>
      <c r="B50" s="97" t="s">
        <v>265</v>
      </c>
      <c r="C50" s="98">
        <f>SUM(C51:C52)</f>
        <v>86130335</v>
      </c>
      <c r="D50" s="98">
        <f>SUM(D51:D52)</f>
        <v>86130335</v>
      </c>
      <c r="E50" s="98">
        <f>SUM(E51:E52)</f>
        <v>68960000</v>
      </c>
      <c r="F50" s="98">
        <f>SUM(F51:F52)</f>
        <v>60000000</v>
      </c>
      <c r="G50" s="98">
        <f>F50-E50</f>
        <v>-8960000</v>
      </c>
      <c r="H50" s="120"/>
    </row>
    <row r="51" spans="1:8" x14ac:dyDescent="0.2">
      <c r="A51" s="188"/>
      <c r="B51" s="93" t="s">
        <v>266</v>
      </c>
      <c r="C51" s="189">
        <f>77170335+8960000</f>
        <v>86130335</v>
      </c>
      <c r="D51" s="189">
        <f>77170335+8960000</f>
        <v>86130335</v>
      </c>
      <c r="E51" s="189">
        <f>60000000+8960000</f>
        <v>68960000</v>
      </c>
      <c r="F51" s="189">
        <v>60000000</v>
      </c>
      <c r="G51" s="83">
        <f>F51-E51</f>
        <v>-8960000</v>
      </c>
      <c r="H51" s="188"/>
    </row>
    <row r="52" spans="1:8" ht="17.25" customHeight="1" x14ac:dyDescent="0.2">
      <c r="A52" s="120"/>
      <c r="B52" s="120"/>
      <c r="C52" s="120"/>
      <c r="D52" s="120"/>
      <c r="E52" s="120"/>
      <c r="F52" s="120"/>
      <c r="G52" s="83">
        <f>E52-D52</f>
        <v>0</v>
      </c>
      <c r="H52" s="120"/>
    </row>
    <row r="53" spans="1:8" x14ac:dyDescent="0.2">
      <c r="A53" s="120"/>
      <c r="B53" s="97" t="s">
        <v>304</v>
      </c>
      <c r="C53" s="98"/>
      <c r="D53" s="98"/>
      <c r="E53" s="98"/>
      <c r="F53" s="98">
        <v>570000</v>
      </c>
      <c r="G53" s="98">
        <f>F53-E53</f>
        <v>570000</v>
      </c>
      <c r="H53" s="120"/>
    </row>
    <row r="54" spans="1:8" x14ac:dyDescent="0.2">
      <c r="A54" s="188"/>
      <c r="B54" s="93"/>
      <c r="C54" s="189"/>
      <c r="D54" s="189"/>
      <c r="E54" s="189"/>
      <c r="F54" s="189"/>
      <c r="G54" s="83">
        <f>F54-E54</f>
        <v>0</v>
      </c>
      <c r="H54" s="188"/>
    </row>
    <row r="55" spans="1:8" ht="17.25" customHeight="1" x14ac:dyDescent="0.2">
      <c r="A55" s="120"/>
      <c r="B55" s="120"/>
      <c r="C55" s="120"/>
      <c r="D55" s="120"/>
      <c r="E55" s="120"/>
      <c r="F55" s="120"/>
      <c r="G55" s="83">
        <f>E55-D55</f>
        <v>0</v>
      </c>
      <c r="H55" s="120"/>
    </row>
    <row r="56" spans="1:8" s="107" customFormat="1" ht="17.25" customHeight="1" x14ac:dyDescent="0.25">
      <c r="A56" s="102"/>
      <c r="B56" s="111" t="s">
        <v>262</v>
      </c>
      <c r="C56" s="112">
        <f>C44+C40+C50+C53</f>
        <v>86130335</v>
      </c>
      <c r="D56" s="112">
        <f>D44+D40+D50+D53</f>
        <v>92393756</v>
      </c>
      <c r="E56" s="112">
        <f>E44+E40+E50+E53</f>
        <v>112576088</v>
      </c>
      <c r="F56" s="112">
        <f>F44+F40+F50+F53</f>
        <v>108777821</v>
      </c>
      <c r="G56" s="112">
        <f>G44+G40+G50+G53</f>
        <v>-3798267</v>
      </c>
      <c r="H56" s="102"/>
    </row>
    <row r="57" spans="1:8" ht="17.25" customHeight="1" x14ac:dyDescent="0.2">
      <c r="A57" s="102"/>
      <c r="B57" s="102"/>
      <c r="C57" s="102"/>
      <c r="D57" s="102"/>
      <c r="E57" s="102"/>
      <c r="F57" s="102"/>
      <c r="G57" s="102"/>
      <c r="H57" s="102"/>
    </row>
    <row r="58" spans="1:8" s="87" customFormat="1" ht="18" customHeight="1" x14ac:dyDescent="0.25">
      <c r="A58" s="113"/>
      <c r="B58" s="113" t="s">
        <v>185</v>
      </c>
      <c r="C58" s="114">
        <f>C56+C37</f>
        <v>869264000</v>
      </c>
      <c r="D58" s="114">
        <f>D56+D37</f>
        <v>881423736</v>
      </c>
      <c r="E58" s="114">
        <f>E56+E37</f>
        <v>903391350</v>
      </c>
      <c r="F58" s="114">
        <f>F56+F37</f>
        <v>946849957</v>
      </c>
      <c r="G58" s="114">
        <f>G56+G37</f>
        <v>43458607</v>
      </c>
      <c r="H58" s="87" t="s">
        <v>255</v>
      </c>
    </row>
    <row r="59" spans="1:8" ht="13.35" customHeight="1" x14ac:dyDescent="0.2">
      <c r="F59" s="83">
        <f>F58-F44-F53</f>
        <v>912999957</v>
      </c>
    </row>
    <row r="60" spans="1:8" ht="13.35" customHeight="1" x14ac:dyDescent="0.2">
      <c r="B60" s="103"/>
    </row>
    <row r="61" spans="1:8" s="88" customFormat="1" ht="13.35" customHeight="1" x14ac:dyDescent="0.2">
      <c r="B61" s="104"/>
      <c r="C61" s="89"/>
      <c r="D61" s="89"/>
      <c r="E61" s="89"/>
      <c r="F61" s="89"/>
      <c r="G61" s="89"/>
    </row>
    <row r="62" spans="1:8" s="88" customFormat="1" ht="13.35" customHeight="1" x14ac:dyDescent="0.2">
      <c r="B62" s="105"/>
      <c r="C62" s="89"/>
      <c r="D62" s="89"/>
      <c r="E62" s="89"/>
      <c r="F62" s="89"/>
      <c r="G62" s="89"/>
    </row>
    <row r="63" spans="1:8" s="88" customFormat="1" ht="13.35" customHeight="1" x14ac:dyDescent="0.2">
      <c r="B63" s="104"/>
      <c r="C63" s="89"/>
      <c r="D63" s="89"/>
      <c r="E63" s="89"/>
      <c r="F63" s="89"/>
      <c r="G63" s="89"/>
    </row>
    <row r="64" spans="1:8" ht="13.35" customHeight="1" x14ac:dyDescent="0.2"/>
  </sheetData>
  <mergeCells count="2">
    <mergeCell ref="A39:H39"/>
    <mergeCell ref="A4:G4"/>
  </mergeCells>
  <phoneticPr fontId="1" type="noConversion"/>
  <pageMargins left="0.59" right="0.16" top="0.59055118110236227" bottom="0.59055118110236227" header="0.51181102362204722" footer="0.51181102362204722"/>
  <pageSetup paperSize="9" scale="9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1"/>
  <sheetViews>
    <sheetView tabSelected="1" zoomScaleNormal="100" zoomScaleSheetLayoutView="100" workbookViewId="0">
      <pane xSplit="1" ySplit="5" topLeftCell="CQ6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RowHeight="12.75" x14ac:dyDescent="0.2"/>
  <cols>
    <col min="1" max="1" width="30.85546875" style="12" customWidth="1"/>
    <col min="2" max="2" width="9.5703125" style="12" customWidth="1"/>
    <col min="3" max="4" width="9.7109375" style="12" customWidth="1"/>
    <col min="5" max="5" width="8" style="12" bestFit="1" customWidth="1"/>
    <col min="6" max="6" width="8.7109375" style="12" bestFit="1" customWidth="1"/>
    <col min="7" max="8" width="9.5703125" style="12" customWidth="1"/>
    <col min="9" max="9" width="8" style="12" bestFit="1" customWidth="1"/>
    <col min="10" max="10" width="8.7109375" style="12" bestFit="1" customWidth="1"/>
    <col min="11" max="12" width="10.28515625" style="12" customWidth="1"/>
    <col min="13" max="13" width="8" style="12" bestFit="1" customWidth="1"/>
    <col min="14" max="14" width="8.7109375" style="12" bestFit="1" customWidth="1"/>
    <col min="15" max="16" width="9.7109375" style="12" customWidth="1"/>
    <col min="17" max="17" width="7.42578125" style="12" bestFit="1" customWidth="1"/>
    <col min="18" max="18" width="8.7109375" style="12" bestFit="1" customWidth="1"/>
    <col min="19" max="20" width="9.28515625" style="12" customWidth="1"/>
    <col min="21" max="21" width="7.42578125" style="12" bestFit="1" customWidth="1"/>
    <col min="22" max="22" width="8.7109375" style="12" bestFit="1" customWidth="1"/>
    <col min="23" max="24" width="9" style="12" customWidth="1"/>
    <col min="25" max="25" width="7.42578125" style="12" bestFit="1" customWidth="1"/>
    <col min="26" max="26" width="8.7109375" style="12" bestFit="1" customWidth="1"/>
    <col min="27" max="28" width="9.5703125" style="12" customWidth="1"/>
    <col min="29" max="29" width="7.42578125" style="12" bestFit="1" customWidth="1"/>
    <col min="30" max="32" width="10" style="12" customWidth="1"/>
    <col min="33" max="33" width="9.140625" style="12"/>
    <col min="34" max="34" width="8.7109375" style="12" bestFit="1" customWidth="1"/>
    <col min="35" max="36" width="9.7109375" style="12" customWidth="1"/>
    <col min="37" max="37" width="8" style="12" bestFit="1" customWidth="1"/>
    <col min="38" max="38" width="8.7109375" style="12" bestFit="1" customWidth="1"/>
    <col min="39" max="40" width="9.7109375" style="12" customWidth="1"/>
    <col min="41" max="41" width="8" style="12" bestFit="1" customWidth="1"/>
    <col min="42" max="42" width="8.7109375" style="12" bestFit="1" customWidth="1"/>
    <col min="43" max="44" width="9.42578125" style="12" customWidth="1"/>
    <col min="45" max="45" width="8" style="12" bestFit="1" customWidth="1"/>
    <col min="46" max="46" width="8.85546875" style="12" bestFit="1" customWidth="1"/>
    <col min="47" max="48" width="9.28515625" style="12" customWidth="1"/>
    <col min="49" max="49" width="9.42578125" style="12" bestFit="1" customWidth="1"/>
    <col min="50" max="50" width="8.7109375" style="12" customWidth="1"/>
    <col min="51" max="52" width="9.42578125" style="12" customWidth="1"/>
    <col min="53" max="53" width="8" style="12" bestFit="1" customWidth="1"/>
    <col min="54" max="54" width="9.140625" style="12" bestFit="1"/>
    <col min="55" max="56" width="8.5703125" style="12" customWidth="1"/>
    <col min="57" max="57" width="7.42578125" style="12" bestFit="1" customWidth="1"/>
    <col min="58" max="58" width="9.140625" style="12" bestFit="1"/>
    <col min="59" max="60" width="9.28515625" style="12" customWidth="1"/>
    <col min="61" max="61" width="8" style="12" bestFit="1" customWidth="1"/>
    <col min="62" max="62" width="9.140625" style="12" bestFit="1"/>
    <col min="63" max="64" width="8.7109375" style="12" customWidth="1"/>
    <col min="65" max="65" width="7.42578125" style="12" bestFit="1" customWidth="1"/>
    <col min="66" max="66" width="9.140625" style="12" bestFit="1"/>
    <col min="67" max="68" width="8.28515625" style="12" customWidth="1"/>
    <col min="69" max="69" width="8" style="12" bestFit="1" customWidth="1"/>
    <col min="70" max="70" width="9.140625" style="12" bestFit="1"/>
    <col min="71" max="72" width="9.42578125" style="12" customWidth="1"/>
    <col min="73" max="73" width="7.42578125" style="12" bestFit="1" customWidth="1"/>
    <col min="74" max="74" width="9.140625" style="12" bestFit="1"/>
    <col min="75" max="76" width="9.42578125" style="12" customWidth="1"/>
    <col min="77" max="77" width="8" style="12" bestFit="1" customWidth="1"/>
    <col min="78" max="78" width="8.7109375" style="12" customWidth="1"/>
    <col min="79" max="80" width="9.5703125" style="12" customWidth="1"/>
    <col min="81" max="81" width="8" style="12" bestFit="1" customWidth="1"/>
    <col min="82" max="82" width="9.140625" style="12" bestFit="1"/>
    <col min="83" max="84" width="8.7109375" style="12" customWidth="1"/>
    <col min="85" max="85" width="7.42578125" style="12" bestFit="1" customWidth="1"/>
    <col min="86" max="86" width="9.140625" style="12" bestFit="1"/>
    <col min="87" max="88" width="9.42578125" style="12" customWidth="1"/>
    <col min="89" max="89" width="7.42578125" style="12" bestFit="1" customWidth="1"/>
    <col min="90" max="90" width="9.140625" style="12" bestFit="1"/>
    <col min="91" max="92" width="8.42578125" style="12" customWidth="1"/>
    <col min="93" max="93" width="7.42578125" style="12" bestFit="1" customWidth="1"/>
    <col min="94" max="94" width="10.5703125" style="12" customWidth="1"/>
    <col min="95" max="96" width="8.85546875" style="12" customWidth="1"/>
    <col min="97" max="97" width="7.42578125" style="12" bestFit="1" customWidth="1"/>
    <col min="98" max="98" width="9.42578125" style="12" customWidth="1"/>
    <col min="99" max="100" width="8.85546875" style="12" customWidth="1"/>
    <col min="101" max="101" width="8.5703125" style="12" customWidth="1"/>
    <col min="102" max="102" width="12.140625" style="21" customWidth="1"/>
    <col min="103" max="104" width="8.85546875" style="12" customWidth="1"/>
    <col min="105" max="105" width="9.7109375" style="12" customWidth="1"/>
    <col min="106" max="106" width="8.140625" style="12" customWidth="1"/>
    <col min="107" max="107" width="9.28515625" style="12" customWidth="1"/>
    <col min="108" max="108" width="8.42578125" style="12" customWidth="1"/>
    <col min="109" max="109" width="9" style="12" customWidth="1"/>
    <col min="110" max="110" width="2" style="12" customWidth="1"/>
    <col min="111" max="16384" width="9.140625" style="12"/>
  </cols>
  <sheetData>
    <row r="1" spans="1:110" ht="13.5" x14ac:dyDescent="0.25">
      <c r="A1" s="169" t="s">
        <v>328</v>
      </c>
    </row>
    <row r="2" spans="1:110" ht="13.5" x14ac:dyDescent="0.25">
      <c r="A2" s="169" t="s">
        <v>276</v>
      </c>
    </row>
    <row r="3" spans="1:110" ht="15.75" x14ac:dyDescent="0.25">
      <c r="A3" s="79"/>
      <c r="B3" s="212" t="s">
        <v>104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 t="s">
        <v>104</v>
      </c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 t="s">
        <v>104</v>
      </c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 t="s">
        <v>104</v>
      </c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 t="s">
        <v>105</v>
      </c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 t="s">
        <v>105</v>
      </c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 t="s">
        <v>105</v>
      </c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 t="s">
        <v>105</v>
      </c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 t="s">
        <v>105</v>
      </c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</row>
    <row r="4" spans="1:110" s="18" customFormat="1" ht="39" customHeight="1" x14ac:dyDescent="0.2">
      <c r="A4" s="18" t="s">
        <v>3</v>
      </c>
      <c r="B4" s="210" t="s">
        <v>163</v>
      </c>
      <c r="C4" s="210"/>
      <c r="D4" s="210"/>
      <c r="E4" s="210"/>
      <c r="F4" s="210" t="s">
        <v>164</v>
      </c>
      <c r="G4" s="210"/>
      <c r="H4" s="210"/>
      <c r="I4" s="210"/>
      <c r="J4" s="210" t="s">
        <v>165</v>
      </c>
      <c r="K4" s="210"/>
      <c r="L4" s="210"/>
      <c r="M4" s="210"/>
      <c r="N4" s="210" t="s">
        <v>167</v>
      </c>
      <c r="O4" s="210"/>
      <c r="P4" s="210"/>
      <c r="Q4" s="210"/>
      <c r="R4" s="210" t="s">
        <v>169</v>
      </c>
      <c r="S4" s="210"/>
      <c r="T4" s="210"/>
      <c r="U4" s="210"/>
      <c r="V4" s="210" t="s">
        <v>166</v>
      </c>
      <c r="W4" s="210"/>
      <c r="X4" s="210"/>
      <c r="Y4" s="210"/>
      <c r="Z4" s="210" t="s">
        <v>103</v>
      </c>
      <c r="AA4" s="210"/>
      <c r="AB4" s="210"/>
      <c r="AC4" s="210"/>
      <c r="AD4" s="210" t="s">
        <v>162</v>
      </c>
      <c r="AE4" s="210"/>
      <c r="AF4" s="210"/>
      <c r="AG4" s="210"/>
      <c r="AH4" s="210" t="s">
        <v>160</v>
      </c>
      <c r="AI4" s="210"/>
      <c r="AJ4" s="210"/>
      <c r="AK4" s="210"/>
      <c r="AL4" s="210" t="s">
        <v>173</v>
      </c>
      <c r="AM4" s="210"/>
      <c r="AN4" s="210"/>
      <c r="AO4" s="210"/>
      <c r="AP4" s="210" t="s">
        <v>161</v>
      </c>
      <c r="AQ4" s="210"/>
      <c r="AR4" s="210"/>
      <c r="AS4" s="210"/>
      <c r="AT4" s="210" t="s">
        <v>168</v>
      </c>
      <c r="AU4" s="210"/>
      <c r="AV4" s="210"/>
      <c r="AW4" s="210"/>
      <c r="AX4" s="210" t="s">
        <v>39</v>
      </c>
      <c r="AY4" s="210"/>
      <c r="AZ4" s="210"/>
      <c r="BA4" s="210"/>
      <c r="BB4" s="210" t="s">
        <v>40</v>
      </c>
      <c r="BC4" s="210"/>
      <c r="BD4" s="210"/>
      <c r="BE4" s="210"/>
      <c r="BF4" s="210" t="s">
        <v>18</v>
      </c>
      <c r="BG4" s="210"/>
      <c r="BH4" s="210"/>
      <c r="BI4" s="210"/>
      <c r="BJ4" s="210" t="s">
        <v>41</v>
      </c>
      <c r="BK4" s="210"/>
      <c r="BL4" s="210"/>
      <c r="BM4" s="210"/>
      <c r="BN4" s="211" t="s">
        <v>181</v>
      </c>
      <c r="BO4" s="211"/>
      <c r="BP4" s="211"/>
      <c r="BQ4" s="211"/>
      <c r="BR4" s="211" t="s">
        <v>178</v>
      </c>
      <c r="BS4" s="211"/>
      <c r="BT4" s="211"/>
      <c r="BU4" s="211"/>
      <c r="BV4" s="210" t="s">
        <v>177</v>
      </c>
      <c r="BW4" s="210"/>
      <c r="BX4" s="210"/>
      <c r="BY4" s="210"/>
      <c r="BZ4" s="210" t="s">
        <v>170</v>
      </c>
      <c r="CA4" s="210"/>
      <c r="CB4" s="210"/>
      <c r="CC4" s="210"/>
      <c r="CD4" s="210" t="s">
        <v>171</v>
      </c>
      <c r="CE4" s="210"/>
      <c r="CF4" s="210"/>
      <c r="CG4" s="210"/>
      <c r="CH4" s="211" t="s">
        <v>183</v>
      </c>
      <c r="CI4" s="211"/>
      <c r="CJ4" s="211"/>
      <c r="CK4" s="211"/>
      <c r="CL4" s="211" t="s">
        <v>179</v>
      </c>
      <c r="CM4" s="211"/>
      <c r="CN4" s="211"/>
      <c r="CO4" s="211"/>
      <c r="CP4" s="210" t="s">
        <v>172</v>
      </c>
      <c r="CQ4" s="210"/>
      <c r="CR4" s="210"/>
      <c r="CS4" s="210"/>
      <c r="CT4" s="210" t="s">
        <v>174</v>
      </c>
      <c r="CU4" s="210"/>
      <c r="CV4" s="210"/>
      <c r="CW4" s="210"/>
      <c r="CX4" s="210" t="s">
        <v>175</v>
      </c>
      <c r="CY4" s="210"/>
      <c r="CZ4" s="210"/>
      <c r="DA4" s="210"/>
      <c r="DB4" s="210" t="s">
        <v>176</v>
      </c>
      <c r="DC4" s="210"/>
      <c r="DD4" s="210"/>
      <c r="DE4" s="210"/>
    </row>
    <row r="5" spans="1:110" s="19" customFormat="1" ht="24" customHeight="1" x14ac:dyDescent="0.2">
      <c r="B5" s="172" t="s">
        <v>19</v>
      </c>
      <c r="C5" s="172" t="s">
        <v>286</v>
      </c>
      <c r="D5" s="172" t="s">
        <v>302</v>
      </c>
      <c r="E5" s="172" t="s">
        <v>256</v>
      </c>
      <c r="F5" s="172" t="s">
        <v>19</v>
      </c>
      <c r="G5" s="172" t="s">
        <v>286</v>
      </c>
      <c r="H5" s="172" t="s">
        <v>302</v>
      </c>
      <c r="I5" s="172" t="s">
        <v>256</v>
      </c>
      <c r="J5" s="172" t="s">
        <v>19</v>
      </c>
      <c r="K5" s="172" t="s">
        <v>286</v>
      </c>
      <c r="L5" s="172" t="s">
        <v>302</v>
      </c>
      <c r="M5" s="172" t="s">
        <v>256</v>
      </c>
      <c r="N5" s="172" t="s">
        <v>19</v>
      </c>
      <c r="O5" s="172" t="s">
        <v>286</v>
      </c>
      <c r="P5" s="172" t="s">
        <v>302</v>
      </c>
      <c r="Q5" s="172" t="s">
        <v>256</v>
      </c>
      <c r="R5" s="172" t="s">
        <v>19</v>
      </c>
      <c r="S5" s="172" t="s">
        <v>286</v>
      </c>
      <c r="T5" s="172" t="s">
        <v>302</v>
      </c>
      <c r="U5" s="172" t="s">
        <v>256</v>
      </c>
      <c r="V5" s="172" t="s">
        <v>19</v>
      </c>
      <c r="W5" s="172" t="s">
        <v>286</v>
      </c>
      <c r="X5" s="172" t="s">
        <v>302</v>
      </c>
      <c r="Y5" s="172" t="s">
        <v>256</v>
      </c>
      <c r="Z5" s="172" t="s">
        <v>19</v>
      </c>
      <c r="AA5" s="172" t="s">
        <v>286</v>
      </c>
      <c r="AB5" s="172" t="s">
        <v>302</v>
      </c>
      <c r="AC5" s="172" t="s">
        <v>256</v>
      </c>
      <c r="AD5" s="172" t="s">
        <v>19</v>
      </c>
      <c r="AE5" s="172" t="s">
        <v>286</v>
      </c>
      <c r="AF5" s="172" t="s">
        <v>302</v>
      </c>
      <c r="AG5" s="172" t="s">
        <v>256</v>
      </c>
      <c r="AH5" s="172" t="s">
        <v>19</v>
      </c>
      <c r="AI5" s="172" t="s">
        <v>286</v>
      </c>
      <c r="AJ5" s="172" t="s">
        <v>302</v>
      </c>
      <c r="AK5" s="172" t="s">
        <v>256</v>
      </c>
      <c r="AL5" s="172" t="s">
        <v>19</v>
      </c>
      <c r="AM5" s="172" t="s">
        <v>286</v>
      </c>
      <c r="AN5" s="172" t="s">
        <v>302</v>
      </c>
      <c r="AO5" s="172" t="s">
        <v>256</v>
      </c>
      <c r="AP5" s="172" t="s">
        <v>19</v>
      </c>
      <c r="AQ5" s="172" t="s">
        <v>286</v>
      </c>
      <c r="AR5" s="172" t="s">
        <v>302</v>
      </c>
      <c r="AS5" s="172" t="s">
        <v>256</v>
      </c>
      <c r="AT5" s="172" t="s">
        <v>19</v>
      </c>
      <c r="AU5" s="172" t="s">
        <v>286</v>
      </c>
      <c r="AV5" s="172" t="s">
        <v>302</v>
      </c>
      <c r="AW5" s="172" t="s">
        <v>256</v>
      </c>
      <c r="AX5" s="172" t="s">
        <v>20</v>
      </c>
      <c r="AY5" s="172" t="s">
        <v>286</v>
      </c>
      <c r="AZ5" s="172" t="s">
        <v>302</v>
      </c>
      <c r="BA5" s="172" t="s">
        <v>256</v>
      </c>
      <c r="BB5" s="172" t="s">
        <v>20</v>
      </c>
      <c r="BC5" s="172" t="s">
        <v>286</v>
      </c>
      <c r="BD5" s="172" t="s">
        <v>302</v>
      </c>
      <c r="BE5" s="172" t="s">
        <v>256</v>
      </c>
      <c r="BF5" s="172" t="s">
        <v>20</v>
      </c>
      <c r="BG5" s="172" t="s">
        <v>286</v>
      </c>
      <c r="BH5" s="172" t="s">
        <v>302</v>
      </c>
      <c r="BI5" s="172" t="s">
        <v>256</v>
      </c>
      <c r="BJ5" s="172" t="s">
        <v>20</v>
      </c>
      <c r="BK5" s="172" t="s">
        <v>286</v>
      </c>
      <c r="BL5" s="172" t="s">
        <v>302</v>
      </c>
      <c r="BM5" s="172" t="s">
        <v>256</v>
      </c>
      <c r="BN5" s="172" t="s">
        <v>20</v>
      </c>
      <c r="BO5" s="172" t="s">
        <v>286</v>
      </c>
      <c r="BP5" s="172" t="s">
        <v>302</v>
      </c>
      <c r="BQ5" s="172" t="s">
        <v>256</v>
      </c>
      <c r="BR5" s="172" t="s">
        <v>20</v>
      </c>
      <c r="BS5" s="172" t="s">
        <v>286</v>
      </c>
      <c r="BT5" s="172" t="s">
        <v>302</v>
      </c>
      <c r="BU5" s="172" t="s">
        <v>256</v>
      </c>
      <c r="BV5" s="172" t="s">
        <v>20</v>
      </c>
      <c r="BW5" s="172" t="s">
        <v>286</v>
      </c>
      <c r="BX5" s="172" t="s">
        <v>302</v>
      </c>
      <c r="BY5" s="172" t="s">
        <v>256</v>
      </c>
      <c r="BZ5" s="172" t="s">
        <v>20</v>
      </c>
      <c r="CA5" s="172" t="s">
        <v>286</v>
      </c>
      <c r="CB5" s="172" t="s">
        <v>302</v>
      </c>
      <c r="CC5" s="172" t="s">
        <v>256</v>
      </c>
      <c r="CD5" s="172" t="s">
        <v>20</v>
      </c>
      <c r="CE5" s="172" t="s">
        <v>286</v>
      </c>
      <c r="CF5" s="172" t="s">
        <v>302</v>
      </c>
      <c r="CG5" s="172" t="s">
        <v>256</v>
      </c>
      <c r="CH5" s="172" t="s">
        <v>20</v>
      </c>
      <c r="CI5" s="172" t="s">
        <v>286</v>
      </c>
      <c r="CJ5" s="172" t="s">
        <v>302</v>
      </c>
      <c r="CK5" s="172" t="s">
        <v>256</v>
      </c>
      <c r="CL5" s="172" t="s">
        <v>20</v>
      </c>
      <c r="CM5" s="172" t="s">
        <v>286</v>
      </c>
      <c r="CN5" s="172" t="s">
        <v>302</v>
      </c>
      <c r="CO5" s="172" t="s">
        <v>256</v>
      </c>
      <c r="CP5" s="172" t="s">
        <v>20</v>
      </c>
      <c r="CQ5" s="172" t="s">
        <v>286</v>
      </c>
      <c r="CR5" s="172" t="s">
        <v>302</v>
      </c>
      <c r="CS5" s="172" t="s">
        <v>256</v>
      </c>
      <c r="CT5" s="172" t="s">
        <v>20</v>
      </c>
      <c r="CU5" s="172" t="s">
        <v>286</v>
      </c>
      <c r="CV5" s="172" t="s">
        <v>302</v>
      </c>
      <c r="CW5" s="172" t="s">
        <v>256</v>
      </c>
      <c r="CX5" s="172" t="s">
        <v>20</v>
      </c>
      <c r="CY5" s="172" t="s">
        <v>286</v>
      </c>
      <c r="CZ5" s="172" t="s">
        <v>302</v>
      </c>
      <c r="DA5" s="172" t="s">
        <v>256</v>
      </c>
      <c r="DB5" s="193" t="s">
        <v>21</v>
      </c>
      <c r="DC5" s="193" t="s">
        <v>22</v>
      </c>
      <c r="DD5" s="193" t="s">
        <v>50</v>
      </c>
      <c r="DE5" s="194" t="s">
        <v>23</v>
      </c>
    </row>
    <row r="6" spans="1:110" s="21" customFormat="1" ht="27" customHeight="1" x14ac:dyDescent="0.2">
      <c r="A6" s="197" t="s">
        <v>56</v>
      </c>
      <c r="B6" s="22">
        <v>529</v>
      </c>
      <c r="C6" s="22">
        <v>529</v>
      </c>
      <c r="D6" s="22">
        <v>983</v>
      </c>
      <c r="E6" s="22">
        <f>D6-C6</f>
        <v>454</v>
      </c>
      <c r="F6" s="22"/>
      <c r="G6" s="22"/>
      <c r="H6" s="22"/>
      <c r="I6" s="22">
        <f>H6-G6</f>
        <v>0</v>
      </c>
      <c r="J6" s="22">
        <v>1900</v>
      </c>
      <c r="K6" s="22">
        <v>1900</v>
      </c>
      <c r="L6" s="22">
        <v>1900</v>
      </c>
      <c r="M6" s="22">
        <f>L6-K6</f>
        <v>0</v>
      </c>
      <c r="N6" s="22"/>
      <c r="O6" s="22"/>
      <c r="P6" s="22"/>
      <c r="Q6" s="22">
        <f>P6-O6</f>
        <v>0</v>
      </c>
      <c r="R6" s="22"/>
      <c r="S6" s="22"/>
      <c r="T6" s="22"/>
      <c r="U6" s="22">
        <f>T6-S6</f>
        <v>0</v>
      </c>
      <c r="V6" s="22"/>
      <c r="W6" s="22"/>
      <c r="X6" s="22"/>
      <c r="Y6" s="22">
        <f>X6-W6</f>
        <v>0</v>
      </c>
      <c r="Z6" s="22"/>
      <c r="AA6" s="22"/>
      <c r="AB6" s="22"/>
      <c r="AC6" s="22">
        <f>AB6-AA6</f>
        <v>0</v>
      </c>
      <c r="AD6" s="20">
        <f t="shared" ref="AD6:AF8" si="0">B6+F6+J6+N6+R6+V6+Z6</f>
        <v>2429</v>
      </c>
      <c r="AE6" s="20">
        <f t="shared" si="0"/>
        <v>2429</v>
      </c>
      <c r="AF6" s="20">
        <f t="shared" si="0"/>
        <v>2883</v>
      </c>
      <c r="AG6" s="22">
        <f>AF6-AE6</f>
        <v>454</v>
      </c>
      <c r="AH6" s="22"/>
      <c r="AI6" s="22">
        <v>2415</v>
      </c>
      <c r="AJ6" s="22">
        <v>2415</v>
      </c>
      <c r="AK6" s="22">
        <f>AJ6-AI6</f>
        <v>0</v>
      </c>
      <c r="AL6" s="22">
        <f>CX6-AD6-AH6</f>
        <v>30595</v>
      </c>
      <c r="AM6" s="22">
        <v>32097</v>
      </c>
      <c r="AN6" s="22">
        <v>32474</v>
      </c>
      <c r="AO6" s="22">
        <f>AN6-AM6</f>
        <v>377</v>
      </c>
      <c r="AP6" s="20">
        <f t="shared" ref="AP6:AR8" si="1">AH6+AL6</f>
        <v>30595</v>
      </c>
      <c r="AQ6" s="20">
        <f t="shared" si="1"/>
        <v>34512</v>
      </c>
      <c r="AR6" s="20">
        <f t="shared" si="1"/>
        <v>34889</v>
      </c>
      <c r="AS6" s="22">
        <f>AR6-AQ6</f>
        <v>377</v>
      </c>
      <c r="AT6" s="20">
        <f t="shared" ref="AT6:AV8" si="2">AD6+AP6</f>
        <v>33024</v>
      </c>
      <c r="AU6" s="20">
        <f t="shared" si="2"/>
        <v>36941</v>
      </c>
      <c r="AV6" s="20">
        <f t="shared" si="2"/>
        <v>37772</v>
      </c>
      <c r="AW6" s="22">
        <f>AV6-AU6</f>
        <v>831</v>
      </c>
      <c r="AX6" s="22">
        <v>15802</v>
      </c>
      <c r="AY6" s="22">
        <v>16130</v>
      </c>
      <c r="AZ6" s="22">
        <v>16813</v>
      </c>
      <c r="BA6" s="22">
        <f>AZ6-AY6</f>
        <v>683</v>
      </c>
      <c r="BB6" s="22">
        <v>4289</v>
      </c>
      <c r="BC6" s="22">
        <v>4368</v>
      </c>
      <c r="BD6" s="22">
        <v>4516</v>
      </c>
      <c r="BE6" s="22">
        <f>BD6-BC6</f>
        <v>148</v>
      </c>
      <c r="BF6" s="22">
        <f>9433+3350</f>
        <v>12783</v>
      </c>
      <c r="BG6" s="22">
        <v>14729</v>
      </c>
      <c r="BH6" s="22">
        <v>14729</v>
      </c>
      <c r="BI6" s="22">
        <f>BH6-BG6</f>
        <v>0</v>
      </c>
      <c r="BJ6" s="22"/>
      <c r="BK6" s="22"/>
      <c r="BL6" s="22"/>
      <c r="BM6" s="22">
        <f>BL6-BK6</f>
        <v>0</v>
      </c>
      <c r="BN6" s="22"/>
      <c r="BO6" s="22"/>
      <c r="BP6" s="22"/>
      <c r="BQ6" s="22">
        <f>BP6-BO6</f>
        <v>0</v>
      </c>
      <c r="BR6" s="22"/>
      <c r="BS6" s="22"/>
      <c r="BT6" s="22"/>
      <c r="BU6" s="22">
        <f>BT6-BS6</f>
        <v>0</v>
      </c>
      <c r="BV6" s="22">
        <f t="shared" ref="BV6:BX8" si="3">BN6+BR6</f>
        <v>0</v>
      </c>
      <c r="BW6" s="22">
        <f t="shared" si="3"/>
        <v>0</v>
      </c>
      <c r="BX6" s="22">
        <f t="shared" si="3"/>
        <v>0</v>
      </c>
      <c r="BY6" s="22">
        <f>BX6-BW6</f>
        <v>0</v>
      </c>
      <c r="BZ6" s="22">
        <v>150</v>
      </c>
      <c r="CA6" s="22">
        <v>1714</v>
      </c>
      <c r="CB6" s="22">
        <v>1714</v>
      </c>
      <c r="CC6" s="22">
        <f>CB6-CA6</f>
        <v>0</v>
      </c>
      <c r="CD6" s="22"/>
      <c r="CE6" s="22"/>
      <c r="CF6" s="22"/>
      <c r="CG6" s="22">
        <f>CF6-CE6</f>
        <v>0</v>
      </c>
      <c r="CH6" s="22"/>
      <c r="CI6" s="22"/>
      <c r="CJ6" s="22"/>
      <c r="CK6" s="22">
        <f>CJ6-CI6</f>
        <v>0</v>
      </c>
      <c r="CL6" s="22"/>
      <c r="CM6" s="22"/>
      <c r="CN6" s="22"/>
      <c r="CO6" s="22">
        <f>CN6-CM6</f>
        <v>0</v>
      </c>
      <c r="CP6" s="22">
        <f t="shared" ref="CP6:CR8" si="4">CH6+CL6</f>
        <v>0</v>
      </c>
      <c r="CQ6" s="22">
        <f t="shared" si="4"/>
        <v>0</v>
      </c>
      <c r="CR6" s="22">
        <f t="shared" si="4"/>
        <v>0</v>
      </c>
      <c r="CS6" s="22">
        <f>CR6-CQ6</f>
        <v>0</v>
      </c>
      <c r="CT6" s="22"/>
      <c r="CU6" s="22"/>
      <c r="CV6" s="22"/>
      <c r="CW6" s="22">
        <f>CV6-CU6</f>
        <v>0</v>
      </c>
      <c r="CX6" s="20">
        <f t="shared" ref="CX6:CZ8" si="5">AX6+BB6+BF6+BJ6+BV6+BZ6+CD6+CP6+CT6</f>
        <v>33024</v>
      </c>
      <c r="CY6" s="20">
        <f t="shared" si="5"/>
        <v>36941</v>
      </c>
      <c r="CZ6" s="20">
        <f t="shared" si="5"/>
        <v>37772</v>
      </c>
      <c r="DA6" s="22">
        <f>CZ6-CY6</f>
        <v>831</v>
      </c>
      <c r="DB6" s="198">
        <v>7</v>
      </c>
      <c r="DC6" s="198">
        <v>0.75</v>
      </c>
      <c r="DD6" s="198">
        <v>1</v>
      </c>
      <c r="DE6" s="198">
        <f>SUM(DB6:DD6)</f>
        <v>8.75</v>
      </c>
    </row>
    <row r="7" spans="1:110" ht="27" customHeight="1" x14ac:dyDescent="0.2">
      <c r="A7" s="197" t="s">
        <v>57</v>
      </c>
      <c r="B7" s="22">
        <v>2844</v>
      </c>
      <c r="C7" s="22">
        <v>23580</v>
      </c>
      <c r="D7" s="22">
        <v>24632</v>
      </c>
      <c r="E7" s="22">
        <f>D7-C7</f>
        <v>1052</v>
      </c>
      <c r="F7" s="22"/>
      <c r="G7" s="22"/>
      <c r="H7" s="22"/>
      <c r="I7" s="22">
        <f>H7-G7</f>
        <v>0</v>
      </c>
      <c r="J7" s="22">
        <v>66266</v>
      </c>
      <c r="K7" s="22">
        <v>66266</v>
      </c>
      <c r="L7" s="22">
        <v>66266</v>
      </c>
      <c r="M7" s="22">
        <f>L7-K7</f>
        <v>0</v>
      </c>
      <c r="N7" s="22">
        <v>1039</v>
      </c>
      <c r="O7" s="22">
        <v>3039</v>
      </c>
      <c r="P7" s="22">
        <v>11930</v>
      </c>
      <c r="Q7" s="22">
        <f>P7-O7</f>
        <v>8891</v>
      </c>
      <c r="R7" s="22"/>
      <c r="S7" s="22"/>
      <c r="T7" s="22"/>
      <c r="U7" s="22">
        <f>T7-S7</f>
        <v>0</v>
      </c>
      <c r="V7" s="22"/>
      <c r="W7" s="22"/>
      <c r="X7" s="22"/>
      <c r="Y7" s="22">
        <f>X7-W7</f>
        <v>0</v>
      </c>
      <c r="Z7" s="22"/>
      <c r="AA7" s="22"/>
      <c r="AB7" s="22"/>
      <c r="AC7" s="22">
        <f>AB7-AA7</f>
        <v>0</v>
      </c>
      <c r="AD7" s="20">
        <f t="shared" si="0"/>
        <v>70149</v>
      </c>
      <c r="AE7" s="20">
        <f t="shared" si="0"/>
        <v>92885</v>
      </c>
      <c r="AF7" s="20">
        <f t="shared" si="0"/>
        <v>102828</v>
      </c>
      <c r="AG7" s="22">
        <f>AF7-AE7</f>
        <v>9943</v>
      </c>
      <c r="AH7" s="22"/>
      <c r="AI7" s="22">
        <v>387</v>
      </c>
      <c r="AJ7" s="22">
        <v>387</v>
      </c>
      <c r="AK7" s="22">
        <f>AJ7-AI7</f>
        <v>0</v>
      </c>
      <c r="AL7" s="22">
        <f>CX7-AD7-AH7</f>
        <v>30638</v>
      </c>
      <c r="AM7" s="22">
        <v>30809</v>
      </c>
      <c r="AN7" s="22">
        <v>33716</v>
      </c>
      <c r="AO7" s="22">
        <f>AN7-AM7</f>
        <v>2907</v>
      </c>
      <c r="AP7" s="20">
        <f t="shared" si="1"/>
        <v>30638</v>
      </c>
      <c r="AQ7" s="20">
        <f t="shared" si="1"/>
        <v>31196</v>
      </c>
      <c r="AR7" s="20">
        <f t="shared" si="1"/>
        <v>34103</v>
      </c>
      <c r="AS7" s="22">
        <f>AR7-AQ7</f>
        <v>2907</v>
      </c>
      <c r="AT7" s="20">
        <f t="shared" si="2"/>
        <v>100787</v>
      </c>
      <c r="AU7" s="20">
        <f t="shared" si="2"/>
        <v>124081</v>
      </c>
      <c r="AV7" s="20">
        <f t="shared" si="2"/>
        <v>136931</v>
      </c>
      <c r="AW7" s="22">
        <f>AV7-AU7</f>
        <v>12850</v>
      </c>
      <c r="AX7" s="22">
        <v>30941</v>
      </c>
      <c r="AY7" s="22">
        <v>32639</v>
      </c>
      <c r="AZ7" s="22">
        <v>32863</v>
      </c>
      <c r="BA7" s="22">
        <f>AZ7-AY7</f>
        <v>224</v>
      </c>
      <c r="BB7" s="22">
        <v>8576</v>
      </c>
      <c r="BC7" s="22">
        <v>8785</v>
      </c>
      <c r="BD7" s="22">
        <v>9039</v>
      </c>
      <c r="BE7" s="22">
        <f>BD7-BC7</f>
        <v>254</v>
      </c>
      <c r="BF7" s="22">
        <v>60270</v>
      </c>
      <c r="BG7" s="22">
        <f>80401-1000</f>
        <v>79401</v>
      </c>
      <c r="BH7" s="22">
        <v>91493</v>
      </c>
      <c r="BI7" s="22">
        <f>BH7-BG7</f>
        <v>12092</v>
      </c>
      <c r="BJ7" s="22"/>
      <c r="BK7" s="22"/>
      <c r="BL7" s="22"/>
      <c r="BM7" s="22">
        <f>BL7-BK7</f>
        <v>0</v>
      </c>
      <c r="BN7" s="22"/>
      <c r="BO7" s="22">
        <v>500</v>
      </c>
      <c r="BP7" s="22">
        <v>500</v>
      </c>
      <c r="BQ7" s="22">
        <f>BP7-BO7</f>
        <v>0</v>
      </c>
      <c r="BR7" s="22"/>
      <c r="BS7" s="22"/>
      <c r="BT7" s="22"/>
      <c r="BU7" s="22">
        <f>BT7-BS7</f>
        <v>0</v>
      </c>
      <c r="BV7" s="22">
        <f t="shared" si="3"/>
        <v>0</v>
      </c>
      <c r="BW7" s="22">
        <f t="shared" si="3"/>
        <v>500</v>
      </c>
      <c r="BX7" s="22">
        <f t="shared" si="3"/>
        <v>500</v>
      </c>
      <c r="BY7" s="22">
        <f>BX7-BW7</f>
        <v>0</v>
      </c>
      <c r="BZ7" s="22">
        <v>1000</v>
      </c>
      <c r="CA7" s="22">
        <f>1756+1000</f>
        <v>2756</v>
      </c>
      <c r="CB7" s="22">
        <v>3036</v>
      </c>
      <c r="CC7" s="22">
        <f>CB7-CA7</f>
        <v>280</v>
      </c>
      <c r="CD7" s="22"/>
      <c r="CE7" s="22"/>
      <c r="CF7" s="22"/>
      <c r="CG7" s="22">
        <f>CF7-CE7</f>
        <v>0</v>
      </c>
      <c r="CH7" s="22"/>
      <c r="CI7" s="22"/>
      <c r="CJ7" s="22"/>
      <c r="CK7" s="22">
        <f>CJ7-CI7</f>
        <v>0</v>
      </c>
      <c r="CL7" s="22"/>
      <c r="CM7" s="22"/>
      <c r="CN7" s="22"/>
      <c r="CO7" s="22">
        <f>CN7-CM7</f>
        <v>0</v>
      </c>
      <c r="CP7" s="22">
        <f t="shared" si="4"/>
        <v>0</v>
      </c>
      <c r="CQ7" s="22">
        <f t="shared" si="4"/>
        <v>0</v>
      </c>
      <c r="CR7" s="22">
        <f t="shared" si="4"/>
        <v>0</v>
      </c>
      <c r="CS7" s="22">
        <f>CR7-CQ7</f>
        <v>0</v>
      </c>
      <c r="CT7" s="22"/>
      <c r="CU7" s="22"/>
      <c r="CV7" s="22"/>
      <c r="CW7" s="22">
        <f>CV7-CU7</f>
        <v>0</v>
      </c>
      <c r="CX7" s="20">
        <f t="shared" si="5"/>
        <v>100787</v>
      </c>
      <c r="CY7" s="20">
        <f t="shared" si="5"/>
        <v>124081</v>
      </c>
      <c r="CZ7" s="20">
        <f t="shared" si="5"/>
        <v>136931</v>
      </c>
      <c r="DA7" s="22">
        <f>CZ7-CY7</f>
        <v>12850</v>
      </c>
      <c r="DB7" s="198">
        <v>5</v>
      </c>
      <c r="DC7" s="198">
        <v>9</v>
      </c>
      <c r="DD7" s="198">
        <v>3</v>
      </c>
      <c r="DE7" s="198">
        <f>SUM(DB7:DD7)</f>
        <v>17</v>
      </c>
    </row>
    <row r="8" spans="1:110" ht="27" customHeight="1" x14ac:dyDescent="0.2">
      <c r="A8" s="12" t="s">
        <v>180</v>
      </c>
      <c r="B8" s="22"/>
      <c r="C8" s="22">
        <v>2386</v>
      </c>
      <c r="D8" s="22">
        <v>2386</v>
      </c>
      <c r="E8" s="22">
        <f>D8-C8</f>
        <v>0</v>
      </c>
      <c r="F8" s="22"/>
      <c r="G8" s="22"/>
      <c r="H8" s="22"/>
      <c r="I8" s="22">
        <f>H8-G8</f>
        <v>0</v>
      </c>
      <c r="J8" s="22">
        <v>3000</v>
      </c>
      <c r="K8" s="22">
        <v>3000</v>
      </c>
      <c r="L8" s="22">
        <v>3201</v>
      </c>
      <c r="M8" s="22">
        <f>L8-K8</f>
        <v>201</v>
      </c>
      <c r="N8" s="22"/>
      <c r="O8" s="22"/>
      <c r="P8" s="22"/>
      <c r="Q8" s="22">
        <f>P8-O8</f>
        <v>0</v>
      </c>
      <c r="R8" s="22"/>
      <c r="S8" s="22"/>
      <c r="T8" s="22"/>
      <c r="U8" s="22">
        <f>T8-S8</f>
        <v>0</v>
      </c>
      <c r="V8" s="22"/>
      <c r="W8" s="22"/>
      <c r="X8" s="22"/>
      <c r="Y8" s="22">
        <f>X8-W8</f>
        <v>0</v>
      </c>
      <c r="Z8" s="22"/>
      <c r="AA8" s="22"/>
      <c r="AB8" s="22"/>
      <c r="AC8" s="22">
        <f>AB8-AA8</f>
        <v>0</v>
      </c>
      <c r="AD8" s="20">
        <f t="shared" si="0"/>
        <v>3000</v>
      </c>
      <c r="AE8" s="20">
        <f t="shared" si="0"/>
        <v>5386</v>
      </c>
      <c r="AF8" s="20">
        <f t="shared" si="0"/>
        <v>5587</v>
      </c>
      <c r="AG8" s="22">
        <f>AF8-AE8</f>
        <v>201</v>
      </c>
      <c r="AH8" s="22"/>
      <c r="AI8" s="22"/>
      <c r="AJ8" s="22"/>
      <c r="AK8" s="22">
        <f>AJ8-AI8</f>
        <v>0</v>
      </c>
      <c r="AL8" s="22">
        <f>CX8-AD8-AH8</f>
        <v>36295</v>
      </c>
      <c r="AM8" s="22">
        <v>37829</v>
      </c>
      <c r="AN8" s="22">
        <v>37985</v>
      </c>
      <c r="AO8" s="22">
        <f>AN8-AM8</f>
        <v>156</v>
      </c>
      <c r="AP8" s="20">
        <f t="shared" si="1"/>
        <v>36295</v>
      </c>
      <c r="AQ8" s="20">
        <f t="shared" si="1"/>
        <v>37829</v>
      </c>
      <c r="AR8" s="20">
        <f t="shared" si="1"/>
        <v>37985</v>
      </c>
      <c r="AS8" s="22">
        <f>AR8-AQ8</f>
        <v>156</v>
      </c>
      <c r="AT8" s="20">
        <f t="shared" si="2"/>
        <v>39295</v>
      </c>
      <c r="AU8" s="20">
        <f t="shared" si="2"/>
        <v>43215</v>
      </c>
      <c r="AV8" s="20">
        <f t="shared" si="2"/>
        <v>43572</v>
      </c>
      <c r="AW8" s="22">
        <f>AV8-AU8</f>
        <v>357</v>
      </c>
      <c r="AX8" s="22">
        <v>22408</v>
      </c>
      <c r="AY8" s="22">
        <v>23306</v>
      </c>
      <c r="AZ8" s="22">
        <v>23426</v>
      </c>
      <c r="BA8" s="22">
        <f>AZ8-AY8</f>
        <v>120</v>
      </c>
      <c r="BB8" s="22">
        <v>5934</v>
      </c>
      <c r="BC8" s="22">
        <v>6123</v>
      </c>
      <c r="BD8" s="22">
        <v>6159</v>
      </c>
      <c r="BE8" s="22">
        <f>BD8-BC8</f>
        <v>36</v>
      </c>
      <c r="BF8" s="22">
        <v>10573</v>
      </c>
      <c r="BG8" s="22">
        <v>11823</v>
      </c>
      <c r="BH8" s="22">
        <v>11123</v>
      </c>
      <c r="BI8" s="22">
        <f>BH8-BG8</f>
        <v>-700</v>
      </c>
      <c r="BJ8" s="22"/>
      <c r="BK8" s="22"/>
      <c r="BL8" s="22"/>
      <c r="BM8" s="22">
        <f>BL8-BK8</f>
        <v>0</v>
      </c>
      <c r="BN8" s="22"/>
      <c r="BO8" s="22"/>
      <c r="BP8" s="22"/>
      <c r="BQ8" s="22">
        <f>BP8-BO8</f>
        <v>0</v>
      </c>
      <c r="BR8" s="22"/>
      <c r="BS8" s="22"/>
      <c r="BT8" s="22"/>
      <c r="BU8" s="22">
        <f>BT8-BS8</f>
        <v>0</v>
      </c>
      <c r="BV8" s="22">
        <f t="shared" si="3"/>
        <v>0</v>
      </c>
      <c r="BW8" s="22">
        <f t="shared" si="3"/>
        <v>0</v>
      </c>
      <c r="BX8" s="22">
        <f t="shared" si="3"/>
        <v>0</v>
      </c>
      <c r="BY8" s="22">
        <f>BX8-BW8</f>
        <v>0</v>
      </c>
      <c r="BZ8" s="22">
        <v>380</v>
      </c>
      <c r="CA8" s="22">
        <v>1963</v>
      </c>
      <c r="CB8" s="22">
        <v>2864</v>
      </c>
      <c r="CC8" s="22">
        <f>CB8-CA8</f>
        <v>901</v>
      </c>
      <c r="CD8" s="22"/>
      <c r="CE8" s="22"/>
      <c r="CF8" s="22"/>
      <c r="CG8" s="22">
        <f>CF8-CE8</f>
        <v>0</v>
      </c>
      <c r="CH8" s="22"/>
      <c r="CI8" s="22"/>
      <c r="CJ8" s="22"/>
      <c r="CK8" s="22">
        <f>CJ8-CI8</f>
        <v>0</v>
      </c>
      <c r="CL8" s="22"/>
      <c r="CM8" s="22"/>
      <c r="CN8" s="22"/>
      <c r="CO8" s="22">
        <f>CN8-CM8</f>
        <v>0</v>
      </c>
      <c r="CP8" s="22">
        <f t="shared" si="4"/>
        <v>0</v>
      </c>
      <c r="CQ8" s="22">
        <f t="shared" si="4"/>
        <v>0</v>
      </c>
      <c r="CR8" s="22">
        <f t="shared" si="4"/>
        <v>0</v>
      </c>
      <c r="CS8" s="22">
        <f>CR8-CQ8</f>
        <v>0</v>
      </c>
      <c r="CT8" s="22"/>
      <c r="CU8" s="22"/>
      <c r="CV8" s="22"/>
      <c r="CW8" s="22">
        <f>CV8-CU8</f>
        <v>0</v>
      </c>
      <c r="CX8" s="20">
        <f t="shared" si="5"/>
        <v>39295</v>
      </c>
      <c r="CY8" s="20">
        <f t="shared" si="5"/>
        <v>43215</v>
      </c>
      <c r="CZ8" s="20">
        <f t="shared" si="5"/>
        <v>43572</v>
      </c>
      <c r="DA8" s="22">
        <f>CZ8-CY8</f>
        <v>357</v>
      </c>
      <c r="DB8" s="198">
        <v>4</v>
      </c>
      <c r="DC8" s="198">
        <v>8</v>
      </c>
      <c r="DD8" s="198">
        <v>2</v>
      </c>
      <c r="DE8" s="198">
        <f>SUM(DB8:DD8)</f>
        <v>14</v>
      </c>
    </row>
    <row r="9" spans="1:110" s="21" customFormat="1" ht="27" customHeight="1" x14ac:dyDescent="0.2">
      <c r="A9" s="174" t="s">
        <v>24</v>
      </c>
      <c r="B9" s="20">
        <f t="shared" ref="B9:AL9" si="6">SUM(B6:B8)</f>
        <v>3373</v>
      </c>
      <c r="C9" s="20">
        <f t="shared" si="6"/>
        <v>26495</v>
      </c>
      <c r="D9" s="20">
        <f t="shared" si="6"/>
        <v>28001</v>
      </c>
      <c r="E9" s="20">
        <f t="shared" si="6"/>
        <v>1506</v>
      </c>
      <c r="F9" s="20">
        <f t="shared" si="6"/>
        <v>0</v>
      </c>
      <c r="G9" s="20">
        <f t="shared" si="6"/>
        <v>0</v>
      </c>
      <c r="H9" s="20">
        <f t="shared" si="6"/>
        <v>0</v>
      </c>
      <c r="I9" s="20">
        <f t="shared" si="6"/>
        <v>0</v>
      </c>
      <c r="J9" s="20">
        <f t="shared" si="6"/>
        <v>71166</v>
      </c>
      <c r="K9" s="20">
        <f t="shared" si="6"/>
        <v>71166</v>
      </c>
      <c r="L9" s="20">
        <f t="shared" si="6"/>
        <v>71367</v>
      </c>
      <c r="M9" s="20">
        <f t="shared" si="6"/>
        <v>201</v>
      </c>
      <c r="N9" s="20">
        <f t="shared" si="6"/>
        <v>1039</v>
      </c>
      <c r="O9" s="20">
        <f t="shared" si="6"/>
        <v>3039</v>
      </c>
      <c r="P9" s="20">
        <f t="shared" si="6"/>
        <v>11930</v>
      </c>
      <c r="Q9" s="20">
        <f t="shared" si="6"/>
        <v>8891</v>
      </c>
      <c r="R9" s="20">
        <f t="shared" si="6"/>
        <v>0</v>
      </c>
      <c r="S9" s="20">
        <f t="shared" si="6"/>
        <v>0</v>
      </c>
      <c r="T9" s="20">
        <f t="shared" si="6"/>
        <v>0</v>
      </c>
      <c r="U9" s="20">
        <f t="shared" si="6"/>
        <v>0</v>
      </c>
      <c r="V9" s="20">
        <f t="shared" si="6"/>
        <v>0</v>
      </c>
      <c r="W9" s="20">
        <f t="shared" si="6"/>
        <v>0</v>
      </c>
      <c r="X9" s="20">
        <f t="shared" si="6"/>
        <v>0</v>
      </c>
      <c r="Y9" s="20">
        <f t="shared" si="6"/>
        <v>0</v>
      </c>
      <c r="Z9" s="20">
        <f t="shared" si="6"/>
        <v>0</v>
      </c>
      <c r="AA9" s="20">
        <f t="shared" si="6"/>
        <v>0</v>
      </c>
      <c r="AB9" s="20">
        <f t="shared" si="6"/>
        <v>0</v>
      </c>
      <c r="AC9" s="20">
        <f t="shared" si="6"/>
        <v>0</v>
      </c>
      <c r="AD9" s="20">
        <f t="shared" si="6"/>
        <v>75578</v>
      </c>
      <c r="AE9" s="20">
        <f t="shared" si="6"/>
        <v>100700</v>
      </c>
      <c r="AF9" s="20">
        <f t="shared" si="6"/>
        <v>111298</v>
      </c>
      <c r="AG9" s="20">
        <f t="shared" si="6"/>
        <v>10598</v>
      </c>
      <c r="AH9" s="20">
        <f t="shared" si="6"/>
        <v>0</v>
      </c>
      <c r="AI9" s="20">
        <f t="shared" si="6"/>
        <v>2802</v>
      </c>
      <c r="AJ9" s="20">
        <f t="shared" si="6"/>
        <v>2802</v>
      </c>
      <c r="AK9" s="20">
        <f t="shared" si="6"/>
        <v>0</v>
      </c>
      <c r="AL9" s="20">
        <f t="shared" si="6"/>
        <v>97528</v>
      </c>
      <c r="AM9" s="20">
        <v>100735</v>
      </c>
      <c r="AN9" s="20">
        <f t="shared" ref="AN9:BS9" si="7">SUM(AN6:AN8)</f>
        <v>104175</v>
      </c>
      <c r="AO9" s="20">
        <f t="shared" si="7"/>
        <v>3440</v>
      </c>
      <c r="AP9" s="20">
        <f t="shared" si="7"/>
        <v>97528</v>
      </c>
      <c r="AQ9" s="20">
        <f t="shared" si="7"/>
        <v>103537</v>
      </c>
      <c r="AR9" s="20">
        <f t="shared" si="7"/>
        <v>106977</v>
      </c>
      <c r="AS9" s="20">
        <f t="shared" si="7"/>
        <v>3440</v>
      </c>
      <c r="AT9" s="20">
        <f t="shared" si="7"/>
        <v>173106</v>
      </c>
      <c r="AU9" s="20">
        <f t="shared" si="7"/>
        <v>204237</v>
      </c>
      <c r="AV9" s="20">
        <f t="shared" si="7"/>
        <v>218275</v>
      </c>
      <c r="AW9" s="20">
        <f t="shared" si="7"/>
        <v>14038</v>
      </c>
      <c r="AX9" s="20">
        <f t="shared" si="7"/>
        <v>69151</v>
      </c>
      <c r="AY9" s="20">
        <f t="shared" si="7"/>
        <v>72075</v>
      </c>
      <c r="AZ9" s="20">
        <f t="shared" si="7"/>
        <v>73102</v>
      </c>
      <c r="BA9" s="20">
        <f t="shared" si="7"/>
        <v>1027</v>
      </c>
      <c r="BB9" s="20">
        <f t="shared" si="7"/>
        <v>18799</v>
      </c>
      <c r="BC9" s="20">
        <f t="shared" si="7"/>
        <v>19276</v>
      </c>
      <c r="BD9" s="20">
        <f t="shared" si="7"/>
        <v>19714</v>
      </c>
      <c r="BE9" s="20">
        <f t="shared" si="7"/>
        <v>438</v>
      </c>
      <c r="BF9" s="20">
        <f t="shared" si="7"/>
        <v>83626</v>
      </c>
      <c r="BG9" s="20">
        <f t="shared" si="7"/>
        <v>105953</v>
      </c>
      <c r="BH9" s="20">
        <f t="shared" si="7"/>
        <v>117345</v>
      </c>
      <c r="BI9" s="20">
        <f t="shared" si="7"/>
        <v>11392</v>
      </c>
      <c r="BJ9" s="20">
        <f t="shared" si="7"/>
        <v>0</v>
      </c>
      <c r="BK9" s="20">
        <f t="shared" si="7"/>
        <v>0</v>
      </c>
      <c r="BL9" s="20">
        <f t="shared" si="7"/>
        <v>0</v>
      </c>
      <c r="BM9" s="20">
        <f t="shared" si="7"/>
        <v>0</v>
      </c>
      <c r="BN9" s="20">
        <f t="shared" si="7"/>
        <v>0</v>
      </c>
      <c r="BO9" s="20">
        <f t="shared" si="7"/>
        <v>500</v>
      </c>
      <c r="BP9" s="20">
        <f t="shared" si="7"/>
        <v>500</v>
      </c>
      <c r="BQ9" s="20">
        <f t="shared" si="7"/>
        <v>0</v>
      </c>
      <c r="BR9" s="20">
        <f t="shared" si="7"/>
        <v>0</v>
      </c>
      <c r="BS9" s="20">
        <f t="shared" si="7"/>
        <v>0</v>
      </c>
      <c r="BT9" s="20">
        <f t="shared" ref="BT9:CY9" si="8">SUM(BT6:BT8)</f>
        <v>0</v>
      </c>
      <c r="BU9" s="20">
        <f t="shared" si="8"/>
        <v>0</v>
      </c>
      <c r="BV9" s="20">
        <f t="shared" si="8"/>
        <v>0</v>
      </c>
      <c r="BW9" s="20">
        <f t="shared" si="8"/>
        <v>500</v>
      </c>
      <c r="BX9" s="20">
        <f t="shared" si="8"/>
        <v>500</v>
      </c>
      <c r="BY9" s="20">
        <f t="shared" si="8"/>
        <v>0</v>
      </c>
      <c r="BZ9" s="20">
        <f t="shared" si="8"/>
        <v>1530</v>
      </c>
      <c r="CA9" s="20">
        <f t="shared" si="8"/>
        <v>6433</v>
      </c>
      <c r="CB9" s="20">
        <f t="shared" si="8"/>
        <v>7614</v>
      </c>
      <c r="CC9" s="20">
        <f t="shared" si="8"/>
        <v>1181</v>
      </c>
      <c r="CD9" s="20">
        <f t="shared" si="8"/>
        <v>0</v>
      </c>
      <c r="CE9" s="20">
        <f t="shared" si="8"/>
        <v>0</v>
      </c>
      <c r="CF9" s="20">
        <f t="shared" si="8"/>
        <v>0</v>
      </c>
      <c r="CG9" s="20">
        <f t="shared" si="8"/>
        <v>0</v>
      </c>
      <c r="CH9" s="20">
        <f t="shared" si="8"/>
        <v>0</v>
      </c>
      <c r="CI9" s="20">
        <f t="shared" si="8"/>
        <v>0</v>
      </c>
      <c r="CJ9" s="20">
        <f t="shared" si="8"/>
        <v>0</v>
      </c>
      <c r="CK9" s="20">
        <f t="shared" si="8"/>
        <v>0</v>
      </c>
      <c r="CL9" s="20">
        <f t="shared" si="8"/>
        <v>0</v>
      </c>
      <c r="CM9" s="20">
        <f t="shared" si="8"/>
        <v>0</v>
      </c>
      <c r="CN9" s="20">
        <f t="shared" si="8"/>
        <v>0</v>
      </c>
      <c r="CO9" s="20">
        <f t="shared" si="8"/>
        <v>0</v>
      </c>
      <c r="CP9" s="20">
        <f t="shared" si="8"/>
        <v>0</v>
      </c>
      <c r="CQ9" s="20">
        <f t="shared" si="8"/>
        <v>0</v>
      </c>
      <c r="CR9" s="20">
        <f t="shared" si="8"/>
        <v>0</v>
      </c>
      <c r="CS9" s="20">
        <f t="shared" si="8"/>
        <v>0</v>
      </c>
      <c r="CT9" s="20">
        <f t="shared" si="8"/>
        <v>0</v>
      </c>
      <c r="CU9" s="20">
        <f t="shared" si="8"/>
        <v>0</v>
      </c>
      <c r="CV9" s="20">
        <f t="shared" si="8"/>
        <v>0</v>
      </c>
      <c r="CW9" s="20">
        <f t="shared" si="8"/>
        <v>0</v>
      </c>
      <c r="CX9" s="20">
        <f t="shared" si="8"/>
        <v>173106</v>
      </c>
      <c r="CY9" s="20">
        <f t="shared" si="8"/>
        <v>204237</v>
      </c>
      <c r="CZ9" s="20">
        <f t="shared" ref="CZ9:EE9" si="9">SUM(CZ6:CZ8)</f>
        <v>218275</v>
      </c>
      <c r="DA9" s="20">
        <f t="shared" si="9"/>
        <v>14038</v>
      </c>
      <c r="DB9" s="199">
        <f t="shared" si="9"/>
        <v>16</v>
      </c>
      <c r="DC9" s="199">
        <f t="shared" si="9"/>
        <v>17.75</v>
      </c>
      <c r="DD9" s="199">
        <f t="shared" si="9"/>
        <v>6</v>
      </c>
      <c r="DE9" s="199">
        <f t="shared" si="9"/>
        <v>39.75</v>
      </c>
    </row>
    <row r="10" spans="1:110" s="21" customFormat="1" ht="27" customHeight="1" x14ac:dyDescent="0.2">
      <c r="A10" s="197" t="s">
        <v>58</v>
      </c>
      <c r="B10" s="22">
        <v>20645</v>
      </c>
      <c r="C10" s="22">
        <v>22645</v>
      </c>
      <c r="D10" s="22">
        <v>24590</v>
      </c>
      <c r="E10" s="22">
        <f>D10-C10</f>
        <v>1945</v>
      </c>
      <c r="F10" s="22"/>
      <c r="G10" s="22"/>
      <c r="H10" s="22"/>
      <c r="I10" s="22">
        <f>H10-G10</f>
        <v>0</v>
      </c>
      <c r="J10" s="22">
        <v>1100</v>
      </c>
      <c r="K10" s="22">
        <v>1100</v>
      </c>
      <c r="L10" s="22">
        <v>1100</v>
      </c>
      <c r="M10" s="22">
        <f>L10-K10</f>
        <v>0</v>
      </c>
      <c r="N10" s="22"/>
      <c r="O10" s="22"/>
      <c r="P10" s="22"/>
      <c r="Q10" s="22">
        <f>P10-O10</f>
        <v>0</v>
      </c>
      <c r="R10" s="22"/>
      <c r="S10" s="22"/>
      <c r="T10" s="22"/>
      <c r="U10" s="22">
        <f>T10-S10</f>
        <v>0</v>
      </c>
      <c r="V10" s="22"/>
      <c r="W10" s="22"/>
      <c r="X10" s="22"/>
      <c r="Y10" s="22">
        <f>X10-W10</f>
        <v>0</v>
      </c>
      <c r="Z10" s="22"/>
      <c r="AA10" s="22"/>
      <c r="AB10" s="22"/>
      <c r="AC10" s="22">
        <f>AB10-AA10</f>
        <v>0</v>
      </c>
      <c r="AD10" s="20">
        <f t="shared" ref="AD10:AF11" si="10">B10+F10+J10+N10+R10+V10+Z10</f>
        <v>21745</v>
      </c>
      <c r="AE10" s="20">
        <f t="shared" si="10"/>
        <v>23745</v>
      </c>
      <c r="AF10" s="20">
        <f t="shared" si="10"/>
        <v>25690</v>
      </c>
      <c r="AG10" s="22">
        <f>AF10-AE10</f>
        <v>1945</v>
      </c>
      <c r="AH10" s="22"/>
      <c r="AI10" s="22">
        <v>10173</v>
      </c>
      <c r="AJ10" s="22">
        <v>10173</v>
      </c>
      <c r="AK10" s="22">
        <f>AJ10-AI10</f>
        <v>0</v>
      </c>
      <c r="AL10" s="22">
        <f>CX10-AD10-AH10</f>
        <v>279550</v>
      </c>
      <c r="AM10" s="22">
        <v>274250</v>
      </c>
      <c r="AN10" s="22">
        <v>275353</v>
      </c>
      <c r="AO10" s="22">
        <f>AN10-AM10</f>
        <v>1103</v>
      </c>
      <c r="AP10" s="22">
        <f t="shared" ref="AP10:AR11" si="11">AH10+AL10</f>
        <v>279550</v>
      </c>
      <c r="AQ10" s="22">
        <f t="shared" si="11"/>
        <v>284423</v>
      </c>
      <c r="AR10" s="22">
        <f t="shared" si="11"/>
        <v>285526</v>
      </c>
      <c r="AS10" s="22">
        <f>AR10-AQ10</f>
        <v>1103</v>
      </c>
      <c r="AT10" s="20">
        <f t="shared" ref="AT10:AV15" si="12">AD10+AP10</f>
        <v>301295</v>
      </c>
      <c r="AU10" s="20">
        <f t="shared" si="12"/>
        <v>308168</v>
      </c>
      <c r="AV10" s="20">
        <f t="shared" si="12"/>
        <v>311216</v>
      </c>
      <c r="AW10" s="22">
        <f>AV10-AU10</f>
        <v>3048</v>
      </c>
      <c r="AX10" s="22">
        <v>179600</v>
      </c>
      <c r="AY10" s="22">
        <v>182303</v>
      </c>
      <c r="AZ10" s="22">
        <v>184806</v>
      </c>
      <c r="BA10" s="22">
        <f>AZ10-AY10</f>
        <v>2503</v>
      </c>
      <c r="BB10" s="22">
        <v>53200</v>
      </c>
      <c r="BC10" s="22">
        <v>53897</v>
      </c>
      <c r="BD10" s="22">
        <v>54442</v>
      </c>
      <c r="BE10" s="22">
        <f>BD10-BC10</f>
        <v>545</v>
      </c>
      <c r="BF10" s="22">
        <v>66970</v>
      </c>
      <c r="BG10" s="22">
        <v>69903</v>
      </c>
      <c r="BH10" s="22">
        <v>65763</v>
      </c>
      <c r="BI10" s="22">
        <f>BH10-BG10</f>
        <v>-4140</v>
      </c>
      <c r="BJ10" s="22"/>
      <c r="BK10" s="22"/>
      <c r="BL10" s="22"/>
      <c r="BM10" s="22">
        <f>BL10-BK10</f>
        <v>0</v>
      </c>
      <c r="BN10" s="22"/>
      <c r="BO10" s="22">
        <v>540</v>
      </c>
      <c r="BP10" s="22">
        <v>540</v>
      </c>
      <c r="BQ10" s="22">
        <f>BP10-BO10</f>
        <v>0</v>
      </c>
      <c r="BR10" s="22"/>
      <c r="BS10" s="22"/>
      <c r="BT10" s="22"/>
      <c r="BU10" s="22">
        <f>BT10-BS10</f>
        <v>0</v>
      </c>
      <c r="BV10" s="22">
        <f t="shared" ref="BV10:BX11" si="13">BN10+BR10</f>
        <v>0</v>
      </c>
      <c r="BW10" s="22">
        <f t="shared" si="13"/>
        <v>540</v>
      </c>
      <c r="BX10" s="22">
        <f t="shared" si="13"/>
        <v>540</v>
      </c>
      <c r="BY10" s="22">
        <f>BX10-BW10</f>
        <v>0</v>
      </c>
      <c r="BZ10" s="22">
        <v>1525</v>
      </c>
      <c r="CA10" s="22">
        <v>1525</v>
      </c>
      <c r="CB10" s="22">
        <v>5665</v>
      </c>
      <c r="CC10" s="22">
        <f>CB10-CA10</f>
        <v>4140</v>
      </c>
      <c r="CD10" s="22"/>
      <c r="CE10" s="22"/>
      <c r="CF10" s="22"/>
      <c r="CG10" s="22">
        <f>CF10-CE10</f>
        <v>0</v>
      </c>
      <c r="CH10" s="22"/>
      <c r="CI10" s="22"/>
      <c r="CJ10" s="22"/>
      <c r="CK10" s="22">
        <f>CJ10-CI10</f>
        <v>0</v>
      </c>
      <c r="CL10" s="22"/>
      <c r="CM10" s="22"/>
      <c r="CN10" s="22"/>
      <c r="CO10" s="22">
        <f>CN10-CM10</f>
        <v>0</v>
      </c>
      <c r="CP10" s="22">
        <f t="shared" ref="CP10:CR11" si="14">CH10+CL10</f>
        <v>0</v>
      </c>
      <c r="CQ10" s="22">
        <f t="shared" si="14"/>
        <v>0</v>
      </c>
      <c r="CR10" s="22">
        <f t="shared" si="14"/>
        <v>0</v>
      </c>
      <c r="CS10" s="22">
        <f>CR10-CQ10</f>
        <v>0</v>
      </c>
      <c r="CT10" s="22"/>
      <c r="CU10" s="22"/>
      <c r="CV10" s="22"/>
      <c r="CW10" s="22">
        <f>CV10-CU10</f>
        <v>0</v>
      </c>
      <c r="CX10" s="20">
        <f t="shared" ref="CX10:CZ15" si="15">AX10+BB10+BF10+BJ10+BV10+BZ10+CD10+CP10+CT10</f>
        <v>301295</v>
      </c>
      <c r="CY10" s="20">
        <f t="shared" si="15"/>
        <v>308168</v>
      </c>
      <c r="CZ10" s="20">
        <f t="shared" si="15"/>
        <v>311216</v>
      </c>
      <c r="DA10" s="22">
        <f>CZ10-CY10</f>
        <v>3048</v>
      </c>
      <c r="DB10" s="198">
        <v>48</v>
      </c>
      <c r="DC10" s="198">
        <v>2</v>
      </c>
      <c r="DD10" s="198">
        <v>1</v>
      </c>
      <c r="DE10" s="199">
        <f>SUM(DB10:DD10)</f>
        <v>51</v>
      </c>
    </row>
    <row r="11" spans="1:110" s="21" customFormat="1" ht="27" customHeight="1" x14ac:dyDescent="0.2">
      <c r="A11" s="200" t="s">
        <v>67</v>
      </c>
      <c r="B11" s="22">
        <v>13561</v>
      </c>
      <c r="C11" s="22">
        <v>13561</v>
      </c>
      <c r="D11" s="22">
        <v>13561</v>
      </c>
      <c r="E11" s="22">
        <f>D11-C11</f>
        <v>0</v>
      </c>
      <c r="F11" s="22"/>
      <c r="G11" s="22"/>
      <c r="H11" s="22"/>
      <c r="I11" s="22">
        <f>H11-G11</f>
        <v>0</v>
      </c>
      <c r="J11" s="22"/>
      <c r="K11" s="22"/>
      <c r="L11" s="22"/>
      <c r="M11" s="22">
        <f>L11-K11</f>
        <v>0</v>
      </c>
      <c r="N11" s="22"/>
      <c r="O11" s="22"/>
      <c r="P11" s="22"/>
      <c r="Q11" s="22">
        <f>P11-O11</f>
        <v>0</v>
      </c>
      <c r="R11" s="22"/>
      <c r="S11" s="22"/>
      <c r="T11" s="22"/>
      <c r="U11" s="22">
        <f>T11-S11</f>
        <v>0</v>
      </c>
      <c r="V11" s="22"/>
      <c r="W11" s="22"/>
      <c r="X11" s="22"/>
      <c r="Y11" s="22">
        <f>X11-W11</f>
        <v>0</v>
      </c>
      <c r="Z11" s="22"/>
      <c r="AA11" s="22"/>
      <c r="AB11" s="22"/>
      <c r="AC11" s="22">
        <f>AB11-AA11</f>
        <v>0</v>
      </c>
      <c r="AD11" s="20">
        <f t="shared" si="10"/>
        <v>13561</v>
      </c>
      <c r="AE11" s="20">
        <f t="shared" si="10"/>
        <v>13561</v>
      </c>
      <c r="AF11" s="20">
        <f t="shared" si="10"/>
        <v>13561</v>
      </c>
      <c r="AG11" s="22">
        <f>AF11-AE11</f>
        <v>0</v>
      </c>
      <c r="AH11" s="22"/>
      <c r="AI11" s="22"/>
      <c r="AJ11" s="22"/>
      <c r="AK11" s="22">
        <f>AJ11-AI11</f>
        <v>0</v>
      </c>
      <c r="AL11" s="22">
        <f>CX11-AD11-AH11</f>
        <v>0</v>
      </c>
      <c r="AM11" s="22"/>
      <c r="AN11" s="22"/>
      <c r="AO11" s="22">
        <f>AN11-AM11</f>
        <v>0</v>
      </c>
      <c r="AP11" s="22">
        <f t="shared" si="11"/>
        <v>0</v>
      </c>
      <c r="AQ11" s="22">
        <f t="shared" si="11"/>
        <v>0</v>
      </c>
      <c r="AR11" s="22">
        <f t="shared" si="11"/>
        <v>0</v>
      </c>
      <c r="AS11" s="22">
        <f>AR11-AQ11</f>
        <v>0</v>
      </c>
      <c r="AT11" s="20">
        <f t="shared" si="12"/>
        <v>13561</v>
      </c>
      <c r="AU11" s="20">
        <f t="shared" si="12"/>
        <v>13561</v>
      </c>
      <c r="AV11" s="20">
        <f t="shared" si="12"/>
        <v>13561</v>
      </c>
      <c r="AW11" s="22">
        <f>AV11-AU11</f>
        <v>0</v>
      </c>
      <c r="AX11" s="22">
        <v>10460</v>
      </c>
      <c r="AY11" s="22">
        <v>10460</v>
      </c>
      <c r="AZ11" s="22">
        <v>10460</v>
      </c>
      <c r="BA11" s="22">
        <f>AZ11-AY11</f>
        <v>0</v>
      </c>
      <c r="BB11" s="22">
        <v>2601</v>
      </c>
      <c r="BC11" s="22">
        <v>2601</v>
      </c>
      <c r="BD11" s="22">
        <v>2601</v>
      </c>
      <c r="BE11" s="22">
        <f>BD11-BC11</f>
        <v>0</v>
      </c>
      <c r="BF11" s="22">
        <v>500</v>
      </c>
      <c r="BG11" s="22">
        <v>500</v>
      </c>
      <c r="BH11" s="22">
        <v>500</v>
      </c>
      <c r="BI11" s="22">
        <f>BH11-BG11</f>
        <v>0</v>
      </c>
      <c r="BJ11" s="22"/>
      <c r="BK11" s="22"/>
      <c r="BL11" s="22"/>
      <c r="BM11" s="22">
        <f>BL11-BK11</f>
        <v>0</v>
      </c>
      <c r="BN11" s="22"/>
      <c r="BO11" s="22"/>
      <c r="BP11" s="22"/>
      <c r="BQ11" s="22">
        <f>BP11-BO11</f>
        <v>0</v>
      </c>
      <c r="BR11" s="22"/>
      <c r="BS11" s="22"/>
      <c r="BT11" s="22"/>
      <c r="BU11" s="22">
        <f>BT11-BS11</f>
        <v>0</v>
      </c>
      <c r="BV11" s="22">
        <f t="shared" si="13"/>
        <v>0</v>
      </c>
      <c r="BW11" s="22">
        <f t="shared" si="13"/>
        <v>0</v>
      </c>
      <c r="BX11" s="22">
        <f t="shared" si="13"/>
        <v>0</v>
      </c>
      <c r="BY11" s="22">
        <f>BX11-BW11</f>
        <v>0</v>
      </c>
      <c r="BZ11" s="22"/>
      <c r="CA11" s="22"/>
      <c r="CB11" s="22"/>
      <c r="CC11" s="22">
        <f>CB11-CA11</f>
        <v>0</v>
      </c>
      <c r="CD11" s="22"/>
      <c r="CE11" s="22"/>
      <c r="CF11" s="22"/>
      <c r="CG11" s="22">
        <f>CF11-CE11</f>
        <v>0</v>
      </c>
      <c r="CH11" s="22"/>
      <c r="CI11" s="22"/>
      <c r="CJ11" s="22"/>
      <c r="CK11" s="22">
        <f>CJ11-CI11</f>
        <v>0</v>
      </c>
      <c r="CL11" s="22"/>
      <c r="CM11" s="22"/>
      <c r="CN11" s="22"/>
      <c r="CO11" s="22">
        <f>CN11-CM11</f>
        <v>0</v>
      </c>
      <c r="CP11" s="22">
        <f t="shared" si="14"/>
        <v>0</v>
      </c>
      <c r="CQ11" s="22">
        <f t="shared" si="14"/>
        <v>0</v>
      </c>
      <c r="CR11" s="22">
        <f t="shared" si="14"/>
        <v>0</v>
      </c>
      <c r="CS11" s="22">
        <f>CR11-CQ11</f>
        <v>0</v>
      </c>
      <c r="CT11" s="22"/>
      <c r="CU11" s="22"/>
      <c r="CV11" s="22"/>
      <c r="CW11" s="22">
        <f>CV11-CU11</f>
        <v>0</v>
      </c>
      <c r="CX11" s="20">
        <f t="shared" si="15"/>
        <v>13561</v>
      </c>
      <c r="CY11" s="20">
        <f t="shared" si="15"/>
        <v>13561</v>
      </c>
      <c r="CZ11" s="20">
        <f t="shared" si="15"/>
        <v>13561</v>
      </c>
      <c r="DA11" s="22">
        <f>CZ11-CY11</f>
        <v>0</v>
      </c>
      <c r="DB11" s="198">
        <v>3.5</v>
      </c>
      <c r="DC11" s="198"/>
      <c r="DD11" s="198"/>
      <c r="DE11" s="198">
        <f>SUM(DB11:DD11)</f>
        <v>3.5</v>
      </c>
    </row>
    <row r="12" spans="1:110" s="21" customFormat="1" ht="27" customHeight="1" x14ac:dyDescent="0.2">
      <c r="A12" s="174" t="s">
        <v>25</v>
      </c>
      <c r="B12" s="20">
        <f t="shared" ref="B12:AL12" si="16">B10+B9</f>
        <v>24018</v>
      </c>
      <c r="C12" s="20">
        <f t="shared" si="16"/>
        <v>49140</v>
      </c>
      <c r="D12" s="20">
        <f t="shared" si="16"/>
        <v>52591</v>
      </c>
      <c r="E12" s="20">
        <f t="shared" si="16"/>
        <v>3451</v>
      </c>
      <c r="F12" s="20">
        <f t="shared" si="16"/>
        <v>0</v>
      </c>
      <c r="G12" s="20">
        <f t="shared" si="16"/>
        <v>0</v>
      </c>
      <c r="H12" s="20">
        <f t="shared" si="16"/>
        <v>0</v>
      </c>
      <c r="I12" s="20">
        <f t="shared" si="16"/>
        <v>0</v>
      </c>
      <c r="J12" s="20">
        <f t="shared" si="16"/>
        <v>72266</v>
      </c>
      <c r="K12" s="20">
        <f t="shared" si="16"/>
        <v>72266</v>
      </c>
      <c r="L12" s="20">
        <f t="shared" si="16"/>
        <v>72467</v>
      </c>
      <c r="M12" s="20">
        <f t="shared" si="16"/>
        <v>201</v>
      </c>
      <c r="N12" s="20">
        <f t="shared" si="16"/>
        <v>1039</v>
      </c>
      <c r="O12" s="20">
        <f t="shared" si="16"/>
        <v>3039</v>
      </c>
      <c r="P12" s="20">
        <f t="shared" si="16"/>
        <v>11930</v>
      </c>
      <c r="Q12" s="20">
        <f t="shared" si="16"/>
        <v>8891</v>
      </c>
      <c r="R12" s="20">
        <f t="shared" si="16"/>
        <v>0</v>
      </c>
      <c r="S12" s="20">
        <f t="shared" si="16"/>
        <v>0</v>
      </c>
      <c r="T12" s="20">
        <f t="shared" si="16"/>
        <v>0</v>
      </c>
      <c r="U12" s="20">
        <f t="shared" si="16"/>
        <v>0</v>
      </c>
      <c r="V12" s="20">
        <f t="shared" si="16"/>
        <v>0</v>
      </c>
      <c r="W12" s="20">
        <f t="shared" si="16"/>
        <v>0</v>
      </c>
      <c r="X12" s="20">
        <f t="shared" si="16"/>
        <v>0</v>
      </c>
      <c r="Y12" s="20">
        <f t="shared" si="16"/>
        <v>0</v>
      </c>
      <c r="Z12" s="20">
        <f t="shared" si="16"/>
        <v>0</v>
      </c>
      <c r="AA12" s="20">
        <f t="shared" si="16"/>
        <v>0</v>
      </c>
      <c r="AB12" s="20">
        <f t="shared" si="16"/>
        <v>0</v>
      </c>
      <c r="AC12" s="20">
        <f t="shared" si="16"/>
        <v>0</v>
      </c>
      <c r="AD12" s="20">
        <f t="shared" si="16"/>
        <v>97323</v>
      </c>
      <c r="AE12" s="20">
        <f t="shared" si="16"/>
        <v>124445</v>
      </c>
      <c r="AF12" s="20">
        <f t="shared" si="16"/>
        <v>136988</v>
      </c>
      <c r="AG12" s="20">
        <f t="shared" si="16"/>
        <v>12543</v>
      </c>
      <c r="AH12" s="20">
        <f t="shared" si="16"/>
        <v>0</v>
      </c>
      <c r="AI12" s="20">
        <f t="shared" si="16"/>
        <v>12975</v>
      </c>
      <c r="AJ12" s="20">
        <f t="shared" si="16"/>
        <v>12975</v>
      </c>
      <c r="AK12" s="20">
        <f t="shared" si="16"/>
        <v>0</v>
      </c>
      <c r="AL12" s="20">
        <f t="shared" si="16"/>
        <v>377078</v>
      </c>
      <c r="AM12" s="20">
        <v>374985</v>
      </c>
      <c r="AN12" s="20">
        <f>AN10+AN9</f>
        <v>379528</v>
      </c>
      <c r="AO12" s="20">
        <f>AO10+AO9</f>
        <v>4543</v>
      </c>
      <c r="AP12" s="20">
        <f>AP9+AP10</f>
        <v>377078</v>
      </c>
      <c r="AQ12" s="20">
        <f>AQ9+AQ10</f>
        <v>387960</v>
      </c>
      <c r="AR12" s="20">
        <f>AR9+AR10</f>
        <v>392503</v>
      </c>
      <c r="AS12" s="20">
        <f>AS10+AS9</f>
        <v>4543</v>
      </c>
      <c r="AT12" s="20">
        <f t="shared" si="12"/>
        <v>474401</v>
      </c>
      <c r="AU12" s="20">
        <f t="shared" si="12"/>
        <v>512405</v>
      </c>
      <c r="AV12" s="20">
        <f t="shared" si="12"/>
        <v>529491</v>
      </c>
      <c r="AW12" s="20">
        <f t="shared" ref="AW12:CB12" si="17">AW10+AW9</f>
        <v>17086</v>
      </c>
      <c r="AX12" s="20">
        <f t="shared" si="17"/>
        <v>248751</v>
      </c>
      <c r="AY12" s="20">
        <f t="shared" si="17"/>
        <v>254378</v>
      </c>
      <c r="AZ12" s="20">
        <f t="shared" si="17"/>
        <v>257908</v>
      </c>
      <c r="BA12" s="20">
        <f t="shared" si="17"/>
        <v>3530</v>
      </c>
      <c r="BB12" s="20">
        <f t="shared" si="17"/>
        <v>71999</v>
      </c>
      <c r="BC12" s="20">
        <f t="shared" si="17"/>
        <v>73173</v>
      </c>
      <c r="BD12" s="20">
        <f t="shared" si="17"/>
        <v>74156</v>
      </c>
      <c r="BE12" s="20">
        <f t="shared" si="17"/>
        <v>983</v>
      </c>
      <c r="BF12" s="20">
        <f t="shared" si="17"/>
        <v>150596</v>
      </c>
      <c r="BG12" s="20">
        <f t="shared" si="17"/>
        <v>175856</v>
      </c>
      <c r="BH12" s="20">
        <f t="shared" si="17"/>
        <v>183108</v>
      </c>
      <c r="BI12" s="20">
        <f t="shared" si="17"/>
        <v>7252</v>
      </c>
      <c r="BJ12" s="20">
        <f t="shared" si="17"/>
        <v>0</v>
      </c>
      <c r="BK12" s="20">
        <f t="shared" si="17"/>
        <v>0</v>
      </c>
      <c r="BL12" s="20">
        <f t="shared" si="17"/>
        <v>0</v>
      </c>
      <c r="BM12" s="20">
        <f t="shared" si="17"/>
        <v>0</v>
      </c>
      <c r="BN12" s="20">
        <f t="shared" si="17"/>
        <v>0</v>
      </c>
      <c r="BO12" s="20">
        <f t="shared" si="17"/>
        <v>1040</v>
      </c>
      <c r="BP12" s="20">
        <f t="shared" si="17"/>
        <v>1040</v>
      </c>
      <c r="BQ12" s="20">
        <f t="shared" si="17"/>
        <v>0</v>
      </c>
      <c r="BR12" s="20">
        <f t="shared" si="17"/>
        <v>0</v>
      </c>
      <c r="BS12" s="20">
        <f t="shared" si="17"/>
        <v>0</v>
      </c>
      <c r="BT12" s="20">
        <f t="shared" si="17"/>
        <v>0</v>
      </c>
      <c r="BU12" s="20">
        <f t="shared" si="17"/>
        <v>0</v>
      </c>
      <c r="BV12" s="20">
        <f t="shared" si="17"/>
        <v>0</v>
      </c>
      <c r="BW12" s="20">
        <f t="shared" si="17"/>
        <v>1040</v>
      </c>
      <c r="BX12" s="20">
        <f t="shared" si="17"/>
        <v>1040</v>
      </c>
      <c r="BY12" s="20">
        <f t="shared" si="17"/>
        <v>0</v>
      </c>
      <c r="BZ12" s="20">
        <f t="shared" si="17"/>
        <v>3055</v>
      </c>
      <c r="CA12" s="20">
        <f t="shared" si="17"/>
        <v>7958</v>
      </c>
      <c r="CB12" s="20">
        <f t="shared" si="17"/>
        <v>13279</v>
      </c>
      <c r="CC12" s="20">
        <f t="shared" ref="CC12:CW12" si="18">CC10+CC9</f>
        <v>5321</v>
      </c>
      <c r="CD12" s="20">
        <f t="shared" si="18"/>
        <v>0</v>
      </c>
      <c r="CE12" s="20">
        <f t="shared" si="18"/>
        <v>0</v>
      </c>
      <c r="CF12" s="20">
        <f t="shared" si="18"/>
        <v>0</v>
      </c>
      <c r="CG12" s="20">
        <f t="shared" si="18"/>
        <v>0</v>
      </c>
      <c r="CH12" s="20">
        <f t="shared" si="18"/>
        <v>0</v>
      </c>
      <c r="CI12" s="20">
        <f t="shared" si="18"/>
        <v>0</v>
      </c>
      <c r="CJ12" s="20">
        <f t="shared" si="18"/>
        <v>0</v>
      </c>
      <c r="CK12" s="20">
        <f t="shared" si="18"/>
        <v>0</v>
      </c>
      <c r="CL12" s="20">
        <f t="shared" si="18"/>
        <v>0</v>
      </c>
      <c r="CM12" s="20">
        <f t="shared" si="18"/>
        <v>0</v>
      </c>
      <c r="CN12" s="20">
        <f t="shared" si="18"/>
        <v>0</v>
      </c>
      <c r="CO12" s="20">
        <f t="shared" si="18"/>
        <v>0</v>
      </c>
      <c r="CP12" s="20">
        <f t="shared" si="18"/>
        <v>0</v>
      </c>
      <c r="CQ12" s="20">
        <f t="shared" si="18"/>
        <v>0</v>
      </c>
      <c r="CR12" s="20">
        <f t="shared" si="18"/>
        <v>0</v>
      </c>
      <c r="CS12" s="20">
        <f t="shared" si="18"/>
        <v>0</v>
      </c>
      <c r="CT12" s="20">
        <f t="shared" si="18"/>
        <v>0</v>
      </c>
      <c r="CU12" s="20">
        <f t="shared" si="18"/>
        <v>0</v>
      </c>
      <c r="CV12" s="20">
        <f t="shared" si="18"/>
        <v>0</v>
      </c>
      <c r="CW12" s="20">
        <f t="shared" si="18"/>
        <v>0</v>
      </c>
      <c r="CX12" s="20">
        <f t="shared" si="15"/>
        <v>474401</v>
      </c>
      <c r="CY12" s="20">
        <f t="shared" si="15"/>
        <v>512405</v>
      </c>
      <c r="CZ12" s="20">
        <f t="shared" si="15"/>
        <v>529491</v>
      </c>
      <c r="DA12" s="20">
        <f>DA10+DA9</f>
        <v>17086</v>
      </c>
      <c r="DB12" s="199">
        <f>DB10+DB9</f>
        <v>64</v>
      </c>
      <c r="DC12" s="199">
        <f>DC10+DC9</f>
        <v>19.75</v>
      </c>
      <c r="DD12" s="199">
        <f>DD10+DD9</f>
        <v>7</v>
      </c>
      <c r="DE12" s="199">
        <f>DE10+DE9+DE6</f>
        <v>99.5</v>
      </c>
    </row>
    <row r="13" spans="1:110" ht="21.75" customHeight="1" x14ac:dyDescent="0.2">
      <c r="A13" s="197" t="s">
        <v>51</v>
      </c>
      <c r="B13" s="22">
        <f>926525+2021-24018</f>
        <v>904528</v>
      </c>
      <c r="C13" s="22">
        <f>931894+22276</f>
        <v>954170</v>
      </c>
      <c r="D13" s="22">
        <v>977547</v>
      </c>
      <c r="E13" s="22">
        <f>D13-C13</f>
        <v>23377</v>
      </c>
      <c r="F13" s="22">
        <v>394911</v>
      </c>
      <c r="G13" s="22">
        <v>402240</v>
      </c>
      <c r="H13" s="22">
        <v>418441</v>
      </c>
      <c r="I13" s="22">
        <f>H13-G13</f>
        <v>16201</v>
      </c>
      <c r="J13" s="22">
        <v>71004</v>
      </c>
      <c r="K13" s="22">
        <v>82546</v>
      </c>
      <c r="L13" s="22">
        <v>94356</v>
      </c>
      <c r="M13" s="22">
        <f>L13-K13</f>
        <v>11810</v>
      </c>
      <c r="N13" s="22">
        <v>10320</v>
      </c>
      <c r="O13" s="22">
        <v>10620</v>
      </c>
      <c r="P13" s="22">
        <v>10620</v>
      </c>
      <c r="Q13" s="22">
        <f>P13-O13</f>
        <v>0</v>
      </c>
      <c r="R13" s="22">
        <f>2177+12434+2600</f>
        <v>17211</v>
      </c>
      <c r="S13" s="22">
        <v>115892</v>
      </c>
      <c r="T13" s="22">
        <v>146180</v>
      </c>
      <c r="U13" s="22">
        <f>T13-S13</f>
        <v>30288</v>
      </c>
      <c r="V13" s="22">
        <v>81349</v>
      </c>
      <c r="W13" s="22">
        <v>81349</v>
      </c>
      <c r="X13" s="22">
        <v>26515</v>
      </c>
      <c r="Y13" s="22">
        <f>X13-W13</f>
        <v>-54834</v>
      </c>
      <c r="Z13" s="22">
        <v>65600</v>
      </c>
      <c r="AA13" s="22">
        <v>17350</v>
      </c>
      <c r="AB13" s="22">
        <v>17350</v>
      </c>
      <c r="AC13" s="22">
        <f>AB13-AA13</f>
        <v>0</v>
      </c>
      <c r="AD13" s="20">
        <f>B13+F13+J13+N13+R13+V13+Z13</f>
        <v>1544923</v>
      </c>
      <c r="AE13" s="20">
        <f>C13+G13+K13+O13+S13+W13+AA13</f>
        <v>1664167</v>
      </c>
      <c r="AF13" s="20">
        <f>D13+H13+L13+P13+T13+X13+AB13</f>
        <v>1691009</v>
      </c>
      <c r="AG13" s="22">
        <f>AF13-AE13</f>
        <v>26842</v>
      </c>
      <c r="AH13" s="22">
        <f>152384+98027</f>
        <v>250411</v>
      </c>
      <c r="AI13" s="22">
        <v>307512</v>
      </c>
      <c r="AJ13" s="22">
        <v>307512</v>
      </c>
      <c r="AK13" s="22">
        <f>AJ13-AI13</f>
        <v>0</v>
      </c>
      <c r="AL13" s="22">
        <f>CX13-AD13-AH13</f>
        <v>0</v>
      </c>
      <c r="AM13" s="22"/>
      <c r="AN13" s="22"/>
      <c r="AO13" s="22">
        <f>AN13-AM13</f>
        <v>0</v>
      </c>
      <c r="AP13" s="20">
        <f>AH13+AL13</f>
        <v>250411</v>
      </c>
      <c r="AQ13" s="20">
        <f>AI13+AM13</f>
        <v>307512</v>
      </c>
      <c r="AR13" s="20">
        <f>AJ13+AN13</f>
        <v>307512</v>
      </c>
      <c r="AS13" s="22">
        <f>AR13-AQ13</f>
        <v>0</v>
      </c>
      <c r="AT13" s="20">
        <f t="shared" si="12"/>
        <v>1795334</v>
      </c>
      <c r="AU13" s="20">
        <f t="shared" si="12"/>
        <v>1971679</v>
      </c>
      <c r="AV13" s="20">
        <f t="shared" si="12"/>
        <v>1998521</v>
      </c>
      <c r="AW13" s="22">
        <f>AV13-AU13</f>
        <v>26842</v>
      </c>
      <c r="AX13" s="22">
        <f>19837+14746</f>
        <v>34583</v>
      </c>
      <c r="AY13" s="22">
        <v>41350</v>
      </c>
      <c r="AZ13" s="22">
        <v>44635</v>
      </c>
      <c r="BA13" s="22">
        <f>AZ13-AY13</f>
        <v>3285</v>
      </c>
      <c r="BB13" s="22">
        <f>5360+4176</f>
        <v>9536</v>
      </c>
      <c r="BC13" s="22">
        <v>11097</v>
      </c>
      <c r="BD13" s="22">
        <v>12605</v>
      </c>
      <c r="BE13" s="22">
        <f>BD13-BC13</f>
        <v>1508</v>
      </c>
      <c r="BF13" s="22">
        <f>373081+39718</f>
        <v>412799</v>
      </c>
      <c r="BG13" s="22">
        <v>436822</v>
      </c>
      <c r="BH13" s="22">
        <v>443336</v>
      </c>
      <c r="BI13" s="22">
        <f>BH13-BG13</f>
        <v>6514</v>
      </c>
      <c r="BJ13" s="22">
        <v>39605</v>
      </c>
      <c r="BK13" s="22">
        <v>42516</v>
      </c>
      <c r="BL13" s="22">
        <v>38547</v>
      </c>
      <c r="BM13" s="22">
        <f>BL13-BK13</f>
        <v>-3969</v>
      </c>
      <c r="BN13" s="22">
        <f>421035+27881+113976+13052</f>
        <v>575944</v>
      </c>
      <c r="BO13" s="22">
        <f>633212-16670</f>
        <v>616542</v>
      </c>
      <c r="BP13" s="22">
        <v>661804</v>
      </c>
      <c r="BQ13" s="22">
        <f>BP13-BO13</f>
        <v>45262</v>
      </c>
      <c r="BR13" s="22">
        <v>32300</v>
      </c>
      <c r="BS13" s="22">
        <v>16670</v>
      </c>
      <c r="BT13" s="22">
        <v>0</v>
      </c>
      <c r="BU13" s="22">
        <f>BT13-BS13</f>
        <v>-16670</v>
      </c>
      <c r="BV13" s="22">
        <f>BN13+BR13</f>
        <v>608244</v>
      </c>
      <c r="BW13" s="22">
        <f>BO13+BS13</f>
        <v>633212</v>
      </c>
      <c r="BX13" s="22">
        <f>BP13+BT13</f>
        <v>661804</v>
      </c>
      <c r="BY13" s="22">
        <f>BX13-BW13</f>
        <v>28592</v>
      </c>
      <c r="BZ13" s="22">
        <f>247613-3055</f>
        <v>244558</v>
      </c>
      <c r="CA13" s="22">
        <f>165112+2778</f>
        <v>167890</v>
      </c>
      <c r="CB13" s="22">
        <v>171925</v>
      </c>
      <c r="CC13" s="22">
        <f>CB13-CA13</f>
        <v>4035</v>
      </c>
      <c r="CD13" s="22">
        <v>54047</v>
      </c>
      <c r="CE13" s="22">
        <v>223784</v>
      </c>
      <c r="CF13" s="22">
        <v>204118</v>
      </c>
      <c r="CG13" s="22">
        <f>CF13-CE13</f>
        <v>-19666</v>
      </c>
      <c r="CH13" s="22">
        <f>14884</f>
        <v>14884</v>
      </c>
      <c r="CI13" s="22">
        <v>14884</v>
      </c>
      <c r="CJ13" s="22">
        <v>16884</v>
      </c>
      <c r="CK13" s="22">
        <f>CJ13-CI13</f>
        <v>2000</v>
      </c>
      <c r="CL13" s="22">
        <v>0</v>
      </c>
      <c r="CM13" s="22"/>
      <c r="CN13" s="22"/>
      <c r="CO13" s="22">
        <f>CN13-CM13</f>
        <v>0</v>
      </c>
      <c r="CP13" s="22">
        <f>CH13+CL13</f>
        <v>14884</v>
      </c>
      <c r="CQ13" s="22">
        <f>CI13+CM13</f>
        <v>14884</v>
      </c>
      <c r="CR13" s="22">
        <f>CJ13+CN13</f>
        <v>16884</v>
      </c>
      <c r="CS13" s="22">
        <f>CR13-CQ13</f>
        <v>2000</v>
      </c>
      <c r="CT13" s="22">
        <f>AL12</f>
        <v>377078</v>
      </c>
      <c r="CU13" s="22">
        <v>400124</v>
      </c>
      <c r="CV13" s="22">
        <v>404667</v>
      </c>
      <c r="CW13" s="22">
        <f>CV13-CU13</f>
        <v>4543</v>
      </c>
      <c r="CX13" s="20">
        <f t="shared" si="15"/>
        <v>1795334</v>
      </c>
      <c r="CY13" s="20">
        <f t="shared" si="15"/>
        <v>1971679</v>
      </c>
      <c r="CZ13" s="20">
        <f t="shared" si="15"/>
        <v>1998521</v>
      </c>
      <c r="DA13" s="22">
        <f>CZ13-CY13</f>
        <v>26842</v>
      </c>
      <c r="DB13" s="198">
        <v>2.5</v>
      </c>
      <c r="DC13" s="198">
        <v>1.7</v>
      </c>
      <c r="DD13" s="198"/>
      <c r="DE13" s="198">
        <f>SUM(DB13:DD13)</f>
        <v>4.2</v>
      </c>
    </row>
    <row r="14" spans="1:110" s="21" customFormat="1" ht="27" customHeight="1" x14ac:dyDescent="0.2">
      <c r="A14" s="174" t="s">
        <v>52</v>
      </c>
      <c r="B14" s="20">
        <f t="shared" ref="B14:AL14" si="19">B12+B13</f>
        <v>928546</v>
      </c>
      <c r="C14" s="20">
        <f t="shared" si="19"/>
        <v>1003310</v>
      </c>
      <c r="D14" s="20">
        <f t="shared" si="19"/>
        <v>1030138</v>
      </c>
      <c r="E14" s="20">
        <f t="shared" si="19"/>
        <v>26828</v>
      </c>
      <c r="F14" s="20">
        <f t="shared" si="19"/>
        <v>394911</v>
      </c>
      <c r="G14" s="20">
        <f t="shared" si="19"/>
        <v>402240</v>
      </c>
      <c r="H14" s="20">
        <f t="shared" si="19"/>
        <v>418441</v>
      </c>
      <c r="I14" s="20">
        <f t="shared" si="19"/>
        <v>16201</v>
      </c>
      <c r="J14" s="20">
        <f t="shared" si="19"/>
        <v>143270</v>
      </c>
      <c r="K14" s="20">
        <f t="shared" si="19"/>
        <v>154812</v>
      </c>
      <c r="L14" s="20">
        <f t="shared" si="19"/>
        <v>166823</v>
      </c>
      <c r="M14" s="20">
        <f t="shared" si="19"/>
        <v>12011</v>
      </c>
      <c r="N14" s="20">
        <f t="shared" si="19"/>
        <v>11359</v>
      </c>
      <c r="O14" s="20">
        <f t="shared" si="19"/>
        <v>13659</v>
      </c>
      <c r="P14" s="20">
        <f t="shared" si="19"/>
        <v>22550</v>
      </c>
      <c r="Q14" s="20">
        <f t="shared" si="19"/>
        <v>8891</v>
      </c>
      <c r="R14" s="20">
        <f t="shared" si="19"/>
        <v>17211</v>
      </c>
      <c r="S14" s="20">
        <f t="shared" si="19"/>
        <v>115892</v>
      </c>
      <c r="T14" s="20">
        <f t="shared" si="19"/>
        <v>146180</v>
      </c>
      <c r="U14" s="20">
        <f t="shared" si="19"/>
        <v>30288</v>
      </c>
      <c r="V14" s="20">
        <f t="shared" si="19"/>
        <v>81349</v>
      </c>
      <c r="W14" s="20">
        <f t="shared" si="19"/>
        <v>81349</v>
      </c>
      <c r="X14" s="20">
        <f t="shared" si="19"/>
        <v>26515</v>
      </c>
      <c r="Y14" s="20">
        <f t="shared" si="19"/>
        <v>-54834</v>
      </c>
      <c r="Z14" s="20">
        <f t="shared" si="19"/>
        <v>65600</v>
      </c>
      <c r="AA14" s="20">
        <f t="shared" si="19"/>
        <v>17350</v>
      </c>
      <c r="AB14" s="20">
        <f t="shared" si="19"/>
        <v>17350</v>
      </c>
      <c r="AC14" s="20">
        <f t="shared" si="19"/>
        <v>0</v>
      </c>
      <c r="AD14" s="20">
        <f t="shared" si="19"/>
        <v>1642246</v>
      </c>
      <c r="AE14" s="20">
        <f t="shared" si="19"/>
        <v>1788612</v>
      </c>
      <c r="AF14" s="20">
        <f t="shared" si="19"/>
        <v>1827997</v>
      </c>
      <c r="AG14" s="20">
        <f t="shared" si="19"/>
        <v>39385</v>
      </c>
      <c r="AH14" s="20">
        <f t="shared" si="19"/>
        <v>250411</v>
      </c>
      <c r="AI14" s="20">
        <f t="shared" si="19"/>
        <v>320487</v>
      </c>
      <c r="AJ14" s="20">
        <f t="shared" si="19"/>
        <v>320487</v>
      </c>
      <c r="AK14" s="20">
        <f t="shared" si="19"/>
        <v>0</v>
      </c>
      <c r="AL14" s="20">
        <f t="shared" si="19"/>
        <v>377078</v>
      </c>
      <c r="AM14" s="20">
        <v>374985</v>
      </c>
      <c r="AN14" s="20">
        <f t="shared" ref="AN14:AS14" si="20">AN12+AN13</f>
        <v>379528</v>
      </c>
      <c r="AO14" s="20">
        <f t="shared" si="20"/>
        <v>4543</v>
      </c>
      <c r="AP14" s="20">
        <f t="shared" si="20"/>
        <v>627489</v>
      </c>
      <c r="AQ14" s="20">
        <f t="shared" si="20"/>
        <v>695472</v>
      </c>
      <c r="AR14" s="20">
        <f t="shared" si="20"/>
        <v>700015</v>
      </c>
      <c r="AS14" s="20">
        <f t="shared" si="20"/>
        <v>4543</v>
      </c>
      <c r="AT14" s="20">
        <f t="shared" si="12"/>
        <v>2269735</v>
      </c>
      <c r="AU14" s="20">
        <f t="shared" si="12"/>
        <v>2484084</v>
      </c>
      <c r="AV14" s="20">
        <f t="shared" si="12"/>
        <v>2528012</v>
      </c>
      <c r="AW14" s="20">
        <f t="shared" ref="AW14:CB14" si="21">AW12+AW13</f>
        <v>43928</v>
      </c>
      <c r="AX14" s="20">
        <f t="shared" si="21"/>
        <v>283334</v>
      </c>
      <c r="AY14" s="20">
        <f t="shared" si="21"/>
        <v>295728</v>
      </c>
      <c r="AZ14" s="20">
        <f t="shared" si="21"/>
        <v>302543</v>
      </c>
      <c r="BA14" s="20">
        <f t="shared" si="21"/>
        <v>6815</v>
      </c>
      <c r="BB14" s="20">
        <f t="shared" si="21"/>
        <v>81535</v>
      </c>
      <c r="BC14" s="20">
        <f t="shared" si="21"/>
        <v>84270</v>
      </c>
      <c r="BD14" s="20">
        <f t="shared" si="21"/>
        <v>86761</v>
      </c>
      <c r="BE14" s="20">
        <f t="shared" si="21"/>
        <v>2491</v>
      </c>
      <c r="BF14" s="20">
        <f t="shared" si="21"/>
        <v>563395</v>
      </c>
      <c r="BG14" s="20">
        <f t="shared" si="21"/>
        <v>612678</v>
      </c>
      <c r="BH14" s="20">
        <f t="shared" si="21"/>
        <v>626444</v>
      </c>
      <c r="BI14" s="20">
        <f t="shared" si="21"/>
        <v>13766</v>
      </c>
      <c r="BJ14" s="20">
        <f t="shared" si="21"/>
        <v>39605</v>
      </c>
      <c r="BK14" s="20">
        <f t="shared" si="21"/>
        <v>42516</v>
      </c>
      <c r="BL14" s="20">
        <f t="shared" si="21"/>
        <v>38547</v>
      </c>
      <c r="BM14" s="20">
        <f t="shared" si="21"/>
        <v>-3969</v>
      </c>
      <c r="BN14" s="20">
        <f t="shared" si="21"/>
        <v>575944</v>
      </c>
      <c r="BO14" s="20">
        <f t="shared" si="21"/>
        <v>617582</v>
      </c>
      <c r="BP14" s="20">
        <f t="shared" si="21"/>
        <v>662844</v>
      </c>
      <c r="BQ14" s="20">
        <f t="shared" si="21"/>
        <v>45262</v>
      </c>
      <c r="BR14" s="20">
        <f t="shared" si="21"/>
        <v>32300</v>
      </c>
      <c r="BS14" s="20">
        <f t="shared" si="21"/>
        <v>16670</v>
      </c>
      <c r="BT14" s="20">
        <f t="shared" si="21"/>
        <v>0</v>
      </c>
      <c r="BU14" s="20">
        <f t="shared" si="21"/>
        <v>-16670</v>
      </c>
      <c r="BV14" s="20">
        <f t="shared" si="21"/>
        <v>608244</v>
      </c>
      <c r="BW14" s="20">
        <f t="shared" si="21"/>
        <v>634252</v>
      </c>
      <c r="BX14" s="20">
        <f t="shared" si="21"/>
        <v>662844</v>
      </c>
      <c r="BY14" s="20">
        <f t="shared" si="21"/>
        <v>28592</v>
      </c>
      <c r="BZ14" s="20">
        <f t="shared" si="21"/>
        <v>247613</v>
      </c>
      <c r="CA14" s="20">
        <f t="shared" si="21"/>
        <v>175848</v>
      </c>
      <c r="CB14" s="20">
        <f t="shared" si="21"/>
        <v>185204</v>
      </c>
      <c r="CC14" s="20">
        <f t="shared" ref="CC14:DH14" si="22">CC12+CC13</f>
        <v>9356</v>
      </c>
      <c r="CD14" s="20">
        <f t="shared" si="22"/>
        <v>54047</v>
      </c>
      <c r="CE14" s="20">
        <f t="shared" si="22"/>
        <v>223784</v>
      </c>
      <c r="CF14" s="20">
        <f t="shared" si="22"/>
        <v>204118</v>
      </c>
      <c r="CG14" s="20">
        <f t="shared" si="22"/>
        <v>-19666</v>
      </c>
      <c r="CH14" s="20">
        <f t="shared" si="22"/>
        <v>14884</v>
      </c>
      <c r="CI14" s="20">
        <f t="shared" si="22"/>
        <v>14884</v>
      </c>
      <c r="CJ14" s="20">
        <f t="shared" si="22"/>
        <v>16884</v>
      </c>
      <c r="CK14" s="20">
        <f t="shared" si="22"/>
        <v>2000</v>
      </c>
      <c r="CL14" s="20">
        <f t="shared" si="22"/>
        <v>0</v>
      </c>
      <c r="CM14" s="20">
        <f t="shared" si="22"/>
        <v>0</v>
      </c>
      <c r="CN14" s="20">
        <f t="shared" si="22"/>
        <v>0</v>
      </c>
      <c r="CO14" s="20">
        <f t="shared" si="22"/>
        <v>0</v>
      </c>
      <c r="CP14" s="20">
        <f t="shared" si="22"/>
        <v>14884</v>
      </c>
      <c r="CQ14" s="20">
        <f t="shared" si="22"/>
        <v>14884</v>
      </c>
      <c r="CR14" s="20">
        <f t="shared" si="22"/>
        <v>16884</v>
      </c>
      <c r="CS14" s="20">
        <f t="shared" si="22"/>
        <v>2000</v>
      </c>
      <c r="CT14" s="20">
        <f t="shared" si="22"/>
        <v>377078</v>
      </c>
      <c r="CU14" s="20">
        <f t="shared" si="22"/>
        <v>400124</v>
      </c>
      <c r="CV14" s="20">
        <f t="shared" si="22"/>
        <v>404667</v>
      </c>
      <c r="CW14" s="20">
        <f t="shared" si="22"/>
        <v>4543</v>
      </c>
      <c r="CX14" s="20">
        <f t="shared" si="15"/>
        <v>2269735</v>
      </c>
      <c r="CY14" s="20">
        <f t="shared" si="15"/>
        <v>2484084</v>
      </c>
      <c r="CZ14" s="20">
        <f t="shared" si="15"/>
        <v>2528012</v>
      </c>
      <c r="DA14" s="20">
        <f>DA12+DA13</f>
        <v>43928</v>
      </c>
      <c r="DB14" s="199">
        <f>DB12+DB13</f>
        <v>66.5</v>
      </c>
      <c r="DC14" s="199">
        <f>DC12+DC13</f>
        <v>21.45</v>
      </c>
      <c r="DD14" s="199">
        <f>DD12+DD13</f>
        <v>7</v>
      </c>
      <c r="DE14" s="199">
        <f>DE12+DE13</f>
        <v>103.7</v>
      </c>
      <c r="DF14" s="21" t="s">
        <v>255</v>
      </c>
    </row>
    <row r="15" spans="1:110" s="21" customFormat="1" ht="27" customHeight="1" x14ac:dyDescent="0.2">
      <c r="A15" s="174" t="s">
        <v>182</v>
      </c>
      <c r="B15" s="20">
        <f t="shared" ref="B15:AK15" si="23">B14</f>
        <v>928546</v>
      </c>
      <c r="C15" s="20">
        <f t="shared" si="23"/>
        <v>1003310</v>
      </c>
      <c r="D15" s="20">
        <f t="shared" si="23"/>
        <v>1030138</v>
      </c>
      <c r="E15" s="20">
        <f t="shared" si="23"/>
        <v>26828</v>
      </c>
      <c r="F15" s="20">
        <f t="shared" si="23"/>
        <v>394911</v>
      </c>
      <c r="G15" s="20">
        <f t="shared" si="23"/>
        <v>402240</v>
      </c>
      <c r="H15" s="20">
        <f t="shared" si="23"/>
        <v>418441</v>
      </c>
      <c r="I15" s="20">
        <f t="shared" si="23"/>
        <v>16201</v>
      </c>
      <c r="J15" s="20">
        <f t="shared" si="23"/>
        <v>143270</v>
      </c>
      <c r="K15" s="20">
        <f t="shared" si="23"/>
        <v>154812</v>
      </c>
      <c r="L15" s="20">
        <f t="shared" si="23"/>
        <v>166823</v>
      </c>
      <c r="M15" s="20">
        <f t="shared" si="23"/>
        <v>12011</v>
      </c>
      <c r="N15" s="20">
        <f t="shared" si="23"/>
        <v>11359</v>
      </c>
      <c r="O15" s="20">
        <f t="shared" si="23"/>
        <v>13659</v>
      </c>
      <c r="P15" s="20">
        <f t="shared" si="23"/>
        <v>22550</v>
      </c>
      <c r="Q15" s="20">
        <f t="shared" si="23"/>
        <v>8891</v>
      </c>
      <c r="R15" s="20">
        <f t="shared" si="23"/>
        <v>17211</v>
      </c>
      <c r="S15" s="20">
        <f t="shared" si="23"/>
        <v>115892</v>
      </c>
      <c r="T15" s="20">
        <f t="shared" si="23"/>
        <v>146180</v>
      </c>
      <c r="U15" s="20">
        <f t="shared" si="23"/>
        <v>30288</v>
      </c>
      <c r="V15" s="20">
        <f t="shared" si="23"/>
        <v>81349</v>
      </c>
      <c r="W15" s="20">
        <f t="shared" si="23"/>
        <v>81349</v>
      </c>
      <c r="X15" s="20">
        <f t="shared" si="23"/>
        <v>26515</v>
      </c>
      <c r="Y15" s="20">
        <f t="shared" si="23"/>
        <v>-54834</v>
      </c>
      <c r="Z15" s="20">
        <f t="shared" si="23"/>
        <v>65600</v>
      </c>
      <c r="AA15" s="20">
        <f t="shared" si="23"/>
        <v>17350</v>
      </c>
      <c r="AB15" s="20">
        <f t="shared" si="23"/>
        <v>17350</v>
      </c>
      <c r="AC15" s="20">
        <f t="shared" si="23"/>
        <v>0</v>
      </c>
      <c r="AD15" s="20">
        <f t="shared" si="23"/>
        <v>1642246</v>
      </c>
      <c r="AE15" s="20">
        <f t="shared" si="23"/>
        <v>1788612</v>
      </c>
      <c r="AF15" s="20">
        <f t="shared" si="23"/>
        <v>1827997</v>
      </c>
      <c r="AG15" s="20">
        <f t="shared" si="23"/>
        <v>39385</v>
      </c>
      <c r="AH15" s="20">
        <f t="shared" si="23"/>
        <v>250411</v>
      </c>
      <c r="AI15" s="20">
        <f t="shared" si="23"/>
        <v>320487</v>
      </c>
      <c r="AJ15" s="20">
        <f t="shared" si="23"/>
        <v>320487</v>
      </c>
      <c r="AK15" s="20">
        <f t="shared" si="23"/>
        <v>0</v>
      </c>
      <c r="AL15" s="20">
        <f>AL14-AL12</f>
        <v>0</v>
      </c>
      <c r="AM15" s="20">
        <v>0</v>
      </c>
      <c r="AN15" s="20">
        <f>AN14-AN12</f>
        <v>0</v>
      </c>
      <c r="AO15" s="22">
        <f>AN15-AM15</f>
        <v>0</v>
      </c>
      <c r="AP15" s="20">
        <f>AH15+AL15</f>
        <v>250411</v>
      </c>
      <c r="AQ15" s="20">
        <f>AI15+AM15</f>
        <v>320487</v>
      </c>
      <c r="AR15" s="20">
        <f>AJ15+AN15</f>
        <v>320487</v>
      </c>
      <c r="AS15" s="20">
        <f>AK15+AO15</f>
        <v>0</v>
      </c>
      <c r="AT15" s="20">
        <f t="shared" si="12"/>
        <v>1892657</v>
      </c>
      <c r="AU15" s="20">
        <f t="shared" si="12"/>
        <v>2109099</v>
      </c>
      <c r="AV15" s="20">
        <f t="shared" si="12"/>
        <v>2148484</v>
      </c>
      <c r="AW15" s="22">
        <f>AV15-AU15</f>
        <v>39385</v>
      </c>
      <c r="AX15" s="20">
        <f t="shared" ref="AX15:CS15" si="24">AX14</f>
        <v>283334</v>
      </c>
      <c r="AY15" s="20">
        <f t="shared" si="24"/>
        <v>295728</v>
      </c>
      <c r="AZ15" s="20">
        <f t="shared" si="24"/>
        <v>302543</v>
      </c>
      <c r="BA15" s="20">
        <f t="shared" si="24"/>
        <v>6815</v>
      </c>
      <c r="BB15" s="20">
        <f t="shared" si="24"/>
        <v>81535</v>
      </c>
      <c r="BC15" s="20">
        <f t="shared" si="24"/>
        <v>84270</v>
      </c>
      <c r="BD15" s="20">
        <f t="shared" si="24"/>
        <v>86761</v>
      </c>
      <c r="BE15" s="20">
        <f t="shared" si="24"/>
        <v>2491</v>
      </c>
      <c r="BF15" s="20">
        <f t="shared" si="24"/>
        <v>563395</v>
      </c>
      <c r="BG15" s="20">
        <f t="shared" si="24"/>
        <v>612678</v>
      </c>
      <c r="BH15" s="20">
        <f t="shared" si="24"/>
        <v>626444</v>
      </c>
      <c r="BI15" s="20">
        <f t="shared" si="24"/>
        <v>13766</v>
      </c>
      <c r="BJ15" s="20">
        <f t="shared" si="24"/>
        <v>39605</v>
      </c>
      <c r="BK15" s="20">
        <f t="shared" si="24"/>
        <v>42516</v>
      </c>
      <c r="BL15" s="20">
        <f t="shared" si="24"/>
        <v>38547</v>
      </c>
      <c r="BM15" s="20">
        <f t="shared" si="24"/>
        <v>-3969</v>
      </c>
      <c r="BN15" s="20">
        <f t="shared" si="24"/>
        <v>575944</v>
      </c>
      <c r="BO15" s="20">
        <f t="shared" si="24"/>
        <v>617582</v>
      </c>
      <c r="BP15" s="20">
        <f t="shared" si="24"/>
        <v>662844</v>
      </c>
      <c r="BQ15" s="20">
        <f t="shared" si="24"/>
        <v>45262</v>
      </c>
      <c r="BR15" s="20">
        <f t="shared" si="24"/>
        <v>32300</v>
      </c>
      <c r="BS15" s="20">
        <f t="shared" si="24"/>
        <v>16670</v>
      </c>
      <c r="BT15" s="20">
        <f t="shared" si="24"/>
        <v>0</v>
      </c>
      <c r="BU15" s="20">
        <f t="shared" si="24"/>
        <v>-16670</v>
      </c>
      <c r="BV15" s="20">
        <f t="shared" si="24"/>
        <v>608244</v>
      </c>
      <c r="BW15" s="20">
        <f t="shared" si="24"/>
        <v>634252</v>
      </c>
      <c r="BX15" s="20">
        <f t="shared" si="24"/>
        <v>662844</v>
      </c>
      <c r="BY15" s="20">
        <f t="shared" si="24"/>
        <v>28592</v>
      </c>
      <c r="BZ15" s="20">
        <f t="shared" si="24"/>
        <v>247613</v>
      </c>
      <c r="CA15" s="20">
        <f t="shared" si="24"/>
        <v>175848</v>
      </c>
      <c r="CB15" s="20">
        <f t="shared" si="24"/>
        <v>185204</v>
      </c>
      <c r="CC15" s="20">
        <f t="shared" si="24"/>
        <v>9356</v>
      </c>
      <c r="CD15" s="20">
        <f t="shared" si="24"/>
        <v>54047</v>
      </c>
      <c r="CE15" s="20">
        <f t="shared" si="24"/>
        <v>223784</v>
      </c>
      <c r="CF15" s="20">
        <f t="shared" si="24"/>
        <v>204118</v>
      </c>
      <c r="CG15" s="20">
        <f t="shared" si="24"/>
        <v>-19666</v>
      </c>
      <c r="CH15" s="20">
        <f t="shared" si="24"/>
        <v>14884</v>
      </c>
      <c r="CI15" s="20">
        <f t="shared" si="24"/>
        <v>14884</v>
      </c>
      <c r="CJ15" s="20">
        <f t="shared" si="24"/>
        <v>16884</v>
      </c>
      <c r="CK15" s="20">
        <f t="shared" si="24"/>
        <v>2000</v>
      </c>
      <c r="CL15" s="20">
        <f t="shared" si="24"/>
        <v>0</v>
      </c>
      <c r="CM15" s="20">
        <f t="shared" si="24"/>
        <v>0</v>
      </c>
      <c r="CN15" s="20">
        <f t="shared" si="24"/>
        <v>0</v>
      </c>
      <c r="CO15" s="20">
        <f t="shared" si="24"/>
        <v>0</v>
      </c>
      <c r="CP15" s="20">
        <f t="shared" si="24"/>
        <v>14884</v>
      </c>
      <c r="CQ15" s="20">
        <f t="shared" si="24"/>
        <v>14884</v>
      </c>
      <c r="CR15" s="20">
        <f t="shared" si="24"/>
        <v>16884</v>
      </c>
      <c r="CS15" s="20">
        <f t="shared" si="24"/>
        <v>2000</v>
      </c>
      <c r="CT15" s="20">
        <f>CT14-CT13</f>
        <v>0</v>
      </c>
      <c r="CU15" s="20">
        <f>CU14-AM14</f>
        <v>25139</v>
      </c>
      <c r="CV15" s="20">
        <f>CV14-AN14</f>
        <v>25139</v>
      </c>
      <c r="CW15" s="22">
        <f>CV15-CU15</f>
        <v>0</v>
      </c>
      <c r="CX15" s="20">
        <f t="shared" si="15"/>
        <v>1892657</v>
      </c>
      <c r="CY15" s="20">
        <f t="shared" si="15"/>
        <v>2109099</v>
      </c>
      <c r="CZ15" s="20">
        <f t="shared" si="15"/>
        <v>2148484</v>
      </c>
      <c r="DA15" s="22">
        <f>CZ15-CY15</f>
        <v>39385</v>
      </c>
      <c r="DB15" s="199"/>
      <c r="DC15" s="199"/>
      <c r="DD15" s="199"/>
      <c r="DE15" s="199"/>
    </row>
    <row r="16" spans="1:110" s="21" customFormat="1" ht="14.25" customHeight="1" x14ac:dyDescent="0.2">
      <c r="A16" s="173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</row>
    <row r="17" spans="1:106" s="21" customFormat="1" ht="26.25" customHeight="1" x14ac:dyDescent="0.2">
      <c r="A17" s="174" t="s">
        <v>76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</row>
    <row r="18" spans="1:106" s="22" customFormat="1" ht="15.75" customHeight="1" x14ac:dyDescent="0.2">
      <c r="A18" s="22" t="s">
        <v>73</v>
      </c>
      <c r="B18" s="22">
        <v>926525</v>
      </c>
      <c r="C18" s="22">
        <v>959193</v>
      </c>
      <c r="D18" s="22">
        <f>B18+332+12160+1243+903+2000+1304-9033+22276+1483+454-348+1945+23377</f>
        <v>984621</v>
      </c>
      <c r="E18" s="22">
        <f>D18-C18</f>
        <v>25428</v>
      </c>
      <c r="F18" s="22">
        <v>394911</v>
      </c>
      <c r="G18" s="22">
        <v>402240</v>
      </c>
      <c r="H18" s="22">
        <f>F18-12565+19894+16201</f>
        <v>418441</v>
      </c>
      <c r="I18" s="22">
        <f>H18-G18</f>
        <v>16201</v>
      </c>
      <c r="J18" s="22">
        <v>102219</v>
      </c>
      <c r="K18" s="22">
        <f>J18+9769</f>
        <v>111988</v>
      </c>
      <c r="L18" s="22">
        <f>J18+9769+201+11810</f>
        <v>123999</v>
      </c>
      <c r="M18" s="22">
        <f>L18-K18</f>
        <v>12011</v>
      </c>
      <c r="P18" s="22">
        <v>150</v>
      </c>
      <c r="Q18" s="22">
        <f>P18-O18</f>
        <v>150</v>
      </c>
      <c r="R18" s="22">
        <v>17211</v>
      </c>
      <c r="S18" s="22">
        <v>115892</v>
      </c>
      <c r="T18" s="22">
        <f>R18+38481+31000+29200+30288</f>
        <v>146180</v>
      </c>
      <c r="U18" s="22">
        <f>T18-S18</f>
        <v>30288</v>
      </c>
      <c r="V18" s="22">
        <v>81349</v>
      </c>
      <c r="W18" s="22">
        <f>V18</f>
        <v>81349</v>
      </c>
      <c r="X18" s="22">
        <f>W18-54834</f>
        <v>26515</v>
      </c>
      <c r="Y18" s="22">
        <f>X18-W18</f>
        <v>-54834</v>
      </c>
      <c r="Z18" s="22">
        <f>65600-8450</f>
        <v>57150</v>
      </c>
      <c r="AA18" s="22">
        <f>Z18-48250</f>
        <v>8900</v>
      </c>
      <c r="AB18" s="22">
        <f>Z18-48250</f>
        <v>8900</v>
      </c>
      <c r="AC18" s="22">
        <f>AB18-AA18</f>
        <v>0</v>
      </c>
      <c r="AD18" s="20">
        <f t="shared" ref="AD18:AF20" si="25">B18+F18+J18+N18+R18+V18+Z18</f>
        <v>1579365</v>
      </c>
      <c r="AE18" s="20">
        <f t="shared" si="25"/>
        <v>1679562</v>
      </c>
      <c r="AF18" s="20">
        <f t="shared" si="25"/>
        <v>1708806</v>
      </c>
      <c r="AG18" s="22">
        <f>AF18-AE18</f>
        <v>29244</v>
      </c>
      <c r="AH18" s="22">
        <v>250411</v>
      </c>
      <c r="AI18" s="22">
        <f>AH18+70076</f>
        <v>320487</v>
      </c>
      <c r="AJ18" s="22">
        <f>AH18+70076</f>
        <v>320487</v>
      </c>
      <c r="AK18" s="22">
        <f>AJ18-AI18</f>
        <v>0</v>
      </c>
      <c r="AP18" s="20">
        <f t="shared" ref="AP18:AR20" si="26">AH18+AL18</f>
        <v>250411</v>
      </c>
      <c r="AQ18" s="20">
        <f t="shared" si="26"/>
        <v>320487</v>
      </c>
      <c r="AR18" s="20">
        <f t="shared" si="26"/>
        <v>320487</v>
      </c>
      <c r="AS18" s="22">
        <f>AR18-AQ18</f>
        <v>0</v>
      </c>
      <c r="AT18" s="20">
        <f t="shared" ref="AT18:AV21" si="27">AD18+AP18</f>
        <v>1829776</v>
      </c>
      <c r="AU18" s="20">
        <f t="shared" si="27"/>
        <v>2000049</v>
      </c>
      <c r="AV18" s="20">
        <f t="shared" si="27"/>
        <v>2029293</v>
      </c>
      <c r="AW18" s="22">
        <f>AV18-AU18</f>
        <v>29244</v>
      </c>
      <c r="AX18" s="22">
        <v>197950</v>
      </c>
      <c r="AY18" s="22">
        <v>203577</v>
      </c>
      <c r="AZ18" s="22">
        <f>AX18+2174+1128+750+1575+683+224+120+2503+1666-37+40+24</f>
        <v>208800</v>
      </c>
      <c r="BA18" s="22">
        <f>AZ18-AY18</f>
        <v>5223</v>
      </c>
      <c r="BB18" s="22">
        <v>56550</v>
      </c>
      <c r="BC18" s="22">
        <v>57724</v>
      </c>
      <c r="BD18" s="22">
        <f>BB18+420+176+153+425+148+254+36+545+545</f>
        <v>59252</v>
      </c>
      <c r="BE18" s="22">
        <f>BD18-BC18</f>
        <v>1528</v>
      </c>
      <c r="BF18" s="22">
        <v>465803</v>
      </c>
      <c r="BG18" s="22">
        <v>484839</v>
      </c>
      <c r="BH18" s="22">
        <f>BF18+13316+1946+350+2933+387-688-668+580+980+900-1000+9899-700-4140+5844</f>
        <v>495742</v>
      </c>
      <c r="BI18" s="22">
        <f>BH18-BG18</f>
        <v>10903</v>
      </c>
      <c r="BJ18" s="22">
        <v>39605</v>
      </c>
      <c r="BK18" s="22">
        <v>42516</v>
      </c>
      <c r="BL18" s="22">
        <f>40400+1500+616-3969</f>
        <v>38547</v>
      </c>
      <c r="BM18" s="22">
        <f>BL18-BK18</f>
        <v>-3969</v>
      </c>
      <c r="BN18" s="22">
        <f>421035+27881+113976</f>
        <v>562892</v>
      </c>
      <c r="BO18" s="22">
        <f>BN18+540+6895+6743+1243+105+500+25000+312</f>
        <v>604230</v>
      </c>
      <c r="BP18" s="22">
        <f>BN18+540+6895+6743+1243+105+500+25000+312+43106</f>
        <v>647336</v>
      </c>
      <c r="BQ18" s="22">
        <f>BP18-BO18</f>
        <v>43106</v>
      </c>
      <c r="BR18" s="22">
        <v>31000</v>
      </c>
      <c r="BS18" s="22">
        <f>BR18+5546+7521-1500-25000-580-1317-300</f>
        <v>15370</v>
      </c>
      <c r="BT18" s="22">
        <f>BR18+5546+7521-1500-25000-580-1317-300-15370</f>
        <v>0</v>
      </c>
      <c r="BU18" s="22">
        <f>BT18-BS18</f>
        <v>-15370</v>
      </c>
      <c r="BV18" s="22">
        <f t="shared" ref="BV18:BX19" si="28">BN18+BR18</f>
        <v>593892</v>
      </c>
      <c r="BW18" s="22">
        <f t="shared" si="28"/>
        <v>619600</v>
      </c>
      <c r="BX18" s="22">
        <f t="shared" si="28"/>
        <v>647336</v>
      </c>
      <c r="BY18" s="22">
        <f>BX18-BW18</f>
        <v>27736</v>
      </c>
      <c r="BZ18" s="22">
        <f>247613-BZ19</f>
        <v>241213</v>
      </c>
      <c r="CA18" s="22">
        <f>BZ18-106494-635+168+1000+29200+583+1000+2778</f>
        <v>168813</v>
      </c>
      <c r="CB18" s="22">
        <f>BZ18-106494-635+168+1000+29200+583+1000+2778+280+901+4140+4035</f>
        <v>178169</v>
      </c>
      <c r="CC18" s="22">
        <f>CB18-CA18</f>
        <v>9356</v>
      </c>
      <c r="CD18" s="22">
        <v>54047</v>
      </c>
      <c r="CE18" s="22">
        <f>CD18+117515+30000+25000-2778</f>
        <v>223784</v>
      </c>
      <c r="CF18" s="22">
        <f>CD18+117515+30000+25000-2778-19666</f>
        <v>204118</v>
      </c>
      <c r="CG18" s="22">
        <f>CF18-CE18</f>
        <v>-19666</v>
      </c>
      <c r="CH18" s="22">
        <f>CH15-CH19</f>
        <v>12434</v>
      </c>
      <c r="CI18" s="22">
        <f>CH18</f>
        <v>12434</v>
      </c>
      <c r="CJ18" s="22">
        <f>CI18+2000</f>
        <v>14434</v>
      </c>
      <c r="CK18" s="22">
        <f>CJ18-CI18</f>
        <v>2000</v>
      </c>
      <c r="CL18" s="22">
        <v>0</v>
      </c>
      <c r="CO18" s="22">
        <f>CN18-CM18</f>
        <v>0</v>
      </c>
      <c r="CP18" s="22">
        <f t="shared" ref="CP18:CR20" si="29">CH18+CL18</f>
        <v>12434</v>
      </c>
      <c r="CQ18" s="22">
        <f t="shared" si="29"/>
        <v>12434</v>
      </c>
      <c r="CR18" s="22">
        <f t="shared" si="29"/>
        <v>14434</v>
      </c>
      <c r="CS18" s="22">
        <f>CR18-CQ18</f>
        <v>2000</v>
      </c>
      <c r="CT18" s="22">
        <v>0</v>
      </c>
      <c r="CU18" s="22">
        <v>25139</v>
      </c>
      <c r="CV18" s="22">
        <v>25139</v>
      </c>
      <c r="CW18" s="22">
        <f>CV18-CU18</f>
        <v>0</v>
      </c>
      <c r="CX18" s="20">
        <f t="shared" ref="CX18:CZ20" si="30">AX18+BB18+BF18+BJ18+BV18+BZ18+CD18+CP18+CT18</f>
        <v>1661494</v>
      </c>
      <c r="CY18" s="20">
        <f t="shared" si="30"/>
        <v>1838426</v>
      </c>
      <c r="CZ18" s="20">
        <f t="shared" si="30"/>
        <v>1871537</v>
      </c>
      <c r="DA18" s="22">
        <f>CZ18-CY18</f>
        <v>33111</v>
      </c>
    </row>
    <row r="19" spans="1:106" s="22" customFormat="1" ht="15.75" customHeight="1" x14ac:dyDescent="0.2">
      <c r="A19" s="22" t="s">
        <v>74</v>
      </c>
      <c r="B19" s="22">
        <v>2021</v>
      </c>
      <c r="C19" s="22">
        <v>44117</v>
      </c>
      <c r="D19" s="22">
        <f>B19+500+700+21996+17900+1000+1400</f>
        <v>45517</v>
      </c>
      <c r="E19" s="22">
        <f>D19-C19</f>
        <v>1400</v>
      </c>
      <c r="I19" s="22">
        <f>G19-F19</f>
        <v>0</v>
      </c>
      <c r="J19" s="22">
        <v>41051</v>
      </c>
      <c r="K19" s="22">
        <f>J19+1773</f>
        <v>42824</v>
      </c>
      <c r="L19" s="22">
        <f>K19</f>
        <v>42824</v>
      </c>
      <c r="M19" s="22">
        <f>L19-K19</f>
        <v>0</v>
      </c>
      <c r="N19" s="22">
        <v>11359</v>
      </c>
      <c r="O19" s="22">
        <f>11359+300+2000</f>
        <v>13659</v>
      </c>
      <c r="P19" s="22">
        <f>11359+300+2000+8741</f>
        <v>22400</v>
      </c>
      <c r="Q19" s="22">
        <f>P19-O19</f>
        <v>8741</v>
      </c>
      <c r="U19" s="22">
        <f>T19-S19</f>
        <v>0</v>
      </c>
      <c r="Y19" s="22">
        <f>X19-W19</f>
        <v>0</v>
      </c>
      <c r="Z19" s="22">
        <v>8450</v>
      </c>
      <c r="AA19" s="22">
        <v>8450</v>
      </c>
      <c r="AB19" s="22">
        <v>8450</v>
      </c>
      <c r="AC19" s="22">
        <f>AB19-AA19</f>
        <v>0</v>
      </c>
      <c r="AD19" s="20">
        <f t="shared" si="25"/>
        <v>62881</v>
      </c>
      <c r="AE19" s="20">
        <f t="shared" si="25"/>
        <v>109050</v>
      </c>
      <c r="AF19" s="20">
        <f t="shared" si="25"/>
        <v>119191</v>
      </c>
      <c r="AG19" s="22">
        <f>AF19-AE19</f>
        <v>10141</v>
      </c>
      <c r="AK19" s="22">
        <f>AJ19-AI19</f>
        <v>0</v>
      </c>
      <c r="AP19" s="20">
        <f t="shared" si="26"/>
        <v>0</v>
      </c>
      <c r="AQ19" s="20">
        <f t="shared" si="26"/>
        <v>0</v>
      </c>
      <c r="AR19" s="20">
        <f t="shared" si="26"/>
        <v>0</v>
      </c>
      <c r="AS19" s="22">
        <f>AR19-AQ19</f>
        <v>0</v>
      </c>
      <c r="AT19" s="20">
        <f t="shared" si="27"/>
        <v>62881</v>
      </c>
      <c r="AU19" s="20">
        <f t="shared" si="27"/>
        <v>109050</v>
      </c>
      <c r="AV19" s="20">
        <f t="shared" si="27"/>
        <v>119191</v>
      </c>
      <c r="AW19" s="22">
        <f>AV19-AU19</f>
        <v>10141</v>
      </c>
      <c r="AX19" s="22">
        <v>26116</v>
      </c>
      <c r="AY19" s="22">
        <v>32883</v>
      </c>
      <c r="AZ19" s="22">
        <f>AX19+6688+54+25+1592</f>
        <v>34475</v>
      </c>
      <c r="BA19" s="22">
        <f>AZ19-AY19</f>
        <v>1592</v>
      </c>
      <c r="BB19" s="22">
        <v>7449</v>
      </c>
      <c r="BC19" s="22">
        <v>9010</v>
      </c>
      <c r="BD19" s="22">
        <f>BB19+1561+963</f>
        <v>9973</v>
      </c>
      <c r="BE19" s="22">
        <f>BD19-BC19</f>
        <v>963</v>
      </c>
      <c r="BF19" s="22">
        <v>75492</v>
      </c>
      <c r="BG19" s="22">
        <v>105739</v>
      </c>
      <c r="BH19" s="22">
        <f>BF19+6128+500+700+17400+2500+3019+2193+670</f>
        <v>108602</v>
      </c>
      <c r="BI19" s="22">
        <f>BH19-BG19</f>
        <v>2863</v>
      </c>
      <c r="BM19" s="22">
        <f>BL19-BK19</f>
        <v>0</v>
      </c>
      <c r="BN19" s="22">
        <v>13052</v>
      </c>
      <c r="BO19" s="22">
        <f>13052+300</f>
        <v>13352</v>
      </c>
      <c r="BP19" s="22">
        <f>13052+300+2156</f>
        <v>15508</v>
      </c>
      <c r="BQ19" s="22">
        <f>BP19-BO19</f>
        <v>2156</v>
      </c>
      <c r="BR19" s="22">
        <v>1300</v>
      </c>
      <c r="BS19" s="22">
        <v>1300</v>
      </c>
      <c r="BT19" s="22">
        <f>1300-1300</f>
        <v>0</v>
      </c>
      <c r="BU19" s="22">
        <f>BT19-BS19</f>
        <v>-1300</v>
      </c>
      <c r="BV19" s="22">
        <f t="shared" si="28"/>
        <v>14352</v>
      </c>
      <c r="BW19" s="22">
        <f t="shared" si="28"/>
        <v>14652</v>
      </c>
      <c r="BX19" s="22">
        <f t="shared" si="28"/>
        <v>15508</v>
      </c>
      <c r="BY19" s="22">
        <f>BX19-BW19</f>
        <v>856</v>
      </c>
      <c r="BZ19" s="22">
        <v>6400</v>
      </c>
      <c r="CA19" s="22">
        <f>BZ19+635</f>
        <v>7035</v>
      </c>
      <c r="CB19" s="22">
        <f>BZ19+635</f>
        <v>7035</v>
      </c>
      <c r="CC19" s="22">
        <f>CB19-CA19</f>
        <v>0</v>
      </c>
      <c r="CG19" s="22">
        <f>CF19-CE19</f>
        <v>0</v>
      </c>
      <c r="CH19" s="22">
        <v>2450</v>
      </c>
      <c r="CI19" s="22">
        <f>CH19</f>
        <v>2450</v>
      </c>
      <c r="CJ19" s="22">
        <f>CI19</f>
        <v>2450</v>
      </c>
      <c r="CK19" s="22">
        <f>CJ19-CI19</f>
        <v>0</v>
      </c>
      <c r="CL19" s="22">
        <v>0</v>
      </c>
      <c r="CO19" s="22">
        <f>CN19-CM19</f>
        <v>0</v>
      </c>
      <c r="CP19" s="22">
        <f t="shared" si="29"/>
        <v>2450</v>
      </c>
      <c r="CQ19" s="22">
        <f t="shared" si="29"/>
        <v>2450</v>
      </c>
      <c r="CR19" s="22">
        <f t="shared" si="29"/>
        <v>2450</v>
      </c>
      <c r="CS19" s="22">
        <f>CR19-CQ19</f>
        <v>0</v>
      </c>
      <c r="CT19" s="22">
        <v>0</v>
      </c>
      <c r="CW19" s="22">
        <f>CV19-CU19</f>
        <v>0</v>
      </c>
      <c r="CX19" s="20">
        <f t="shared" si="30"/>
        <v>132259</v>
      </c>
      <c r="CY19" s="20">
        <f t="shared" si="30"/>
        <v>171769</v>
      </c>
      <c r="CZ19" s="20">
        <f t="shared" si="30"/>
        <v>178043</v>
      </c>
      <c r="DA19" s="22">
        <f>CZ19-CY19</f>
        <v>6274</v>
      </c>
    </row>
    <row r="20" spans="1:106" s="22" customFormat="1" ht="15.75" customHeight="1" x14ac:dyDescent="0.2">
      <c r="A20" s="22" t="s">
        <v>75</v>
      </c>
      <c r="B20" s="22">
        <v>0</v>
      </c>
      <c r="E20" s="22">
        <f>D20-C20</f>
        <v>0</v>
      </c>
      <c r="I20" s="22">
        <f>G20-F20</f>
        <v>0</v>
      </c>
      <c r="M20" s="22">
        <f>L20-K20</f>
        <v>0</v>
      </c>
      <c r="Q20" s="22">
        <f>P20-O20</f>
        <v>0</v>
      </c>
      <c r="U20" s="22">
        <f>T20-S20</f>
        <v>0</v>
      </c>
      <c r="Y20" s="22">
        <f>X20-W20</f>
        <v>0</v>
      </c>
      <c r="AC20" s="22">
        <f>AB20-AA20</f>
        <v>0</v>
      </c>
      <c r="AD20" s="20">
        <f t="shared" si="25"/>
        <v>0</v>
      </c>
      <c r="AE20" s="20">
        <f t="shared" si="25"/>
        <v>0</v>
      </c>
      <c r="AF20" s="20">
        <f t="shared" si="25"/>
        <v>0</v>
      </c>
      <c r="AG20" s="22">
        <f>AF20-AE20</f>
        <v>0</v>
      </c>
      <c r="AK20" s="22">
        <f>AJ20-AI20</f>
        <v>0</v>
      </c>
      <c r="AP20" s="20">
        <f t="shared" si="26"/>
        <v>0</v>
      </c>
      <c r="AQ20" s="20">
        <f t="shared" si="26"/>
        <v>0</v>
      </c>
      <c r="AR20" s="20">
        <f t="shared" si="26"/>
        <v>0</v>
      </c>
      <c r="AS20" s="22">
        <f>AR20-AQ20</f>
        <v>0</v>
      </c>
      <c r="AT20" s="20">
        <f t="shared" si="27"/>
        <v>0</v>
      </c>
      <c r="AU20" s="20">
        <f t="shared" si="27"/>
        <v>0</v>
      </c>
      <c r="AV20" s="20">
        <f t="shared" si="27"/>
        <v>0</v>
      </c>
      <c r="AW20" s="22">
        <f>AV20-AU20</f>
        <v>0</v>
      </c>
      <c r="AX20" s="22">
        <v>59268</v>
      </c>
      <c r="AY20" s="22">
        <v>59268</v>
      </c>
      <c r="AZ20" s="22">
        <v>59268</v>
      </c>
      <c r="BA20" s="22">
        <f>AZ20-AY20</f>
        <v>0</v>
      </c>
      <c r="BB20" s="22">
        <v>17536</v>
      </c>
      <c r="BC20" s="22">
        <v>17536</v>
      </c>
      <c r="BD20" s="22">
        <f>17536</f>
        <v>17536</v>
      </c>
      <c r="BE20" s="22">
        <f>BD20-BC20</f>
        <v>0</v>
      </c>
      <c r="BF20" s="22">
        <v>22100</v>
      </c>
      <c r="BG20" s="22">
        <v>22100</v>
      </c>
      <c r="BH20" s="22">
        <v>22100</v>
      </c>
      <c r="BI20" s="22">
        <f>BH20-BG20</f>
        <v>0</v>
      </c>
      <c r="BM20" s="22">
        <f>BL20-BK20</f>
        <v>0</v>
      </c>
      <c r="BN20" s="22">
        <v>0</v>
      </c>
      <c r="BQ20" s="22">
        <f>BP20-BO20</f>
        <v>0</v>
      </c>
      <c r="BU20" s="22">
        <f>BT20-BS20</f>
        <v>0</v>
      </c>
      <c r="BY20" s="22">
        <f>BX20-BW20</f>
        <v>0</v>
      </c>
      <c r="CC20" s="22">
        <f>CB20-CA20</f>
        <v>0</v>
      </c>
      <c r="CG20" s="22">
        <f>CF20-CE20</f>
        <v>0</v>
      </c>
      <c r="CK20" s="22">
        <f>CJ20-CI20</f>
        <v>0</v>
      </c>
      <c r="CO20" s="22">
        <f>CN20-CM20</f>
        <v>0</v>
      </c>
      <c r="CP20" s="22">
        <f t="shared" si="29"/>
        <v>0</v>
      </c>
      <c r="CQ20" s="22">
        <f t="shared" si="29"/>
        <v>0</v>
      </c>
      <c r="CR20" s="22">
        <f t="shared" si="29"/>
        <v>0</v>
      </c>
      <c r="CS20" s="22">
        <f>CR20-CQ20</f>
        <v>0</v>
      </c>
      <c r="CT20" s="22">
        <v>0</v>
      </c>
      <c r="CU20" s="22">
        <f>CM20+CQ20</f>
        <v>0</v>
      </c>
      <c r="CV20" s="22">
        <f>CN20+CR20</f>
        <v>0</v>
      </c>
      <c r="CW20" s="22">
        <f>CV20-CU20</f>
        <v>0</v>
      </c>
      <c r="CX20" s="20">
        <f t="shared" si="30"/>
        <v>98904</v>
      </c>
      <c r="CY20" s="20">
        <f t="shared" si="30"/>
        <v>98904</v>
      </c>
      <c r="CZ20" s="20">
        <f t="shared" si="30"/>
        <v>98904</v>
      </c>
      <c r="DA20" s="22">
        <f>CZ20-CY20</f>
        <v>0</v>
      </c>
    </row>
    <row r="21" spans="1:106" s="20" customFormat="1" ht="15.75" customHeight="1" x14ac:dyDescent="0.2">
      <c r="A21" s="20" t="s">
        <v>4</v>
      </c>
      <c r="B21" s="20">
        <f t="shared" ref="B21:AS21" si="31">SUM(B18:B20)</f>
        <v>928546</v>
      </c>
      <c r="C21" s="20">
        <f t="shared" si="31"/>
        <v>1003310</v>
      </c>
      <c r="D21" s="20">
        <f t="shared" si="31"/>
        <v>1030138</v>
      </c>
      <c r="E21" s="20">
        <f t="shared" si="31"/>
        <v>26828</v>
      </c>
      <c r="F21" s="20">
        <f t="shared" si="31"/>
        <v>394911</v>
      </c>
      <c r="G21" s="20">
        <f t="shared" si="31"/>
        <v>402240</v>
      </c>
      <c r="H21" s="20">
        <f t="shared" si="31"/>
        <v>418441</v>
      </c>
      <c r="I21" s="20">
        <f t="shared" si="31"/>
        <v>16201</v>
      </c>
      <c r="J21" s="20">
        <f t="shared" si="31"/>
        <v>143270</v>
      </c>
      <c r="K21" s="20">
        <f t="shared" si="31"/>
        <v>154812</v>
      </c>
      <c r="L21" s="20">
        <f t="shared" si="31"/>
        <v>166823</v>
      </c>
      <c r="M21" s="20">
        <f t="shared" si="31"/>
        <v>12011</v>
      </c>
      <c r="N21" s="20">
        <f t="shared" si="31"/>
        <v>11359</v>
      </c>
      <c r="O21" s="20">
        <f t="shared" si="31"/>
        <v>13659</v>
      </c>
      <c r="P21" s="20">
        <f t="shared" si="31"/>
        <v>22550</v>
      </c>
      <c r="Q21" s="20">
        <f t="shared" si="31"/>
        <v>8891</v>
      </c>
      <c r="R21" s="20">
        <f t="shared" si="31"/>
        <v>17211</v>
      </c>
      <c r="S21" s="20">
        <f t="shared" si="31"/>
        <v>115892</v>
      </c>
      <c r="T21" s="20">
        <f t="shared" si="31"/>
        <v>146180</v>
      </c>
      <c r="U21" s="20">
        <f t="shared" si="31"/>
        <v>30288</v>
      </c>
      <c r="V21" s="20">
        <f t="shared" si="31"/>
        <v>81349</v>
      </c>
      <c r="W21" s="20">
        <f t="shared" si="31"/>
        <v>81349</v>
      </c>
      <c r="X21" s="20">
        <f t="shared" si="31"/>
        <v>26515</v>
      </c>
      <c r="Y21" s="20">
        <f t="shared" si="31"/>
        <v>-54834</v>
      </c>
      <c r="Z21" s="20">
        <f t="shared" si="31"/>
        <v>65600</v>
      </c>
      <c r="AA21" s="20">
        <f t="shared" si="31"/>
        <v>17350</v>
      </c>
      <c r="AB21" s="20">
        <f t="shared" si="31"/>
        <v>17350</v>
      </c>
      <c r="AC21" s="20">
        <f t="shared" si="31"/>
        <v>0</v>
      </c>
      <c r="AD21" s="20">
        <f t="shared" si="31"/>
        <v>1642246</v>
      </c>
      <c r="AE21" s="20">
        <f t="shared" si="31"/>
        <v>1788612</v>
      </c>
      <c r="AF21" s="20">
        <f t="shared" si="31"/>
        <v>1827997</v>
      </c>
      <c r="AG21" s="20">
        <f t="shared" si="31"/>
        <v>39385</v>
      </c>
      <c r="AH21" s="20">
        <f t="shared" si="31"/>
        <v>250411</v>
      </c>
      <c r="AI21" s="20">
        <f t="shared" si="31"/>
        <v>320487</v>
      </c>
      <c r="AJ21" s="20">
        <f t="shared" si="31"/>
        <v>320487</v>
      </c>
      <c r="AK21" s="20">
        <f t="shared" si="31"/>
        <v>0</v>
      </c>
      <c r="AL21" s="20">
        <f t="shared" si="31"/>
        <v>0</v>
      </c>
      <c r="AM21" s="20">
        <f t="shared" si="31"/>
        <v>0</v>
      </c>
      <c r="AN21" s="20">
        <f t="shared" si="31"/>
        <v>0</v>
      </c>
      <c r="AO21" s="20">
        <f t="shared" si="31"/>
        <v>0</v>
      </c>
      <c r="AP21" s="20">
        <f t="shared" si="31"/>
        <v>250411</v>
      </c>
      <c r="AQ21" s="20">
        <f t="shared" si="31"/>
        <v>320487</v>
      </c>
      <c r="AR21" s="20">
        <f t="shared" si="31"/>
        <v>320487</v>
      </c>
      <c r="AS21" s="20">
        <f t="shared" si="31"/>
        <v>0</v>
      </c>
      <c r="AT21" s="20">
        <f t="shared" si="27"/>
        <v>1892657</v>
      </c>
      <c r="AU21" s="20">
        <f t="shared" si="27"/>
        <v>2109099</v>
      </c>
      <c r="AV21" s="20">
        <f t="shared" si="27"/>
        <v>2148484</v>
      </c>
      <c r="AW21" s="20">
        <f t="shared" ref="AW21:BB21" si="32">SUM(AW18:AW20)</f>
        <v>39385</v>
      </c>
      <c r="AX21" s="20">
        <f t="shared" si="32"/>
        <v>283334</v>
      </c>
      <c r="AY21" s="20">
        <f t="shared" si="32"/>
        <v>295728</v>
      </c>
      <c r="AZ21" s="20">
        <f t="shared" si="32"/>
        <v>302543</v>
      </c>
      <c r="BA21" s="20">
        <f t="shared" si="32"/>
        <v>6815</v>
      </c>
      <c r="BB21" s="20">
        <f t="shared" si="32"/>
        <v>81535</v>
      </c>
      <c r="BC21" s="20">
        <v>84270</v>
      </c>
      <c r="BD21" s="20">
        <f t="shared" ref="BD21:CI21" si="33">SUM(BD18:BD20)</f>
        <v>86761</v>
      </c>
      <c r="BE21" s="20">
        <f t="shared" si="33"/>
        <v>2491</v>
      </c>
      <c r="BF21" s="20">
        <f t="shared" si="33"/>
        <v>563395</v>
      </c>
      <c r="BG21" s="20">
        <f t="shared" si="33"/>
        <v>612678</v>
      </c>
      <c r="BH21" s="20">
        <f t="shared" si="33"/>
        <v>626444</v>
      </c>
      <c r="BI21" s="20">
        <f t="shared" si="33"/>
        <v>13766</v>
      </c>
      <c r="BJ21" s="20">
        <f t="shared" si="33"/>
        <v>39605</v>
      </c>
      <c r="BK21" s="20">
        <f t="shared" si="33"/>
        <v>42516</v>
      </c>
      <c r="BL21" s="20">
        <f t="shared" si="33"/>
        <v>38547</v>
      </c>
      <c r="BM21" s="20">
        <f t="shared" si="33"/>
        <v>-3969</v>
      </c>
      <c r="BN21" s="20">
        <f t="shared" si="33"/>
        <v>575944</v>
      </c>
      <c r="BO21" s="20">
        <f t="shared" si="33"/>
        <v>617582</v>
      </c>
      <c r="BP21" s="20">
        <f t="shared" si="33"/>
        <v>662844</v>
      </c>
      <c r="BQ21" s="20">
        <f t="shared" si="33"/>
        <v>45262</v>
      </c>
      <c r="BR21" s="20">
        <f t="shared" si="33"/>
        <v>32300</v>
      </c>
      <c r="BS21" s="20">
        <f t="shared" si="33"/>
        <v>16670</v>
      </c>
      <c r="BT21" s="20">
        <f t="shared" si="33"/>
        <v>0</v>
      </c>
      <c r="BU21" s="20">
        <f t="shared" si="33"/>
        <v>-16670</v>
      </c>
      <c r="BV21" s="20">
        <f t="shared" si="33"/>
        <v>608244</v>
      </c>
      <c r="BW21" s="20">
        <f t="shared" si="33"/>
        <v>634252</v>
      </c>
      <c r="BX21" s="20">
        <f t="shared" si="33"/>
        <v>662844</v>
      </c>
      <c r="BY21" s="20">
        <f t="shared" si="33"/>
        <v>28592</v>
      </c>
      <c r="BZ21" s="20">
        <f t="shared" si="33"/>
        <v>247613</v>
      </c>
      <c r="CA21" s="20">
        <f t="shared" si="33"/>
        <v>175848</v>
      </c>
      <c r="CB21" s="20">
        <f t="shared" si="33"/>
        <v>185204</v>
      </c>
      <c r="CC21" s="20">
        <f t="shared" si="33"/>
        <v>9356</v>
      </c>
      <c r="CD21" s="20">
        <f t="shared" si="33"/>
        <v>54047</v>
      </c>
      <c r="CE21" s="20">
        <f t="shared" si="33"/>
        <v>223784</v>
      </c>
      <c r="CF21" s="20">
        <f t="shared" si="33"/>
        <v>204118</v>
      </c>
      <c r="CG21" s="20">
        <f t="shared" si="33"/>
        <v>-19666</v>
      </c>
      <c r="CH21" s="20">
        <f t="shared" si="33"/>
        <v>14884</v>
      </c>
      <c r="CI21" s="20">
        <f t="shared" si="33"/>
        <v>14884</v>
      </c>
      <c r="CJ21" s="20">
        <f t="shared" ref="CJ21:DO21" si="34">SUM(CJ18:CJ20)</f>
        <v>16884</v>
      </c>
      <c r="CK21" s="20">
        <f t="shared" si="34"/>
        <v>2000</v>
      </c>
      <c r="CL21" s="20">
        <f t="shared" si="34"/>
        <v>0</v>
      </c>
      <c r="CM21" s="20">
        <f t="shared" si="34"/>
        <v>0</v>
      </c>
      <c r="CN21" s="20">
        <f t="shared" si="34"/>
        <v>0</v>
      </c>
      <c r="CO21" s="20">
        <f t="shared" si="34"/>
        <v>0</v>
      </c>
      <c r="CP21" s="20">
        <f t="shared" si="34"/>
        <v>14884</v>
      </c>
      <c r="CQ21" s="20">
        <f t="shared" si="34"/>
        <v>14884</v>
      </c>
      <c r="CR21" s="20">
        <f t="shared" si="34"/>
        <v>16884</v>
      </c>
      <c r="CS21" s="20">
        <f t="shared" si="34"/>
        <v>2000</v>
      </c>
      <c r="CT21" s="20">
        <f t="shared" si="34"/>
        <v>0</v>
      </c>
      <c r="CU21" s="20">
        <f t="shared" si="34"/>
        <v>25139</v>
      </c>
      <c r="CV21" s="20">
        <f t="shared" si="34"/>
        <v>25139</v>
      </c>
      <c r="CW21" s="20">
        <f t="shared" si="34"/>
        <v>0</v>
      </c>
      <c r="CX21" s="20">
        <f t="shared" si="34"/>
        <v>1892657</v>
      </c>
      <c r="CY21" s="20">
        <f t="shared" si="34"/>
        <v>2109099</v>
      </c>
      <c r="CZ21" s="20">
        <f t="shared" si="34"/>
        <v>2148484</v>
      </c>
      <c r="DA21" s="20">
        <f t="shared" si="34"/>
        <v>39385</v>
      </c>
    </row>
  </sheetData>
  <mergeCells count="36">
    <mergeCell ref="AL3:AW3"/>
    <mergeCell ref="Z3:AK3"/>
    <mergeCell ref="N3:Y3"/>
    <mergeCell ref="CT3:DE3"/>
    <mergeCell ref="AX3:BI3"/>
    <mergeCell ref="BJ3:BU3"/>
    <mergeCell ref="BV3:CG3"/>
    <mergeCell ref="CH3:CS3"/>
    <mergeCell ref="B3:M3"/>
    <mergeCell ref="BR4:BU4"/>
    <mergeCell ref="DB4:DE4"/>
    <mergeCell ref="B4:E4"/>
    <mergeCell ref="F4:I4"/>
    <mergeCell ref="J4:M4"/>
    <mergeCell ref="N4:Q4"/>
    <mergeCell ref="R4:U4"/>
    <mergeCell ref="V4:Y4"/>
    <mergeCell ref="Z4:AC4"/>
    <mergeCell ref="BN4:BQ4"/>
    <mergeCell ref="AD4:AG4"/>
    <mergeCell ref="BB4:BE4"/>
    <mergeCell ref="BF4:BI4"/>
    <mergeCell ref="BJ4:BM4"/>
    <mergeCell ref="AH4:AK4"/>
    <mergeCell ref="AL4:AO4"/>
    <mergeCell ref="AP4:AS4"/>
    <mergeCell ref="AT4:AW4"/>
    <mergeCell ref="AX4:BA4"/>
    <mergeCell ref="BV4:BY4"/>
    <mergeCell ref="BZ4:CC4"/>
    <mergeCell ref="CX4:DA4"/>
    <mergeCell ref="CH4:CK4"/>
    <mergeCell ref="CL4:CO4"/>
    <mergeCell ref="CP4:CS4"/>
    <mergeCell ref="CT4:CW4"/>
    <mergeCell ref="CD4:CG4"/>
  </mergeCells>
  <phoneticPr fontId="11" type="noConversion"/>
  <pageMargins left="0.34" right="0.49" top="0.78740157480314965" bottom="0.78740157480314965" header="0.51181102362204722" footer="0.51181102362204722"/>
  <pageSetup paperSize="9" scale="98" pageOrder="overThenDown" orientation="landscape" verticalDpi="300" r:id="rId1"/>
  <headerFooter alignWithMargins="0"/>
  <colBreaks count="3" manualBreakCount="3">
    <brk id="25" max="1048575" man="1"/>
    <brk id="73" max="1048575" man="1"/>
    <brk id="97" max="2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workbookViewId="0">
      <selection activeCell="E34" sqref="E34"/>
    </sheetView>
  </sheetViews>
  <sheetFormatPr defaultRowHeight="12.75" x14ac:dyDescent="0.2"/>
  <cols>
    <col min="1" max="1" width="3.7109375" style="2" customWidth="1"/>
    <col min="2" max="2" width="46.5703125" style="33" customWidth="1"/>
    <col min="3" max="3" width="10" style="2" customWidth="1"/>
    <col min="4" max="5" width="9.7109375" style="2" customWidth="1"/>
    <col min="6" max="6" width="9.140625" style="12"/>
    <col min="7" max="7" width="9.42578125" style="2" customWidth="1"/>
    <col min="8" max="16384" width="9.140625" style="2"/>
  </cols>
  <sheetData>
    <row r="1" spans="1:6" ht="13.5" customHeight="1" x14ac:dyDescent="0.25">
      <c r="A1" s="169" t="s">
        <v>329</v>
      </c>
      <c r="B1" s="156"/>
      <c r="C1" s="156"/>
      <c r="D1" s="13"/>
      <c r="E1" s="13"/>
      <c r="F1" s="178"/>
    </row>
    <row r="2" spans="1:6" ht="13.5" x14ac:dyDescent="0.25">
      <c r="A2" s="169" t="s">
        <v>277</v>
      </c>
      <c r="C2" s="14"/>
      <c r="D2" s="13"/>
      <c r="E2" s="13"/>
      <c r="F2" s="178"/>
    </row>
    <row r="3" spans="1:6" ht="13.5" x14ac:dyDescent="0.25">
      <c r="A3" s="169"/>
      <c r="C3" s="14"/>
      <c r="D3" s="13"/>
      <c r="E3" s="13"/>
      <c r="F3" s="178"/>
    </row>
    <row r="4" spans="1:6" ht="21.75" customHeight="1" x14ac:dyDescent="0.2">
      <c r="A4" s="213" t="s">
        <v>197</v>
      </c>
      <c r="B4" s="213"/>
      <c r="C4" s="213"/>
      <c r="D4" s="213"/>
      <c r="E4" s="213"/>
      <c r="F4" s="213"/>
    </row>
    <row r="5" spans="1:6" x14ac:dyDescent="0.2">
      <c r="A5" s="213" t="s">
        <v>5</v>
      </c>
      <c r="B5" s="213"/>
      <c r="C5" s="213"/>
      <c r="D5" s="213"/>
      <c r="E5" s="213"/>
      <c r="F5" s="213"/>
    </row>
    <row r="6" spans="1:6" ht="24" x14ac:dyDescent="0.2">
      <c r="A6" s="170"/>
      <c r="B6" s="171"/>
      <c r="C6" s="172" t="s">
        <v>20</v>
      </c>
      <c r="D6" s="172" t="s">
        <v>286</v>
      </c>
      <c r="E6" s="172" t="s">
        <v>302</v>
      </c>
      <c r="F6" s="172" t="s">
        <v>256</v>
      </c>
    </row>
    <row r="7" spans="1:6" s="15" customFormat="1" ht="15" customHeight="1" x14ac:dyDescent="0.2">
      <c r="A7" s="173" t="s">
        <v>1</v>
      </c>
      <c r="B7" s="174" t="s">
        <v>198</v>
      </c>
      <c r="C7" s="173"/>
      <c r="D7" s="173"/>
      <c r="E7" s="173"/>
      <c r="F7" s="173"/>
    </row>
    <row r="8" spans="1:6" ht="15.75" customHeight="1" x14ac:dyDescent="0.2">
      <c r="A8" s="175" t="s">
        <v>6</v>
      </c>
      <c r="B8" s="176" t="s">
        <v>107</v>
      </c>
      <c r="C8" s="177">
        <f>35000-4039+21388</f>
        <v>52349</v>
      </c>
      <c r="D8" s="177">
        <f>35000-4039+21388</f>
        <v>52349</v>
      </c>
      <c r="E8" s="177">
        <v>17515</v>
      </c>
      <c r="F8" s="183">
        <f>E8-D8</f>
        <v>-34834</v>
      </c>
    </row>
    <row r="9" spans="1:6" s="8" customFormat="1" ht="15" customHeight="1" x14ac:dyDescent="0.2">
      <c r="A9" s="59" t="s">
        <v>7</v>
      </c>
      <c r="B9" s="49" t="s">
        <v>150</v>
      </c>
      <c r="C9" s="60">
        <v>9000</v>
      </c>
      <c r="D9" s="60">
        <v>9000</v>
      </c>
      <c r="E9" s="60">
        <v>9000</v>
      </c>
      <c r="F9" s="183">
        <f>E9-D9</f>
        <v>0</v>
      </c>
    </row>
    <row r="10" spans="1:6" s="8" customFormat="1" ht="15" customHeight="1" x14ac:dyDescent="0.2">
      <c r="A10" s="59" t="s">
        <v>8</v>
      </c>
      <c r="B10" s="49" t="s">
        <v>199</v>
      </c>
      <c r="C10" s="60">
        <v>20000</v>
      </c>
      <c r="D10" s="60">
        <v>20000</v>
      </c>
      <c r="E10" s="60">
        <v>0</v>
      </c>
      <c r="F10" s="183">
        <f>E10-D10</f>
        <v>-20000</v>
      </c>
    </row>
    <row r="11" spans="1:6" s="5" customFormat="1" ht="15" customHeight="1" x14ac:dyDescent="0.2">
      <c r="B11" s="34" t="s">
        <v>4</v>
      </c>
      <c r="C11" s="42">
        <f>SUM(C8:C10)</f>
        <v>81349</v>
      </c>
      <c r="D11" s="42">
        <f>SUM(D8:D10)</f>
        <v>81349</v>
      </c>
      <c r="E11" s="42">
        <f>SUM(E8:E10)</f>
        <v>26515</v>
      </c>
      <c r="F11" s="179">
        <f>SUM(F8:F10)</f>
        <v>-54834</v>
      </c>
    </row>
    <row r="12" spans="1:6" ht="15" customHeight="1" x14ac:dyDescent="0.2">
      <c r="C12" s="14"/>
      <c r="D12" s="16"/>
      <c r="E12" s="16"/>
      <c r="F12" s="119"/>
    </row>
    <row r="13" spans="1:6" s="5" customFormat="1" ht="25.5" customHeight="1" x14ac:dyDescent="0.2">
      <c r="A13" s="121" t="s">
        <v>11</v>
      </c>
      <c r="B13" s="62" t="s">
        <v>200</v>
      </c>
      <c r="C13" s="7"/>
      <c r="F13" s="20"/>
    </row>
    <row r="14" spans="1:6" ht="15" customHeight="1" x14ac:dyDescent="0.2">
      <c r="A14" s="48" t="s">
        <v>6</v>
      </c>
      <c r="B14" s="49" t="s">
        <v>79</v>
      </c>
      <c r="C14" s="60">
        <f>10500-8323</f>
        <v>2177</v>
      </c>
      <c r="D14" s="60">
        <f>10500-8323+29200</f>
        <v>31377</v>
      </c>
      <c r="E14" s="60">
        <f>10500-8323+29200+8214</f>
        <v>39591</v>
      </c>
      <c r="F14" s="183">
        <f t="shared" ref="F14:F21" si="0">E14-D14</f>
        <v>8214</v>
      </c>
    </row>
    <row r="15" spans="1:6" ht="15" customHeight="1" x14ac:dyDescent="0.2">
      <c r="A15" s="48" t="s">
        <v>7</v>
      </c>
      <c r="B15" s="49" t="s">
        <v>82</v>
      </c>
      <c r="C15" s="60">
        <v>12434</v>
      </c>
      <c r="D15" s="60">
        <v>12434</v>
      </c>
      <c r="E15" s="60">
        <v>570</v>
      </c>
      <c r="F15" s="183">
        <f t="shared" si="0"/>
        <v>-11864</v>
      </c>
    </row>
    <row r="16" spans="1:6" ht="15" customHeight="1" x14ac:dyDescent="0.2">
      <c r="A16" s="48" t="s">
        <v>8</v>
      </c>
      <c r="B16" s="49" t="s">
        <v>83</v>
      </c>
      <c r="C16" s="60">
        <v>2600</v>
      </c>
      <c r="D16" s="60">
        <v>2600</v>
      </c>
      <c r="E16" s="60">
        <f>2600-55</f>
        <v>2545</v>
      </c>
      <c r="F16" s="183">
        <f t="shared" si="0"/>
        <v>-55</v>
      </c>
    </row>
    <row r="17" spans="1:6" ht="15" customHeight="1" x14ac:dyDescent="0.2">
      <c r="A17" s="48" t="s">
        <v>9</v>
      </c>
      <c r="B17" s="49" t="s">
        <v>87</v>
      </c>
      <c r="C17" s="60"/>
      <c r="D17" s="75">
        <v>38481</v>
      </c>
      <c r="E17" s="75">
        <f>38481+31713</f>
        <v>70194</v>
      </c>
      <c r="F17" s="183">
        <f t="shared" si="0"/>
        <v>31713</v>
      </c>
    </row>
    <row r="18" spans="1:6" ht="15" customHeight="1" x14ac:dyDescent="0.2">
      <c r="A18" s="48" t="s">
        <v>10</v>
      </c>
      <c r="B18" s="49" t="s">
        <v>290</v>
      </c>
      <c r="C18" s="60"/>
      <c r="D18" s="75">
        <v>30000</v>
      </c>
      <c r="E18" s="75">
        <v>30000</v>
      </c>
      <c r="F18" s="183">
        <f t="shared" si="0"/>
        <v>0</v>
      </c>
    </row>
    <row r="19" spans="1:6" ht="25.5" x14ac:dyDescent="0.2">
      <c r="A19" s="48" t="s">
        <v>27</v>
      </c>
      <c r="B19" s="49" t="s">
        <v>291</v>
      </c>
      <c r="C19" s="60"/>
      <c r="D19" s="75">
        <v>1000</v>
      </c>
      <c r="E19" s="75">
        <v>1000</v>
      </c>
      <c r="F19" s="183">
        <f t="shared" si="0"/>
        <v>0</v>
      </c>
    </row>
    <row r="20" spans="1:6" ht="25.5" x14ac:dyDescent="0.2">
      <c r="A20" s="48" t="s">
        <v>28</v>
      </c>
      <c r="B20" s="49" t="s">
        <v>312</v>
      </c>
      <c r="C20" s="60"/>
      <c r="D20" s="75"/>
      <c r="E20" s="75">
        <v>280</v>
      </c>
      <c r="F20" s="183">
        <f t="shared" si="0"/>
        <v>280</v>
      </c>
    </row>
    <row r="21" spans="1:6" ht="25.5" x14ac:dyDescent="0.2">
      <c r="A21" s="48" t="s">
        <v>30</v>
      </c>
      <c r="B21" s="49" t="s">
        <v>313</v>
      </c>
      <c r="C21" s="60"/>
      <c r="D21" s="75"/>
      <c r="E21" s="75">
        <v>2000</v>
      </c>
      <c r="F21" s="183">
        <f t="shared" si="0"/>
        <v>2000</v>
      </c>
    </row>
    <row r="22" spans="1:6" s="5" customFormat="1" ht="15" customHeight="1" x14ac:dyDescent="0.2">
      <c r="B22" s="34" t="s">
        <v>4</v>
      </c>
      <c r="C22" s="42">
        <f>SUM(C14:C19)</f>
        <v>17211</v>
      </c>
      <c r="D22" s="42">
        <f>SUM(D14:D19)</f>
        <v>115892</v>
      </c>
      <c r="E22" s="42">
        <f>SUM(E14:E21)</f>
        <v>146180</v>
      </c>
      <c r="F22" s="42">
        <f>SUM(F14:F21)</f>
        <v>30288</v>
      </c>
    </row>
    <row r="23" spans="1:6" ht="15" customHeight="1" x14ac:dyDescent="0.2">
      <c r="B23" s="63"/>
      <c r="C23" s="3"/>
      <c r="F23" s="22"/>
    </row>
    <row r="24" spans="1:6" s="5" customFormat="1" ht="15" customHeight="1" x14ac:dyDescent="0.2">
      <c r="A24" s="5" t="s">
        <v>12</v>
      </c>
      <c r="B24" s="62" t="s">
        <v>103</v>
      </c>
      <c r="C24" s="7"/>
      <c r="F24" s="20"/>
    </row>
    <row r="25" spans="1:6" s="5" customFormat="1" ht="28.5" customHeight="1" x14ac:dyDescent="0.2">
      <c r="A25" s="123" t="s">
        <v>6</v>
      </c>
      <c r="B25" s="122" t="s">
        <v>202</v>
      </c>
      <c r="C25" s="7"/>
      <c r="F25" s="20"/>
    </row>
    <row r="26" spans="1:6" ht="15" customHeight="1" x14ac:dyDescent="0.2">
      <c r="A26" s="48" t="s">
        <v>6</v>
      </c>
      <c r="B26" s="49" t="s">
        <v>106</v>
      </c>
      <c r="C26" s="60">
        <v>8900</v>
      </c>
      <c r="D26" s="60">
        <v>8900</v>
      </c>
      <c r="E26" s="60">
        <v>8900</v>
      </c>
      <c r="F26" s="183">
        <f>E26-D26</f>
        <v>0</v>
      </c>
    </row>
    <row r="27" spans="1:6" s="4" customFormat="1" ht="15" customHeight="1" x14ac:dyDescent="0.25">
      <c r="A27" s="47" t="s">
        <v>7</v>
      </c>
      <c r="B27" s="50" t="s">
        <v>13</v>
      </c>
      <c r="C27" s="61">
        <v>1100</v>
      </c>
      <c r="D27" s="61">
        <v>1100</v>
      </c>
      <c r="E27" s="61">
        <v>1100</v>
      </c>
      <c r="F27" s="185">
        <f>E27-D27</f>
        <v>0</v>
      </c>
    </row>
    <row r="28" spans="1:6" ht="15" customHeight="1" x14ac:dyDescent="0.2">
      <c r="A28" s="47" t="s">
        <v>8</v>
      </c>
      <c r="B28" s="50" t="s">
        <v>14</v>
      </c>
      <c r="C28" s="61">
        <v>6000</v>
      </c>
      <c r="D28" s="61">
        <v>6000</v>
      </c>
      <c r="E28" s="61">
        <v>6000</v>
      </c>
      <c r="F28" s="185">
        <f>E28-D28</f>
        <v>0</v>
      </c>
    </row>
    <row r="29" spans="1:6" ht="15" customHeight="1" x14ac:dyDescent="0.2">
      <c r="A29" s="47" t="s">
        <v>9</v>
      </c>
      <c r="B29" s="50" t="s">
        <v>15</v>
      </c>
      <c r="C29" s="61">
        <v>1350</v>
      </c>
      <c r="D29" s="61">
        <v>1350</v>
      </c>
      <c r="E29" s="61">
        <v>1350</v>
      </c>
      <c r="F29" s="185">
        <f>E29-D29</f>
        <v>0</v>
      </c>
    </row>
    <row r="30" spans="1:6" s="5" customFormat="1" ht="15" customHeight="1" x14ac:dyDescent="0.2">
      <c r="B30" s="122" t="s">
        <v>4</v>
      </c>
      <c r="C30" s="124">
        <f>SUM(C26:C29)</f>
        <v>17350</v>
      </c>
      <c r="D30" s="124">
        <f>SUM(D26:D29)</f>
        <v>17350</v>
      </c>
      <c r="E30" s="124">
        <f>SUM(E26:E29)</f>
        <v>17350</v>
      </c>
      <c r="F30" s="180">
        <f>SUM(F26:F29)</f>
        <v>0</v>
      </c>
    </row>
    <row r="31" spans="1:6" s="5" customFormat="1" ht="15" customHeight="1" x14ac:dyDescent="0.2">
      <c r="A31" s="8" t="s">
        <v>7</v>
      </c>
      <c r="B31" s="122" t="s">
        <v>201</v>
      </c>
      <c r="C31" s="7"/>
      <c r="F31" s="20"/>
    </row>
    <row r="32" spans="1:6" ht="15" customHeight="1" x14ac:dyDescent="0.2">
      <c r="A32" s="59" t="s">
        <v>6</v>
      </c>
      <c r="B32" s="49" t="s">
        <v>87</v>
      </c>
      <c r="C32" s="60">
        <f>22409-9908+25980</f>
        <v>38481</v>
      </c>
      <c r="D32" s="184">
        <v>0</v>
      </c>
      <c r="E32" s="184">
        <v>0</v>
      </c>
      <c r="F32" s="183">
        <f>E32-D32</f>
        <v>0</v>
      </c>
    </row>
    <row r="33" spans="1:6" s="4" customFormat="1" ht="15" customHeight="1" x14ac:dyDescent="0.25">
      <c r="A33" s="48" t="s">
        <v>7</v>
      </c>
      <c r="B33" s="49" t="s">
        <v>108</v>
      </c>
      <c r="C33" s="60">
        <f>12703-2934</f>
        <v>9769</v>
      </c>
      <c r="D33" s="182"/>
      <c r="E33" s="182"/>
      <c r="F33" s="183">
        <f>E33-D33</f>
        <v>0</v>
      </c>
    </row>
    <row r="34" spans="1:6" s="5" customFormat="1" ht="15" customHeight="1" x14ac:dyDescent="0.2">
      <c r="B34" s="125" t="s">
        <v>4</v>
      </c>
      <c r="C34" s="126">
        <f>SUM(C32:C33)</f>
        <v>48250</v>
      </c>
      <c r="D34" s="126">
        <f>SUM(D32:D33)</f>
        <v>0</v>
      </c>
      <c r="E34" s="126">
        <f>SUM(E32:E33)</f>
        <v>0</v>
      </c>
      <c r="F34" s="181">
        <f>SUM(F32:F33)</f>
        <v>0</v>
      </c>
    </row>
    <row r="35" spans="1:6" s="5" customFormat="1" ht="15" customHeight="1" x14ac:dyDescent="0.2">
      <c r="B35" s="34" t="s">
        <v>4</v>
      </c>
      <c r="C35" s="42">
        <f>C30+C34</f>
        <v>65600</v>
      </c>
      <c r="D35" s="42">
        <f>D30+D34</f>
        <v>17350</v>
      </c>
      <c r="E35" s="42">
        <f>E30+E34</f>
        <v>17350</v>
      </c>
      <c r="F35" s="42">
        <f>F30+F34</f>
        <v>0</v>
      </c>
    </row>
    <row r="36" spans="1:6" s="5" customFormat="1" ht="15" customHeight="1" x14ac:dyDescent="0.2">
      <c r="B36" s="62"/>
      <c r="C36" s="7"/>
      <c r="F36" s="20"/>
    </row>
    <row r="37" spans="1:6" s="5" customFormat="1" ht="30" customHeight="1" x14ac:dyDescent="0.2">
      <c r="B37" s="34" t="s">
        <v>203</v>
      </c>
      <c r="C37" s="42">
        <f>C11+C22+C35</f>
        <v>164160</v>
      </c>
      <c r="D37" s="42">
        <f>D11+D22+D35</f>
        <v>214591</v>
      </c>
      <c r="E37" s="42">
        <f>E11+E22+E35</f>
        <v>190045</v>
      </c>
      <c r="F37" s="42">
        <f>F11+F22+F35</f>
        <v>-24546</v>
      </c>
    </row>
    <row r="38" spans="1:6" s="5" customFormat="1" ht="15" customHeight="1" x14ac:dyDescent="0.2">
      <c r="B38" s="34"/>
      <c r="C38" s="42"/>
      <c r="F38" s="43"/>
    </row>
    <row r="39" spans="1:6" s="5" customFormat="1" ht="15" customHeight="1" x14ac:dyDescent="0.2">
      <c r="A39" s="5" t="s">
        <v>16</v>
      </c>
      <c r="B39" s="62" t="s">
        <v>204</v>
      </c>
      <c r="C39" s="7"/>
      <c r="F39" s="20"/>
    </row>
    <row r="40" spans="1:6" s="4" customFormat="1" ht="15" customHeight="1" x14ac:dyDescent="0.25">
      <c r="A40" s="48" t="s">
        <v>6</v>
      </c>
      <c r="B40" s="49" t="s">
        <v>109</v>
      </c>
      <c r="C40" s="60">
        <v>15000</v>
      </c>
      <c r="D40" s="60">
        <v>15000</v>
      </c>
      <c r="E40" s="60">
        <v>15000</v>
      </c>
      <c r="F40" s="183">
        <f>E40-D40</f>
        <v>0</v>
      </c>
    </row>
    <row r="41" spans="1:6" s="4" customFormat="1" ht="15" customHeight="1" x14ac:dyDescent="0.25">
      <c r="A41" s="48" t="s">
        <v>7</v>
      </c>
      <c r="B41" s="49" t="s">
        <v>110</v>
      </c>
      <c r="C41" s="60">
        <v>14235</v>
      </c>
      <c r="D41" s="60">
        <v>14235</v>
      </c>
      <c r="E41" s="60">
        <v>14235</v>
      </c>
      <c r="F41" s="183">
        <f>E41-D41</f>
        <v>0</v>
      </c>
    </row>
    <row r="42" spans="1:6" s="4" customFormat="1" ht="15" customHeight="1" x14ac:dyDescent="0.25">
      <c r="A42" s="48" t="s">
        <v>8</v>
      </c>
      <c r="B42" s="49" t="s">
        <v>111</v>
      </c>
      <c r="C42" s="60">
        <v>13614</v>
      </c>
      <c r="D42" s="60">
        <v>13614</v>
      </c>
      <c r="E42" s="60">
        <v>13614</v>
      </c>
      <c r="F42" s="183">
        <f>E42-D42</f>
        <v>0</v>
      </c>
    </row>
    <row r="43" spans="1:6" s="4" customFormat="1" ht="15" customHeight="1" x14ac:dyDescent="0.25">
      <c r="A43" s="48" t="s">
        <v>9</v>
      </c>
      <c r="B43" s="49" t="s">
        <v>112</v>
      </c>
      <c r="C43" s="60">
        <f>142562-33027</f>
        <v>109535</v>
      </c>
      <c r="D43" s="60">
        <f>142562-33027</f>
        <v>109535</v>
      </c>
      <c r="E43" s="60">
        <f>142562-33027</f>
        <v>109535</v>
      </c>
      <c r="F43" s="183">
        <f>E43-D43</f>
        <v>0</v>
      </c>
    </row>
    <row r="44" spans="1:6" s="5" customFormat="1" ht="15" customHeight="1" x14ac:dyDescent="0.2">
      <c r="B44" s="122" t="s">
        <v>4</v>
      </c>
      <c r="C44" s="124">
        <f>SUM(C40:C43)</f>
        <v>152384</v>
      </c>
      <c r="D44" s="124">
        <f>SUM(D40:D43)</f>
        <v>152384</v>
      </c>
      <c r="E44" s="124">
        <f>SUM(E40:E43)</f>
        <v>152384</v>
      </c>
      <c r="F44" s="124">
        <f>SUM(F40:F43)</f>
        <v>0</v>
      </c>
    </row>
    <row r="45" spans="1:6" ht="15" customHeight="1" x14ac:dyDescent="0.2">
      <c r="C45" s="10"/>
      <c r="D45" s="16"/>
      <c r="E45" s="16"/>
      <c r="F45" s="119"/>
    </row>
    <row r="46" spans="1:6" s="5" customFormat="1" ht="15" customHeight="1" x14ac:dyDescent="0.2">
      <c r="B46" s="62" t="s">
        <v>205</v>
      </c>
      <c r="C46" s="7">
        <f>C44</f>
        <v>152384</v>
      </c>
      <c r="D46" s="7">
        <f>D44</f>
        <v>152384</v>
      </c>
      <c r="E46" s="7">
        <f>E44</f>
        <v>152384</v>
      </c>
      <c r="F46" s="7">
        <f>F44</f>
        <v>0</v>
      </c>
    </row>
    <row r="47" spans="1:6" s="5" customFormat="1" ht="15" customHeight="1" x14ac:dyDescent="0.2">
      <c r="B47" s="62"/>
      <c r="C47" s="7"/>
      <c r="F47" s="20"/>
    </row>
    <row r="48" spans="1:6" ht="15" customHeight="1" x14ac:dyDescent="0.2">
      <c r="B48" s="34" t="s">
        <v>17</v>
      </c>
      <c r="C48" s="6">
        <f>C37+C46</f>
        <v>316544</v>
      </c>
      <c r="D48" s="6">
        <f>D37+D46</f>
        <v>366975</v>
      </c>
      <c r="E48" s="6">
        <f>E37+E46</f>
        <v>342429</v>
      </c>
      <c r="F48" s="6">
        <f>F37+F46</f>
        <v>-24546</v>
      </c>
    </row>
    <row r="49" spans="2:6" x14ac:dyDescent="0.2">
      <c r="C49" s="10"/>
      <c r="D49" s="16"/>
      <c r="E49" s="16"/>
      <c r="F49" s="119"/>
    </row>
    <row r="50" spans="2:6" x14ac:dyDescent="0.2">
      <c r="B50" s="17" t="s">
        <v>89</v>
      </c>
      <c r="C50" s="10"/>
      <c r="D50" s="16"/>
      <c r="E50" s="16"/>
      <c r="F50" s="119"/>
    </row>
    <row r="51" spans="2:6" x14ac:dyDescent="0.2">
      <c r="B51" s="66" t="s">
        <v>90</v>
      </c>
      <c r="C51" s="75">
        <f>C48-C52</f>
        <v>308094</v>
      </c>
      <c r="D51" s="75">
        <f>D48-D52</f>
        <v>358525</v>
      </c>
      <c r="E51" s="75">
        <f>E48-E52</f>
        <v>333979</v>
      </c>
      <c r="F51" s="75">
        <f>F48-F52</f>
        <v>-24546</v>
      </c>
    </row>
    <row r="52" spans="2:6" x14ac:dyDescent="0.2">
      <c r="B52" s="68" t="s">
        <v>88</v>
      </c>
      <c r="C52" s="70">
        <f>C29+C28+C27</f>
        <v>8450</v>
      </c>
      <c r="D52" s="70">
        <f>D29+D28+D27</f>
        <v>8450</v>
      </c>
      <c r="E52" s="70">
        <f>E29+E28+E27</f>
        <v>8450</v>
      </c>
      <c r="F52" s="70">
        <f>F29+F28+F27</f>
        <v>0</v>
      </c>
    </row>
    <row r="53" spans="2:6" x14ac:dyDescent="0.2">
      <c r="C53" s="10"/>
      <c r="D53" s="16"/>
      <c r="E53" s="16"/>
      <c r="F53" s="119"/>
    </row>
    <row r="54" spans="2:6" x14ac:dyDescent="0.2">
      <c r="C54" s="10"/>
      <c r="D54" s="16"/>
      <c r="E54" s="16"/>
      <c r="F54" s="119"/>
    </row>
  </sheetData>
  <mergeCells count="2">
    <mergeCell ref="A4:F4"/>
    <mergeCell ref="A5:F5"/>
  </mergeCells>
  <phoneticPr fontId="0" type="noConversion"/>
  <pageMargins left="0.75" right="0.48" top="0.44" bottom="0.43" header="0.41" footer="0.31"/>
  <pageSetup paperSize="9" scale="94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tabSelected="1" zoomScaleNormal="100" workbookViewId="0">
      <selection activeCell="E34" sqref="E34"/>
    </sheetView>
  </sheetViews>
  <sheetFormatPr defaultRowHeight="12.75" x14ac:dyDescent="0.2"/>
  <cols>
    <col min="1" max="1" width="4.42578125" style="2" customWidth="1"/>
    <col min="2" max="2" width="54.85546875" style="13" customWidth="1"/>
    <col min="3" max="3" width="11.85546875" style="3" customWidth="1"/>
    <col min="4" max="6" width="9.140625" style="2"/>
    <col min="7" max="7" width="1.42578125" style="2" customWidth="1"/>
    <col min="8" max="16384" width="9.140625" style="2"/>
  </cols>
  <sheetData>
    <row r="1" spans="1:6" ht="13.5" x14ac:dyDescent="0.25">
      <c r="A1" s="169" t="s">
        <v>325</v>
      </c>
    </row>
    <row r="2" spans="1:6" ht="13.5" customHeight="1" x14ac:dyDescent="0.25">
      <c r="A2" s="169" t="s">
        <v>320</v>
      </c>
      <c r="B2" s="156"/>
      <c r="C2" s="156"/>
    </row>
    <row r="3" spans="1:6" ht="13.5" customHeight="1" x14ac:dyDescent="0.25">
      <c r="A3" s="169"/>
      <c r="B3" s="156"/>
      <c r="C3" s="156"/>
    </row>
    <row r="4" spans="1:6" x14ac:dyDescent="0.2">
      <c r="A4" s="215" t="s">
        <v>113</v>
      </c>
      <c r="B4" s="215"/>
      <c r="C4" s="215"/>
      <c r="D4" s="215"/>
      <c r="E4" s="215"/>
      <c r="F4" s="215"/>
    </row>
    <row r="5" spans="1:6" ht="11.25" customHeight="1" x14ac:dyDescent="0.2">
      <c r="A5" s="1"/>
      <c r="B5" s="1"/>
      <c r="C5" s="1"/>
      <c r="D5" s="1"/>
      <c r="E5" s="1"/>
      <c r="F5" s="1"/>
    </row>
    <row r="6" spans="1:6" ht="15.75" customHeight="1" x14ac:dyDescent="0.2">
      <c r="A6" s="1"/>
      <c r="B6" s="1"/>
      <c r="C6" s="1"/>
    </row>
    <row r="7" spans="1:6" ht="24" x14ac:dyDescent="0.2">
      <c r="A7" s="5" t="s">
        <v>1</v>
      </c>
      <c r="B7" s="34" t="s">
        <v>170</v>
      </c>
      <c r="C7" s="172" t="s">
        <v>20</v>
      </c>
      <c r="D7" s="172" t="s">
        <v>286</v>
      </c>
      <c r="E7" s="172" t="s">
        <v>302</v>
      </c>
      <c r="F7" s="172" t="s">
        <v>256</v>
      </c>
    </row>
    <row r="8" spans="1:6" s="65" customFormat="1" ht="15.75" x14ac:dyDescent="0.25">
      <c r="A8" s="71" t="s">
        <v>6</v>
      </c>
      <c r="B8" s="72" t="s">
        <v>31</v>
      </c>
      <c r="C8" s="73">
        <v>3103</v>
      </c>
      <c r="D8" s="73">
        <v>3103</v>
      </c>
      <c r="E8" s="73">
        <v>3103</v>
      </c>
      <c r="F8" s="153">
        <f t="shared" ref="F8:F34" si="0">E8-D8</f>
        <v>0</v>
      </c>
    </row>
    <row r="9" spans="1:6" s="65" customFormat="1" ht="15.75" x14ac:dyDescent="0.25">
      <c r="A9" s="71" t="s">
        <v>7</v>
      </c>
      <c r="B9" s="72" t="s">
        <v>29</v>
      </c>
      <c r="C9" s="73">
        <v>5000</v>
      </c>
      <c r="D9" s="73">
        <v>5000</v>
      </c>
      <c r="E9" s="73">
        <v>5000</v>
      </c>
      <c r="F9" s="153">
        <f t="shared" si="0"/>
        <v>0</v>
      </c>
    </row>
    <row r="10" spans="1:6" s="65" customFormat="1" ht="15.75" x14ac:dyDescent="0.25">
      <c r="A10" s="71" t="s">
        <v>8</v>
      </c>
      <c r="B10" s="72" t="s">
        <v>136</v>
      </c>
      <c r="C10" s="73">
        <v>11914</v>
      </c>
      <c r="D10" s="73">
        <v>11914</v>
      </c>
      <c r="E10" s="73">
        <v>11914</v>
      </c>
      <c r="F10" s="153">
        <f t="shared" si="0"/>
        <v>0</v>
      </c>
    </row>
    <row r="11" spans="1:6" s="23" customFormat="1" x14ac:dyDescent="0.2">
      <c r="A11" s="71" t="s">
        <v>9</v>
      </c>
      <c r="B11" s="55" t="s">
        <v>126</v>
      </c>
      <c r="C11" s="58">
        <f>6737+19378+25980</f>
        <v>52095</v>
      </c>
      <c r="D11" s="58">
        <f>6737+19378+25980</f>
        <v>52095</v>
      </c>
      <c r="E11" s="58">
        <f>6737+19378+25980</f>
        <v>52095</v>
      </c>
      <c r="F11" s="153">
        <f t="shared" si="0"/>
        <v>0</v>
      </c>
    </row>
    <row r="12" spans="1:6" s="23" customFormat="1" x14ac:dyDescent="0.2">
      <c r="A12" s="71" t="s">
        <v>10</v>
      </c>
      <c r="B12" s="55" t="s">
        <v>127</v>
      </c>
      <c r="C12" s="58">
        <f>13022+20000</f>
        <v>33022</v>
      </c>
      <c r="D12" s="58">
        <f>13022+20000+29200</f>
        <v>62222</v>
      </c>
      <c r="E12" s="58">
        <f>13022+20000+29200</f>
        <v>62222</v>
      </c>
      <c r="F12" s="153">
        <f t="shared" si="0"/>
        <v>0</v>
      </c>
    </row>
    <row r="13" spans="1:6" s="23" customFormat="1" ht="24.75" customHeight="1" x14ac:dyDescent="0.2">
      <c r="A13" s="71" t="s">
        <v>27</v>
      </c>
      <c r="B13" s="55" t="s">
        <v>128</v>
      </c>
      <c r="C13" s="58">
        <v>416</v>
      </c>
      <c r="D13" s="58">
        <v>416</v>
      </c>
      <c r="E13" s="58">
        <v>416</v>
      </c>
      <c r="F13" s="153">
        <f t="shared" si="0"/>
        <v>0</v>
      </c>
    </row>
    <row r="14" spans="1:6" s="23" customFormat="1" x14ac:dyDescent="0.2">
      <c r="A14" s="71" t="s">
        <v>28</v>
      </c>
      <c r="B14" s="49" t="s">
        <v>142</v>
      </c>
      <c r="C14" s="58">
        <v>109535</v>
      </c>
      <c r="D14" s="48">
        <v>2778</v>
      </c>
      <c r="E14" s="48">
        <f>2778+156+377+145</f>
        <v>3456</v>
      </c>
      <c r="F14" s="153">
        <f t="shared" si="0"/>
        <v>678</v>
      </c>
    </row>
    <row r="15" spans="1:6" s="23" customFormat="1" ht="13.5" customHeight="1" x14ac:dyDescent="0.2">
      <c r="A15" s="71" t="s">
        <v>30</v>
      </c>
      <c r="B15" s="55" t="s">
        <v>137</v>
      </c>
      <c r="C15" s="58">
        <v>6400</v>
      </c>
      <c r="D15" s="58">
        <v>6400</v>
      </c>
      <c r="E15" s="58">
        <v>6400</v>
      </c>
      <c r="F15" s="153">
        <f t="shared" si="0"/>
        <v>0</v>
      </c>
    </row>
    <row r="16" spans="1:6" s="23" customFormat="1" ht="13.5" customHeight="1" x14ac:dyDescent="0.2">
      <c r="A16" s="71" t="s">
        <v>70</v>
      </c>
      <c r="B16" s="55" t="s">
        <v>138</v>
      </c>
      <c r="C16" s="58">
        <v>5000</v>
      </c>
      <c r="D16" s="58">
        <v>5000</v>
      </c>
      <c r="E16" s="58">
        <v>5000</v>
      </c>
      <c r="F16" s="153">
        <f t="shared" si="0"/>
        <v>0</v>
      </c>
    </row>
    <row r="17" spans="1:6" s="23" customFormat="1" ht="13.5" customHeight="1" x14ac:dyDescent="0.2">
      <c r="A17" s="71" t="s">
        <v>71</v>
      </c>
      <c r="B17" s="55" t="s">
        <v>151</v>
      </c>
      <c r="C17" s="58">
        <v>150</v>
      </c>
      <c r="D17" s="58">
        <v>150</v>
      </c>
      <c r="E17" s="58">
        <v>150</v>
      </c>
      <c r="F17" s="153">
        <f t="shared" si="0"/>
        <v>0</v>
      </c>
    </row>
    <row r="18" spans="1:6" s="23" customFormat="1" ht="15.75" customHeight="1" x14ac:dyDescent="0.2">
      <c r="A18" s="71" t="s">
        <v>32</v>
      </c>
      <c r="B18" s="55" t="s">
        <v>139</v>
      </c>
      <c r="C18" s="58">
        <v>2000</v>
      </c>
      <c r="D18" s="58">
        <v>2000</v>
      </c>
      <c r="E18" s="58">
        <v>2000</v>
      </c>
      <c r="F18" s="153">
        <f t="shared" si="0"/>
        <v>0</v>
      </c>
    </row>
    <row r="19" spans="1:6" s="23" customFormat="1" ht="15.75" customHeight="1" x14ac:dyDescent="0.2">
      <c r="A19" s="71" t="s">
        <v>33</v>
      </c>
      <c r="B19" s="55" t="s">
        <v>141</v>
      </c>
      <c r="C19" s="58">
        <v>2000</v>
      </c>
      <c r="D19" s="58">
        <v>2000</v>
      </c>
      <c r="E19" s="58">
        <v>2000</v>
      </c>
      <c r="F19" s="153">
        <f t="shared" si="0"/>
        <v>0</v>
      </c>
    </row>
    <row r="20" spans="1:6" s="23" customFormat="1" x14ac:dyDescent="0.2">
      <c r="A20" s="71" t="s">
        <v>59</v>
      </c>
      <c r="B20" s="55" t="s">
        <v>134</v>
      </c>
      <c r="C20" s="58">
        <v>280</v>
      </c>
      <c r="D20" s="58">
        <v>280</v>
      </c>
      <c r="E20" s="58">
        <v>280</v>
      </c>
      <c r="F20" s="153">
        <f t="shared" si="0"/>
        <v>0</v>
      </c>
    </row>
    <row r="21" spans="1:6" s="23" customFormat="1" x14ac:dyDescent="0.2">
      <c r="A21" s="71" t="s">
        <v>60</v>
      </c>
      <c r="B21" s="55" t="s">
        <v>129</v>
      </c>
      <c r="C21" s="58">
        <v>743</v>
      </c>
      <c r="D21" s="58">
        <v>743</v>
      </c>
      <c r="E21" s="58">
        <v>0</v>
      </c>
      <c r="F21" s="153">
        <f t="shared" si="0"/>
        <v>-743</v>
      </c>
    </row>
    <row r="22" spans="1:6" s="23" customFormat="1" x14ac:dyDescent="0.2">
      <c r="A22" s="71" t="s">
        <v>68</v>
      </c>
      <c r="B22" s="49" t="s">
        <v>132</v>
      </c>
      <c r="C22" s="58">
        <v>6500</v>
      </c>
      <c r="D22" s="58">
        <v>6500</v>
      </c>
      <c r="E22" s="58">
        <v>6500</v>
      </c>
      <c r="F22" s="153">
        <f t="shared" si="0"/>
        <v>0</v>
      </c>
    </row>
    <row r="23" spans="1:6" s="23" customFormat="1" ht="15.75" customHeight="1" x14ac:dyDescent="0.2">
      <c r="A23" s="71" t="s">
        <v>69</v>
      </c>
      <c r="B23" s="55" t="s">
        <v>271</v>
      </c>
      <c r="C23" s="58"/>
      <c r="D23" s="58">
        <v>254</v>
      </c>
      <c r="E23" s="58">
        <v>254</v>
      </c>
      <c r="F23" s="153">
        <f t="shared" si="0"/>
        <v>0</v>
      </c>
    </row>
    <row r="24" spans="1:6" s="23" customFormat="1" ht="15.75" customHeight="1" x14ac:dyDescent="0.2">
      <c r="A24" s="71" t="s">
        <v>72</v>
      </c>
      <c r="B24" s="55" t="s">
        <v>145</v>
      </c>
      <c r="C24" s="58">
        <v>150</v>
      </c>
      <c r="D24" s="58">
        <f>150+1153+311+79+21</f>
        <v>1714</v>
      </c>
      <c r="E24" s="58">
        <f>150+1153+311+79+21</f>
        <v>1714</v>
      </c>
      <c r="F24" s="153">
        <f t="shared" si="0"/>
        <v>0</v>
      </c>
    </row>
    <row r="25" spans="1:6" s="23" customFormat="1" ht="25.5" x14ac:dyDescent="0.2">
      <c r="A25" s="71" t="s">
        <v>77</v>
      </c>
      <c r="B25" s="55" t="s">
        <v>309</v>
      </c>
      <c r="C25" s="58">
        <v>1000</v>
      </c>
      <c r="D25" s="58">
        <v>1000</v>
      </c>
      <c r="E25" s="58">
        <f>1000+280</f>
        <v>1280</v>
      </c>
      <c r="F25" s="153">
        <f t="shared" si="0"/>
        <v>280</v>
      </c>
    </row>
    <row r="26" spans="1:6" s="23" customFormat="1" x14ac:dyDescent="0.2">
      <c r="A26" s="71" t="s">
        <v>78</v>
      </c>
      <c r="B26" s="55" t="s">
        <v>273</v>
      </c>
      <c r="C26" s="58"/>
      <c r="D26" s="58">
        <v>1588</v>
      </c>
      <c r="E26" s="58">
        <f>1588</f>
        <v>1588</v>
      </c>
      <c r="F26" s="153">
        <f t="shared" si="0"/>
        <v>0</v>
      </c>
    </row>
    <row r="27" spans="1:6" s="23" customFormat="1" ht="25.5" x14ac:dyDescent="0.2">
      <c r="A27" s="71" t="s">
        <v>143</v>
      </c>
      <c r="B27" s="196" t="s">
        <v>292</v>
      </c>
      <c r="C27" s="75"/>
      <c r="D27" s="75">
        <v>168</v>
      </c>
      <c r="E27" s="75">
        <v>168</v>
      </c>
      <c r="F27" s="75">
        <f t="shared" si="0"/>
        <v>0</v>
      </c>
    </row>
    <row r="28" spans="1:6" s="23" customFormat="1" ht="25.5" x14ac:dyDescent="0.2">
      <c r="A28" s="71" t="s">
        <v>144</v>
      </c>
      <c r="B28" s="55" t="s">
        <v>310</v>
      </c>
      <c r="C28" s="58">
        <v>380</v>
      </c>
      <c r="D28" s="58">
        <f>380+327+256</f>
        <v>963</v>
      </c>
      <c r="E28" s="58">
        <f>380+327+256+1901</f>
        <v>2864</v>
      </c>
      <c r="F28" s="153">
        <f t="shared" si="0"/>
        <v>1901</v>
      </c>
    </row>
    <row r="29" spans="1:6" s="23" customFormat="1" x14ac:dyDescent="0.2">
      <c r="A29" s="71" t="s">
        <v>269</v>
      </c>
      <c r="B29" s="55" t="s">
        <v>293</v>
      </c>
      <c r="C29" s="58">
        <v>0</v>
      </c>
      <c r="D29" s="58">
        <v>1000</v>
      </c>
      <c r="E29" s="58">
        <v>0</v>
      </c>
      <c r="F29" s="153">
        <f t="shared" si="0"/>
        <v>-1000</v>
      </c>
    </row>
    <row r="30" spans="1:6" s="23" customFormat="1" ht="25.5" x14ac:dyDescent="0.2">
      <c r="A30" s="71" t="s">
        <v>272</v>
      </c>
      <c r="B30" s="201" t="s">
        <v>146</v>
      </c>
      <c r="C30" s="202">
        <v>1525</v>
      </c>
      <c r="D30" s="202">
        <v>1525</v>
      </c>
      <c r="E30" s="202">
        <f>1525+4140</f>
        <v>5665</v>
      </c>
      <c r="F30" s="202">
        <f t="shared" si="0"/>
        <v>4140</v>
      </c>
    </row>
    <row r="31" spans="1:6" s="23" customFormat="1" x14ac:dyDescent="0.2">
      <c r="A31" s="71" t="s">
        <v>297</v>
      </c>
      <c r="B31" s="55" t="s">
        <v>307</v>
      </c>
      <c r="C31" s="58">
        <v>0</v>
      </c>
      <c r="D31" s="58">
        <v>0</v>
      </c>
      <c r="E31" s="58">
        <f>3228+872</f>
        <v>4100</v>
      </c>
      <c r="F31" s="153">
        <f t="shared" si="0"/>
        <v>4100</v>
      </c>
    </row>
    <row r="32" spans="1:6" s="23" customFormat="1" ht="18.75" customHeight="1" x14ac:dyDescent="0.2">
      <c r="A32" s="74" t="s">
        <v>297</v>
      </c>
      <c r="B32" s="56" t="s">
        <v>131</v>
      </c>
      <c r="C32" s="57">
        <v>4000</v>
      </c>
      <c r="D32" s="57">
        <v>4000</v>
      </c>
      <c r="E32" s="57">
        <v>4000</v>
      </c>
      <c r="F32" s="191">
        <f t="shared" si="0"/>
        <v>0</v>
      </c>
    </row>
    <row r="33" spans="1:6" s="23" customFormat="1" ht="18" customHeight="1" x14ac:dyDescent="0.2">
      <c r="A33" s="74" t="s">
        <v>298</v>
      </c>
      <c r="B33" s="56" t="s">
        <v>130</v>
      </c>
      <c r="C33" s="57">
        <v>2400</v>
      </c>
      <c r="D33" s="57">
        <v>2400</v>
      </c>
      <c r="E33" s="57">
        <v>2400</v>
      </c>
      <c r="F33" s="191">
        <f t="shared" si="0"/>
        <v>0</v>
      </c>
    </row>
    <row r="34" spans="1:6" s="23" customFormat="1" ht="18" customHeight="1" x14ac:dyDescent="0.2">
      <c r="A34" s="74" t="s">
        <v>299</v>
      </c>
      <c r="B34" s="56" t="s">
        <v>270</v>
      </c>
      <c r="C34" s="57"/>
      <c r="D34" s="47">
        <v>635</v>
      </c>
      <c r="E34" s="47">
        <v>635</v>
      </c>
      <c r="F34" s="191">
        <f t="shared" si="0"/>
        <v>0</v>
      </c>
    </row>
    <row r="35" spans="1:6" x14ac:dyDescent="0.2">
      <c r="A35" s="64"/>
      <c r="B35" s="17" t="s">
        <v>4</v>
      </c>
      <c r="C35" s="43">
        <f>SUM(C8:C34)</f>
        <v>247613</v>
      </c>
      <c r="D35" s="43">
        <f>SUM(D8:D34)</f>
        <v>175848</v>
      </c>
      <c r="E35" s="43">
        <f>SUM(E8:E34)</f>
        <v>185204</v>
      </c>
      <c r="F35" s="43">
        <f>SUM(F8:F34)</f>
        <v>9356</v>
      </c>
    </row>
    <row r="36" spans="1:6" x14ac:dyDescent="0.2">
      <c r="A36" s="64"/>
      <c r="B36" s="17"/>
      <c r="C36" s="43"/>
      <c r="E36" s="3"/>
    </row>
    <row r="37" spans="1:6" x14ac:dyDescent="0.2">
      <c r="A37" s="5" t="s">
        <v>2</v>
      </c>
      <c r="B37" s="17" t="s">
        <v>171</v>
      </c>
      <c r="C37" s="7"/>
    </row>
    <row r="38" spans="1:6" s="65" customFormat="1" ht="15.75" x14ac:dyDescent="0.25">
      <c r="A38" s="71" t="s">
        <v>6</v>
      </c>
      <c r="B38" s="72" t="s">
        <v>124</v>
      </c>
      <c r="C38" s="73">
        <v>2000</v>
      </c>
      <c r="D38" s="153">
        <v>2000</v>
      </c>
      <c r="E38" s="153">
        <v>2000</v>
      </c>
      <c r="F38" s="153">
        <f t="shared" ref="F38:F47" si="1">E38-D38</f>
        <v>0</v>
      </c>
    </row>
    <row r="39" spans="1:6" s="65" customFormat="1" ht="15.75" x14ac:dyDescent="0.25">
      <c r="A39" s="71" t="s">
        <v>7</v>
      </c>
      <c r="B39" s="72" t="s">
        <v>123</v>
      </c>
      <c r="C39" s="73">
        <v>2500</v>
      </c>
      <c r="D39" s="153">
        <f>2500+30000</f>
        <v>32500</v>
      </c>
      <c r="E39" s="153">
        <f>2500+30000</f>
        <v>32500</v>
      </c>
      <c r="F39" s="153">
        <f t="shared" si="1"/>
        <v>0</v>
      </c>
    </row>
    <row r="40" spans="1:6" s="65" customFormat="1" ht="15.75" x14ac:dyDescent="0.25">
      <c r="A40" s="71" t="s">
        <v>8</v>
      </c>
      <c r="B40" s="72" t="s">
        <v>155</v>
      </c>
      <c r="C40" s="73">
        <f>9769</f>
        <v>9769</v>
      </c>
      <c r="D40" s="153">
        <v>9769</v>
      </c>
      <c r="E40" s="153">
        <v>9769</v>
      </c>
      <c r="F40" s="153">
        <f t="shared" si="1"/>
        <v>0</v>
      </c>
    </row>
    <row r="41" spans="1:6" ht="11.25" customHeight="1" x14ac:dyDescent="0.2">
      <c r="A41" s="71" t="s">
        <v>9</v>
      </c>
      <c r="B41" s="167" t="s">
        <v>157</v>
      </c>
      <c r="C41" s="153">
        <v>500</v>
      </c>
      <c r="D41" s="153">
        <v>500</v>
      </c>
      <c r="E41" s="153">
        <v>500</v>
      </c>
      <c r="F41" s="153">
        <f t="shared" si="1"/>
        <v>0</v>
      </c>
    </row>
    <row r="42" spans="1:6" s="23" customFormat="1" x14ac:dyDescent="0.2">
      <c r="A42" s="71" t="s">
        <v>10</v>
      </c>
      <c r="B42" s="55" t="s">
        <v>122</v>
      </c>
      <c r="C42" s="58">
        <v>20000</v>
      </c>
      <c r="D42" s="153">
        <f>C42+3197+863</f>
        <v>24060</v>
      </c>
      <c r="E42" s="153">
        <f>C42+3197+863-175-468-872</f>
        <v>22545</v>
      </c>
      <c r="F42" s="153">
        <f t="shared" si="1"/>
        <v>-1515</v>
      </c>
    </row>
    <row r="43" spans="1:6" s="23" customFormat="1" x14ac:dyDescent="0.2">
      <c r="A43" s="71" t="s">
        <v>27</v>
      </c>
      <c r="B43" s="55" t="s">
        <v>85</v>
      </c>
      <c r="C43" s="58">
        <v>14278</v>
      </c>
      <c r="D43" s="153">
        <v>14278</v>
      </c>
      <c r="E43" s="153">
        <v>0</v>
      </c>
      <c r="F43" s="153">
        <f t="shared" si="1"/>
        <v>-14278</v>
      </c>
    </row>
    <row r="44" spans="1:6" s="23" customFormat="1" x14ac:dyDescent="0.2">
      <c r="A44" s="71" t="s">
        <v>28</v>
      </c>
      <c r="B44" s="55" t="s">
        <v>154</v>
      </c>
      <c r="C44" s="58">
        <v>5000</v>
      </c>
      <c r="D44" s="153">
        <v>5000</v>
      </c>
      <c r="E44" s="153">
        <v>5000</v>
      </c>
      <c r="F44" s="153">
        <f t="shared" si="1"/>
        <v>0</v>
      </c>
    </row>
    <row r="45" spans="1:6" s="23" customFormat="1" x14ac:dyDescent="0.2">
      <c r="A45" s="71" t="s">
        <v>30</v>
      </c>
      <c r="B45" s="49" t="s">
        <v>142</v>
      </c>
      <c r="C45" s="58"/>
      <c r="D45" s="153">
        <f>109535+25000-2778</f>
        <v>131757</v>
      </c>
      <c r="E45" s="153">
        <f>125463+1515</f>
        <v>126978</v>
      </c>
      <c r="F45" s="153">
        <f t="shared" si="1"/>
        <v>-4779</v>
      </c>
    </row>
    <row r="46" spans="1:6" s="23" customFormat="1" ht="25.5" x14ac:dyDescent="0.2">
      <c r="A46" s="71" t="s">
        <v>70</v>
      </c>
      <c r="B46" s="49" t="s">
        <v>274</v>
      </c>
      <c r="C46" s="58"/>
      <c r="D46" s="153">
        <f>3087+833</f>
        <v>3920</v>
      </c>
      <c r="E46" s="153">
        <f>3087+833</f>
        <v>3920</v>
      </c>
      <c r="F46" s="153">
        <f t="shared" si="1"/>
        <v>0</v>
      </c>
    </row>
    <row r="47" spans="1:6" s="23" customFormat="1" x14ac:dyDescent="0.2">
      <c r="A47" s="71" t="s">
        <v>71</v>
      </c>
      <c r="B47" s="55" t="s">
        <v>308</v>
      </c>
      <c r="C47" s="58"/>
      <c r="D47" s="58"/>
      <c r="E47" s="58">
        <f>713+193</f>
        <v>906</v>
      </c>
      <c r="F47" s="153">
        <f t="shared" si="1"/>
        <v>906</v>
      </c>
    </row>
    <row r="48" spans="1:6" s="5" customFormat="1" x14ac:dyDescent="0.2">
      <c r="A48" s="2"/>
      <c r="B48" s="34" t="s">
        <v>4</v>
      </c>
      <c r="C48" s="43">
        <f>SUM(C38:C46)</f>
        <v>54047</v>
      </c>
      <c r="D48" s="43">
        <f>SUM(D38:D46)</f>
        <v>223784</v>
      </c>
      <c r="E48" s="43">
        <f>SUM(E38:E47)</f>
        <v>204118</v>
      </c>
      <c r="F48" s="43">
        <f>SUM(F38:F47)</f>
        <v>-19666</v>
      </c>
    </row>
    <row r="49" spans="1:6" s="5" customFormat="1" x14ac:dyDescent="0.2">
      <c r="A49" s="2"/>
      <c r="B49" s="34"/>
      <c r="C49" s="43"/>
    </row>
    <row r="50" spans="1:6" s="5" customFormat="1" x14ac:dyDescent="0.2">
      <c r="A50" s="5" t="s">
        <v>12</v>
      </c>
      <c r="B50" s="17" t="s">
        <v>206</v>
      </c>
      <c r="C50" s="7"/>
    </row>
    <row r="51" spans="1:6" s="5" customFormat="1" x14ac:dyDescent="0.2">
      <c r="A51" s="8" t="s">
        <v>6</v>
      </c>
      <c r="B51" s="127" t="s">
        <v>207</v>
      </c>
      <c r="C51" s="124"/>
    </row>
    <row r="52" spans="1:6" x14ac:dyDescent="0.2">
      <c r="A52" s="47" t="s">
        <v>6</v>
      </c>
      <c r="B52" s="53" t="s">
        <v>15</v>
      </c>
      <c r="C52" s="54">
        <v>1350</v>
      </c>
      <c r="D52" s="47">
        <v>1350</v>
      </c>
      <c r="E52" s="47">
        <v>1350</v>
      </c>
      <c r="F52" s="191">
        <f>E52-D52</f>
        <v>0</v>
      </c>
    </row>
    <row r="53" spans="1:6" x14ac:dyDescent="0.2">
      <c r="A53" s="47" t="s">
        <v>7</v>
      </c>
      <c r="B53" s="53" t="s">
        <v>81</v>
      </c>
      <c r="C53" s="54">
        <v>1100</v>
      </c>
      <c r="D53" s="47">
        <v>1100</v>
      </c>
      <c r="E53" s="47">
        <v>1100</v>
      </c>
      <c r="F53" s="191">
        <f>E53-D53</f>
        <v>0</v>
      </c>
    </row>
    <row r="54" spans="1:6" s="5" customFormat="1" x14ac:dyDescent="0.2">
      <c r="B54" s="127" t="s">
        <v>4</v>
      </c>
      <c r="C54" s="124">
        <f>SUM(C52:C53)</f>
        <v>2450</v>
      </c>
      <c r="D54" s="124">
        <f>SUM(D52:D53)</f>
        <v>2450</v>
      </c>
      <c r="E54" s="124">
        <f>SUM(E52:E53)</f>
        <v>2450</v>
      </c>
      <c r="F54" s="124">
        <f>SUM(F52:F53)</f>
        <v>0</v>
      </c>
    </row>
    <row r="55" spans="1:6" s="5" customFormat="1" x14ac:dyDescent="0.2">
      <c r="A55" s="8" t="s">
        <v>7</v>
      </c>
      <c r="B55" s="127" t="s">
        <v>208</v>
      </c>
      <c r="C55" s="7"/>
    </row>
    <row r="56" spans="1:6" x14ac:dyDescent="0.2">
      <c r="A56" s="48" t="s">
        <v>6</v>
      </c>
      <c r="B56" s="51" t="s">
        <v>47</v>
      </c>
      <c r="C56" s="52">
        <v>5802</v>
      </c>
      <c r="D56" s="52">
        <v>5802</v>
      </c>
      <c r="E56" s="52">
        <v>5802</v>
      </c>
      <c r="F56" s="153">
        <f t="shared" ref="F56:F63" si="2">E56-D56</f>
        <v>0</v>
      </c>
    </row>
    <row r="57" spans="1:6" x14ac:dyDescent="0.2">
      <c r="A57" s="48" t="s">
        <v>7</v>
      </c>
      <c r="B57" s="51" t="s">
        <v>116</v>
      </c>
      <c r="C57" s="52">
        <v>576</v>
      </c>
      <c r="D57" s="52">
        <v>576</v>
      </c>
      <c r="E57" s="52">
        <v>576</v>
      </c>
      <c r="F57" s="153">
        <f t="shared" si="2"/>
        <v>0</v>
      </c>
    </row>
    <row r="58" spans="1:6" x14ac:dyDescent="0.2">
      <c r="A58" s="48" t="s">
        <v>8</v>
      </c>
      <c r="B58" s="51" t="s">
        <v>115</v>
      </c>
      <c r="C58" s="52">
        <v>1600</v>
      </c>
      <c r="D58" s="52">
        <v>1600</v>
      </c>
      <c r="E58" s="52">
        <v>1600</v>
      </c>
      <c r="F58" s="153">
        <f t="shared" si="2"/>
        <v>0</v>
      </c>
    </row>
    <row r="59" spans="1:6" x14ac:dyDescent="0.2">
      <c r="A59" s="48" t="s">
        <v>9</v>
      </c>
      <c r="B59" s="51" t="s">
        <v>114</v>
      </c>
      <c r="C59" s="52">
        <v>698</v>
      </c>
      <c r="D59" s="52">
        <v>698</v>
      </c>
      <c r="E59" s="52">
        <v>698</v>
      </c>
      <c r="F59" s="153">
        <f t="shared" si="2"/>
        <v>0</v>
      </c>
    </row>
    <row r="60" spans="1:6" x14ac:dyDescent="0.2">
      <c r="A60" s="48" t="s">
        <v>10</v>
      </c>
      <c r="B60" s="51" t="s">
        <v>80</v>
      </c>
      <c r="C60" s="52">
        <v>800</v>
      </c>
      <c r="D60" s="52">
        <v>800</v>
      </c>
      <c r="E60" s="52">
        <v>800</v>
      </c>
      <c r="F60" s="153">
        <f t="shared" si="2"/>
        <v>0</v>
      </c>
    </row>
    <row r="61" spans="1:6" x14ac:dyDescent="0.2">
      <c r="A61" s="48" t="s">
        <v>27</v>
      </c>
      <c r="B61" s="51" t="s">
        <v>117</v>
      </c>
      <c r="C61" s="52">
        <v>258</v>
      </c>
      <c r="D61" s="52">
        <v>258</v>
      </c>
      <c r="E61" s="52">
        <v>258</v>
      </c>
      <c r="F61" s="153">
        <f t="shared" si="2"/>
        <v>0</v>
      </c>
    </row>
    <row r="62" spans="1:6" x14ac:dyDescent="0.2">
      <c r="A62" s="48" t="s">
        <v>28</v>
      </c>
      <c r="B62" s="51" t="s">
        <v>84</v>
      </c>
      <c r="C62" s="52">
        <v>1600</v>
      </c>
      <c r="D62" s="52">
        <v>1600</v>
      </c>
      <c r="E62" s="52">
        <v>1600</v>
      </c>
      <c r="F62" s="153">
        <f t="shared" si="2"/>
        <v>0</v>
      </c>
    </row>
    <row r="63" spans="1:6" x14ac:dyDescent="0.2">
      <c r="A63" s="48" t="s">
        <v>30</v>
      </c>
      <c r="B63" s="51" t="s">
        <v>311</v>
      </c>
      <c r="C63" s="52"/>
      <c r="D63" s="52"/>
      <c r="E63" s="52">
        <v>2000</v>
      </c>
      <c r="F63" s="153">
        <f t="shared" si="2"/>
        <v>2000</v>
      </c>
    </row>
    <row r="64" spans="1:6" s="5" customFormat="1" x14ac:dyDescent="0.2">
      <c r="B64" s="127" t="s">
        <v>4</v>
      </c>
      <c r="C64" s="124">
        <f>SUM(C56:C63)</f>
        <v>11334</v>
      </c>
      <c r="D64" s="124">
        <f>SUM(D56:D63)</f>
        <v>11334</v>
      </c>
      <c r="E64" s="124">
        <f>SUM(E56:E63)</f>
        <v>13334</v>
      </c>
      <c r="F64" s="124">
        <f>SUM(F56:F63)</f>
        <v>2000</v>
      </c>
    </row>
    <row r="65" spans="1:6" s="5" customFormat="1" x14ac:dyDescent="0.2">
      <c r="A65" s="8" t="s">
        <v>8</v>
      </c>
      <c r="B65" s="127" t="s">
        <v>209</v>
      </c>
      <c r="C65" s="7"/>
    </row>
    <row r="66" spans="1:6" x14ac:dyDescent="0.2">
      <c r="A66" s="48" t="s">
        <v>6</v>
      </c>
      <c r="B66" s="51" t="s">
        <v>118</v>
      </c>
      <c r="C66" s="52">
        <v>1100</v>
      </c>
      <c r="D66" s="52">
        <v>1100</v>
      </c>
      <c r="E66" s="52">
        <v>1100</v>
      </c>
      <c r="F66" s="153">
        <f>E66-D66</f>
        <v>0</v>
      </c>
    </row>
    <row r="67" spans="1:6" s="5" customFormat="1" x14ac:dyDescent="0.2">
      <c r="B67" s="127" t="s">
        <v>4</v>
      </c>
      <c r="C67" s="124">
        <f>SUM(C66:C66)</f>
        <v>1100</v>
      </c>
      <c r="D67" s="124">
        <f>SUM(D66:D66)</f>
        <v>1100</v>
      </c>
      <c r="E67" s="124">
        <f>SUM(E66:E66)</f>
        <v>1100</v>
      </c>
      <c r="F67" s="124">
        <f>SUM(F66:F66)</f>
        <v>0</v>
      </c>
    </row>
    <row r="68" spans="1:6" ht="12.75" customHeight="1" x14ac:dyDescent="0.2">
      <c r="A68" s="128" t="s">
        <v>9</v>
      </c>
      <c r="B68" s="129" t="s">
        <v>210</v>
      </c>
      <c r="C68" s="44"/>
    </row>
    <row r="69" spans="1:6" s="65" customFormat="1" ht="15.95" customHeight="1" x14ac:dyDescent="0.25">
      <c r="A69" s="76" t="s">
        <v>61</v>
      </c>
      <c r="B69" s="77" t="s">
        <v>86</v>
      </c>
      <c r="C69" s="78"/>
      <c r="D69" s="47"/>
      <c r="E69" s="47"/>
      <c r="F69" s="191">
        <f>E69-D69</f>
        <v>0</v>
      </c>
    </row>
    <row r="70" spans="1:6" ht="15" customHeight="1" x14ac:dyDescent="0.2">
      <c r="A70" s="1"/>
      <c r="B70" s="129" t="s">
        <v>4</v>
      </c>
      <c r="C70" s="9">
        <f>SUM(C69:C69)</f>
        <v>0</v>
      </c>
      <c r="D70" s="9">
        <f>SUM(D69:D69)</f>
        <v>0</v>
      </c>
      <c r="E70" s="9">
        <f>SUM(E69:E69)</f>
        <v>0</v>
      </c>
      <c r="F70" s="9">
        <f>SUM(F69:F69)</f>
        <v>0</v>
      </c>
    </row>
    <row r="71" spans="1:6" s="5" customFormat="1" x14ac:dyDescent="0.2">
      <c r="A71" s="2"/>
      <c r="B71" s="34" t="s">
        <v>4</v>
      </c>
      <c r="C71" s="43">
        <f>C70+C67+C64+C54</f>
        <v>14884</v>
      </c>
      <c r="D71" s="43">
        <f>D70+D67+D64+D54</f>
        <v>14884</v>
      </c>
      <c r="E71" s="43">
        <f>E70+E67+E64+E54</f>
        <v>16884</v>
      </c>
      <c r="F71" s="43">
        <f>F70+F67+F64+F54</f>
        <v>2000</v>
      </c>
    </row>
    <row r="72" spans="1:6" s="5" customFormat="1" ht="9.75" customHeight="1" x14ac:dyDescent="0.2">
      <c r="B72" s="17"/>
      <c r="C72" s="7"/>
    </row>
    <row r="73" spans="1:6" s="5" customFormat="1" ht="21.75" customHeight="1" x14ac:dyDescent="0.2">
      <c r="B73" s="34" t="s">
        <v>211</v>
      </c>
      <c r="C73" s="7">
        <f>C71+C48+C35</f>
        <v>316544</v>
      </c>
      <c r="D73" s="7">
        <f>D71+D48+D35</f>
        <v>414516</v>
      </c>
      <c r="E73" s="7">
        <f>E71+E48+E35</f>
        <v>406206</v>
      </c>
      <c r="F73" s="7">
        <f>F71+F48+F35</f>
        <v>-8310</v>
      </c>
    </row>
    <row r="74" spans="1:6" s="5" customFormat="1" ht="9.75" customHeight="1" x14ac:dyDescent="0.2">
      <c r="B74" s="34"/>
      <c r="C74" s="7"/>
    </row>
    <row r="75" spans="1:6" s="5" customFormat="1" ht="15" customHeight="1" x14ac:dyDescent="0.2">
      <c r="A75" s="5" t="s">
        <v>16</v>
      </c>
      <c r="B75" s="62" t="s">
        <v>214</v>
      </c>
      <c r="C75" s="7"/>
      <c r="F75" s="7"/>
    </row>
    <row r="76" spans="1:6" s="4" customFormat="1" ht="15" customHeight="1" x14ac:dyDescent="0.25">
      <c r="A76" s="48" t="s">
        <v>6</v>
      </c>
      <c r="B76" s="49" t="s">
        <v>213</v>
      </c>
      <c r="C76" s="60">
        <v>0</v>
      </c>
      <c r="D76" s="182"/>
      <c r="E76" s="182"/>
      <c r="F76" s="153">
        <f>E76-D76</f>
        <v>0</v>
      </c>
    </row>
    <row r="77" spans="1:6" s="5" customFormat="1" ht="15" customHeight="1" x14ac:dyDescent="0.2">
      <c r="B77" s="62" t="s">
        <v>4</v>
      </c>
      <c r="C77" s="7">
        <f>SUM(C76:C76)</f>
        <v>0</v>
      </c>
      <c r="D77" s="7">
        <f>SUM(D76:D76)</f>
        <v>0</v>
      </c>
      <c r="E77" s="7">
        <f>SUM(E76:E76)</f>
        <v>0</v>
      </c>
      <c r="F77" s="7">
        <f>SUM(F76:F76)</f>
        <v>0</v>
      </c>
    </row>
    <row r="78" spans="1:6" s="4" customFormat="1" ht="15" customHeight="1" x14ac:dyDescent="0.25">
      <c r="B78" s="62" t="s">
        <v>212</v>
      </c>
      <c r="C78" s="7">
        <f>C77</f>
        <v>0</v>
      </c>
      <c r="D78" s="7">
        <f>D77</f>
        <v>0</v>
      </c>
      <c r="E78" s="7">
        <f>E77</f>
        <v>0</v>
      </c>
      <c r="F78" s="7">
        <f>F77</f>
        <v>0</v>
      </c>
    </row>
    <row r="79" spans="1:6" s="5" customFormat="1" x14ac:dyDescent="0.2">
      <c r="A79" s="2"/>
      <c r="B79" s="17"/>
      <c r="C79" s="7"/>
    </row>
    <row r="80" spans="1:6" s="5" customFormat="1" x14ac:dyDescent="0.2">
      <c r="A80" s="2"/>
      <c r="B80" s="17" t="s">
        <v>17</v>
      </c>
      <c r="C80" s="7">
        <f>C73+C78</f>
        <v>316544</v>
      </c>
      <c r="D80" s="7">
        <f>D73+D78</f>
        <v>414516</v>
      </c>
      <c r="E80" s="7">
        <f>E73+E78</f>
        <v>406206</v>
      </c>
      <c r="F80" s="7">
        <f>F73+F78</f>
        <v>-8310</v>
      </c>
    </row>
    <row r="81" spans="1:7" s="5" customFormat="1" x14ac:dyDescent="0.2">
      <c r="A81" s="2"/>
      <c r="B81" s="17" t="s">
        <v>89</v>
      </c>
      <c r="C81" s="7"/>
    </row>
    <row r="82" spans="1:7" ht="15.75" customHeight="1" x14ac:dyDescent="0.2">
      <c r="B82" s="66" t="s">
        <v>90</v>
      </c>
      <c r="C82" s="67">
        <f>C80-C83</f>
        <v>307694</v>
      </c>
      <c r="D82" s="67">
        <f>D80-D83</f>
        <v>405666</v>
      </c>
      <c r="E82" s="67">
        <f>E80-E83</f>
        <v>397356</v>
      </c>
      <c r="F82" s="67">
        <f>F80-F83</f>
        <v>-8310</v>
      </c>
    </row>
    <row r="83" spans="1:7" ht="19.5" customHeight="1" x14ac:dyDescent="0.2">
      <c r="B83" s="68" t="s">
        <v>88</v>
      </c>
      <c r="C83" s="69">
        <f>C69+C33+C32+C53+C52</f>
        <v>8850</v>
      </c>
      <c r="D83" s="69">
        <f>D69+D33+D32+D53+D52</f>
        <v>8850</v>
      </c>
      <c r="E83" s="69">
        <f>E69+E33+E32+E53+E52</f>
        <v>8850</v>
      </c>
      <c r="F83" s="69">
        <f>F69+F33+F32+F53+F52</f>
        <v>0</v>
      </c>
      <c r="G83" s="2" t="s">
        <v>255</v>
      </c>
    </row>
    <row r="84" spans="1:7" ht="11.25" customHeight="1" x14ac:dyDescent="0.2"/>
    <row r="85" spans="1:7" ht="11.25" customHeight="1" x14ac:dyDescent="0.2"/>
    <row r="86" spans="1:7" ht="11.25" customHeight="1" x14ac:dyDescent="0.2">
      <c r="B86" s="17" t="s">
        <v>156</v>
      </c>
      <c r="C86" s="7">
        <f>C80-'4. melléklet'!C48</f>
        <v>0</v>
      </c>
    </row>
    <row r="87" spans="1:7" ht="11.25" customHeight="1" x14ac:dyDescent="0.2"/>
    <row r="88" spans="1:7" ht="11.25" customHeight="1" x14ac:dyDescent="0.2"/>
    <row r="89" spans="1:7" ht="11.25" customHeight="1" x14ac:dyDescent="0.2">
      <c r="A89" s="2" t="s">
        <v>248</v>
      </c>
      <c r="B89" s="17" t="s">
        <v>149</v>
      </c>
    </row>
    <row r="90" spans="1:7" s="23" customFormat="1" x14ac:dyDescent="0.2">
      <c r="A90" s="64" t="s">
        <v>6</v>
      </c>
      <c r="B90" s="116" t="s">
        <v>125</v>
      </c>
      <c r="C90" s="117">
        <v>8000</v>
      </c>
    </row>
    <row r="91" spans="1:7" s="23" customFormat="1" x14ac:dyDescent="0.2">
      <c r="A91" s="64" t="s">
        <v>7</v>
      </c>
      <c r="B91" s="116" t="s">
        <v>135</v>
      </c>
      <c r="C91" s="117">
        <v>12500</v>
      </c>
    </row>
    <row r="92" spans="1:7" s="23" customFormat="1" x14ac:dyDescent="0.2">
      <c r="A92" s="64" t="s">
        <v>8</v>
      </c>
      <c r="B92" s="2" t="s">
        <v>140</v>
      </c>
      <c r="C92" s="117">
        <v>3000</v>
      </c>
    </row>
    <row r="93" spans="1:7" s="23" customFormat="1" x14ac:dyDescent="0.2">
      <c r="A93" s="64" t="s">
        <v>9</v>
      </c>
      <c r="B93" s="116" t="s">
        <v>121</v>
      </c>
      <c r="C93" s="117">
        <v>2000</v>
      </c>
      <c r="D93" s="2"/>
      <c r="E93" s="2"/>
    </row>
    <row r="94" spans="1:7" ht="11.25" customHeight="1" x14ac:dyDescent="0.2">
      <c r="A94" s="64" t="s">
        <v>10</v>
      </c>
      <c r="B94" s="13" t="s">
        <v>249</v>
      </c>
      <c r="C94" s="3">
        <v>4800</v>
      </c>
    </row>
    <row r="95" spans="1:7" ht="11.25" customHeight="1" x14ac:dyDescent="0.2">
      <c r="A95" s="64" t="s">
        <v>27</v>
      </c>
      <c r="B95" s="13" t="s">
        <v>250</v>
      </c>
      <c r="C95" s="3">
        <v>2000</v>
      </c>
    </row>
    <row r="96" spans="1:7" x14ac:dyDescent="0.2">
      <c r="A96" s="64" t="s">
        <v>28</v>
      </c>
      <c r="B96" s="13" t="s">
        <v>251</v>
      </c>
      <c r="C96" s="3">
        <v>1262</v>
      </c>
    </row>
    <row r="97" spans="1:5" s="23" customFormat="1" x14ac:dyDescent="0.2">
      <c r="A97" s="64" t="s">
        <v>30</v>
      </c>
      <c r="B97" s="116" t="s">
        <v>252</v>
      </c>
      <c r="C97" s="117">
        <v>5000</v>
      </c>
    </row>
    <row r="98" spans="1:5" ht="11.25" customHeight="1" x14ac:dyDescent="0.2">
      <c r="A98" s="64" t="s">
        <v>70</v>
      </c>
      <c r="B98" s="13" t="s">
        <v>147</v>
      </c>
      <c r="C98" s="3">
        <v>12000</v>
      </c>
    </row>
    <row r="99" spans="1:5" x14ac:dyDescent="0.2">
      <c r="A99" s="64" t="s">
        <v>71</v>
      </c>
      <c r="B99" s="13" t="s">
        <v>148</v>
      </c>
      <c r="C99" s="3">
        <v>6400</v>
      </c>
    </row>
    <row r="100" spans="1:5" s="23" customFormat="1" x14ac:dyDescent="0.2">
      <c r="A100" s="64" t="s">
        <v>32</v>
      </c>
      <c r="B100" s="116" t="s">
        <v>133</v>
      </c>
      <c r="C100" s="117">
        <v>4300</v>
      </c>
    </row>
    <row r="101" spans="1:5" x14ac:dyDescent="0.2">
      <c r="A101" s="64" t="s">
        <v>33</v>
      </c>
      <c r="B101" s="13" t="s">
        <v>152</v>
      </c>
      <c r="C101" s="3">
        <v>28000</v>
      </c>
    </row>
    <row r="102" spans="1:5" x14ac:dyDescent="0.2">
      <c r="A102" s="64" t="s">
        <v>59</v>
      </c>
      <c r="B102" s="13" t="s">
        <v>153</v>
      </c>
      <c r="C102" s="3">
        <v>25000</v>
      </c>
    </row>
    <row r="103" spans="1:5" x14ac:dyDescent="0.2">
      <c r="A103" s="64" t="s">
        <v>60</v>
      </c>
      <c r="B103" s="118" t="s">
        <v>119</v>
      </c>
      <c r="C103" s="119">
        <v>9000</v>
      </c>
    </row>
    <row r="104" spans="1:5" x14ac:dyDescent="0.2">
      <c r="A104" s="64" t="s">
        <v>68</v>
      </c>
      <c r="B104" s="118" t="s">
        <v>120</v>
      </c>
      <c r="C104" s="119">
        <v>3000</v>
      </c>
    </row>
    <row r="105" spans="1:5" x14ac:dyDescent="0.2">
      <c r="B105" s="17" t="s">
        <v>4</v>
      </c>
      <c r="C105" s="43">
        <f>SUM(C90:C104)</f>
        <v>126262</v>
      </c>
    </row>
    <row r="107" spans="1:5" ht="39" customHeight="1" x14ac:dyDescent="0.2">
      <c r="B107" s="214" t="s">
        <v>253</v>
      </c>
      <c r="C107" s="214"/>
      <c r="D107" s="214"/>
      <c r="E107" s="192"/>
    </row>
    <row r="128" spans="3:3" x14ac:dyDescent="0.2">
      <c r="C128" s="14"/>
    </row>
    <row r="129" spans="1:3" x14ac:dyDescent="0.2">
      <c r="C129" s="14"/>
    </row>
    <row r="130" spans="1:3" x14ac:dyDescent="0.2">
      <c r="C130" s="14"/>
    </row>
    <row r="131" spans="1:3" x14ac:dyDescent="0.2">
      <c r="C131" s="14"/>
    </row>
    <row r="132" spans="1:3" s="4" customFormat="1" ht="13.5" x14ac:dyDescent="0.25">
      <c r="A132" s="2"/>
      <c r="B132" s="13"/>
      <c r="C132" s="14"/>
    </row>
    <row r="133" spans="1:3" s="5" customFormat="1" x14ac:dyDescent="0.2">
      <c r="A133" s="2"/>
      <c r="B133" s="13"/>
      <c r="C133" s="14"/>
    </row>
    <row r="134" spans="1:3" s="8" customFormat="1" x14ac:dyDescent="0.2">
      <c r="A134" s="2"/>
      <c r="B134" s="13"/>
      <c r="C134" s="14"/>
    </row>
    <row r="135" spans="1:3" x14ac:dyDescent="0.2">
      <c r="C135" s="14"/>
    </row>
    <row r="136" spans="1:3" x14ac:dyDescent="0.2">
      <c r="C136" s="14"/>
    </row>
    <row r="137" spans="1:3" x14ac:dyDescent="0.2">
      <c r="C137" s="14"/>
    </row>
    <row r="138" spans="1:3" x14ac:dyDescent="0.2">
      <c r="C138" s="14"/>
    </row>
    <row r="139" spans="1:3" x14ac:dyDescent="0.2">
      <c r="C139" s="14"/>
    </row>
    <row r="140" spans="1:3" x14ac:dyDescent="0.2">
      <c r="C140" s="14"/>
    </row>
    <row r="141" spans="1:3" x14ac:dyDescent="0.2">
      <c r="C141" s="14"/>
    </row>
    <row r="142" spans="1:3" x14ac:dyDescent="0.2">
      <c r="A142" s="15"/>
      <c r="C142" s="14"/>
    </row>
    <row r="143" spans="1:3" x14ac:dyDescent="0.2">
      <c r="A143" s="15"/>
      <c r="C143" s="14"/>
    </row>
    <row r="144" spans="1:3" x14ac:dyDescent="0.2">
      <c r="C144" s="14"/>
    </row>
    <row r="145" spans="1:3" x14ac:dyDescent="0.2">
      <c r="C145" s="14"/>
    </row>
    <row r="146" spans="1:3" x14ac:dyDescent="0.2">
      <c r="A146" s="5"/>
      <c r="B146" s="17"/>
      <c r="C146" s="6"/>
    </row>
    <row r="149" spans="1:3" s="5" customFormat="1" x14ac:dyDescent="0.2">
      <c r="B149" s="17"/>
      <c r="C149" s="7"/>
    </row>
    <row r="152" spans="1:3" s="5" customFormat="1" x14ac:dyDescent="0.2">
      <c r="B152" s="17"/>
      <c r="C152" s="3"/>
    </row>
    <row r="153" spans="1:3" x14ac:dyDescent="0.2">
      <c r="C153" s="10"/>
    </row>
    <row r="154" spans="1:3" x14ac:dyDescent="0.2">
      <c r="C154" s="10"/>
    </row>
    <row r="155" spans="1:3" x14ac:dyDescent="0.2">
      <c r="C155" s="10"/>
    </row>
    <row r="156" spans="1:3" x14ac:dyDescent="0.2">
      <c r="C156" s="10"/>
    </row>
    <row r="157" spans="1:3" x14ac:dyDescent="0.2">
      <c r="C157" s="10"/>
    </row>
    <row r="158" spans="1:3" x14ac:dyDescent="0.2">
      <c r="C158" s="10"/>
    </row>
    <row r="159" spans="1:3" x14ac:dyDescent="0.2">
      <c r="C159" s="10"/>
    </row>
    <row r="160" spans="1:3" x14ac:dyDescent="0.2">
      <c r="C160" s="10"/>
    </row>
    <row r="161" spans="1:3" x14ac:dyDescent="0.2">
      <c r="B161" s="17"/>
      <c r="C161" s="7"/>
    </row>
    <row r="162" spans="1:3" x14ac:dyDescent="0.2">
      <c r="B162" s="17"/>
    </row>
    <row r="163" spans="1:3" x14ac:dyDescent="0.2">
      <c r="C163" s="7"/>
    </row>
    <row r="164" spans="1:3" x14ac:dyDescent="0.2">
      <c r="A164" s="5"/>
      <c r="B164" s="17"/>
    </row>
    <row r="166" spans="1:3" x14ac:dyDescent="0.2">
      <c r="C166" s="7"/>
    </row>
    <row r="167" spans="1:3" x14ac:dyDescent="0.2">
      <c r="A167" s="5"/>
      <c r="B167" s="17"/>
      <c r="C167" s="7"/>
    </row>
    <row r="168" spans="1:3" x14ac:dyDescent="0.2">
      <c r="A168" s="5"/>
      <c r="B168" s="17"/>
    </row>
    <row r="169" spans="1:3" x14ac:dyDescent="0.2">
      <c r="C169" s="7"/>
    </row>
    <row r="170" spans="1:3" x14ac:dyDescent="0.2">
      <c r="A170" s="5"/>
      <c r="B170" s="17"/>
      <c r="C170" s="10"/>
    </row>
    <row r="171" spans="1:3" x14ac:dyDescent="0.2">
      <c r="B171" s="15"/>
      <c r="C171" s="10"/>
    </row>
    <row r="172" spans="1:3" x14ac:dyDescent="0.2">
      <c r="B172" s="15"/>
      <c r="C172" s="10"/>
    </row>
    <row r="173" spans="1:3" x14ac:dyDescent="0.2">
      <c r="B173" s="15"/>
      <c r="C173" s="10"/>
    </row>
    <row r="174" spans="1:3" x14ac:dyDescent="0.2">
      <c r="B174" s="15"/>
      <c r="C174" s="10"/>
    </row>
    <row r="175" spans="1:3" x14ac:dyDescent="0.2">
      <c r="B175" s="15"/>
      <c r="C175" s="10"/>
    </row>
    <row r="176" spans="1:3" x14ac:dyDescent="0.2">
      <c r="B176" s="15"/>
      <c r="C176" s="10"/>
    </row>
    <row r="177" spans="1:3" x14ac:dyDescent="0.2">
      <c r="B177" s="15"/>
      <c r="C177" s="10"/>
    </row>
    <row r="178" spans="1:3" x14ac:dyDescent="0.2">
      <c r="B178" s="15"/>
      <c r="C178" s="10"/>
    </row>
    <row r="179" spans="1:3" x14ac:dyDescent="0.2">
      <c r="B179" s="15"/>
    </row>
    <row r="186" spans="1:3" x14ac:dyDescent="0.2">
      <c r="C186" s="7"/>
    </row>
    <row r="187" spans="1:3" x14ac:dyDescent="0.2">
      <c r="B187" s="17"/>
    </row>
    <row r="188" spans="1:3" x14ac:dyDescent="0.2">
      <c r="C188" s="7"/>
    </row>
    <row r="189" spans="1:3" x14ac:dyDescent="0.2">
      <c r="A189" s="5"/>
      <c r="B189" s="17"/>
    </row>
    <row r="192" spans="1:3" x14ac:dyDescent="0.2">
      <c r="C192" s="7"/>
    </row>
    <row r="194" spans="1:3" x14ac:dyDescent="0.2">
      <c r="C194" s="7"/>
    </row>
    <row r="195" spans="1:3" x14ac:dyDescent="0.2">
      <c r="A195" s="5"/>
      <c r="B195" s="17"/>
      <c r="C195" s="10"/>
    </row>
    <row r="196" spans="1:3" x14ac:dyDescent="0.2">
      <c r="B196" s="15"/>
    </row>
    <row r="197" spans="1:3" x14ac:dyDescent="0.2">
      <c r="C197" s="7"/>
    </row>
    <row r="198" spans="1:3" x14ac:dyDescent="0.2">
      <c r="A198" s="5"/>
      <c r="B198" s="17"/>
    </row>
    <row r="199" spans="1:3" x14ac:dyDescent="0.2">
      <c r="C199" s="7"/>
    </row>
    <row r="200" spans="1:3" x14ac:dyDescent="0.2">
      <c r="A200" s="5"/>
      <c r="B200" s="17"/>
    </row>
  </sheetData>
  <mergeCells count="2">
    <mergeCell ref="B107:D107"/>
    <mergeCell ref="A4:F4"/>
  </mergeCells>
  <phoneticPr fontId="0" type="noConversion"/>
  <pageMargins left="0.53" right="0.15" top="1.1023622047244095" bottom="1.1811023622047245" header="0.78740157480314965" footer="0.9055118110236221"/>
  <pageSetup paperSize="9" scale="98" orientation="portrait" verticalDpi="300" r:id="rId1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zoomScaleNormal="100" zoomScaleSheetLayoutView="100" workbookViewId="0">
      <selection activeCell="E34" sqref="E34"/>
    </sheetView>
  </sheetViews>
  <sheetFormatPr defaultRowHeight="13.5" x14ac:dyDescent="0.25"/>
  <cols>
    <col min="1" max="1" width="7.140625" style="155" customWidth="1"/>
    <col min="2" max="2" width="39.42578125" style="46" customWidth="1"/>
    <col min="3" max="3" width="17.140625" style="24" customWidth="1"/>
    <col min="4" max="4" width="16.140625" style="23" customWidth="1"/>
    <col min="5" max="5" width="1.85546875" style="23" customWidth="1"/>
    <col min="6" max="16384" width="9.140625" style="23"/>
  </cols>
  <sheetData>
    <row r="1" spans="1:5" ht="12.75" customHeight="1" x14ac:dyDescent="0.25">
      <c r="A1" s="169" t="s">
        <v>330</v>
      </c>
      <c r="C1" s="154"/>
    </row>
    <row r="2" spans="1:5" ht="13.5" customHeight="1" x14ac:dyDescent="0.25">
      <c r="A2" s="169" t="s">
        <v>321</v>
      </c>
      <c r="B2" s="156"/>
      <c r="C2" s="154"/>
    </row>
    <row r="3" spans="1:5" x14ac:dyDescent="0.25">
      <c r="B3" s="218" t="s">
        <v>234</v>
      </c>
      <c r="C3" s="219"/>
      <c r="D3" s="219"/>
    </row>
    <row r="4" spans="1:5" ht="24.75" customHeight="1" x14ac:dyDescent="0.2">
      <c r="A4" s="216" t="s">
        <v>287</v>
      </c>
      <c r="B4" s="217"/>
      <c r="C4" s="217"/>
      <c r="D4" s="217"/>
      <c r="E4" s="217"/>
    </row>
    <row r="5" spans="1:5" ht="12.75" x14ac:dyDescent="0.2">
      <c r="A5" s="217"/>
      <c r="B5" s="217"/>
      <c r="C5" s="217"/>
      <c r="D5" s="217"/>
      <c r="E5" s="217"/>
    </row>
    <row r="6" spans="1:5" x14ac:dyDescent="0.25">
      <c r="B6" s="157"/>
      <c r="C6" s="158"/>
    </row>
    <row r="7" spans="1:5" ht="29.25" customHeight="1" x14ac:dyDescent="0.25">
      <c r="A7" s="159" t="s">
        <v>235</v>
      </c>
      <c r="B7" s="220" t="s">
        <v>246</v>
      </c>
      <c r="C7" s="221"/>
      <c r="D7" s="221"/>
    </row>
    <row r="8" spans="1:5" ht="19.5" customHeight="1" x14ac:dyDescent="0.25">
      <c r="A8" s="159"/>
      <c r="B8" s="160"/>
      <c r="C8" s="161"/>
      <c r="D8" s="161"/>
    </row>
    <row r="9" spans="1:5" x14ac:dyDescent="0.25">
      <c r="A9" s="155" t="s">
        <v>6</v>
      </c>
      <c r="B9" s="162" t="s">
        <v>236</v>
      </c>
      <c r="C9" s="163" t="s">
        <v>318</v>
      </c>
      <c r="D9" s="163" t="s">
        <v>4</v>
      </c>
    </row>
    <row r="10" spans="1:5" x14ac:dyDescent="0.25">
      <c r="B10" s="164" t="s">
        <v>237</v>
      </c>
      <c r="C10" s="165"/>
      <c r="D10" s="24"/>
    </row>
    <row r="11" spans="1:5" x14ac:dyDescent="0.25">
      <c r="B11" s="23" t="s">
        <v>238</v>
      </c>
      <c r="C11" s="24">
        <v>70194</v>
      </c>
      <c r="D11" s="24">
        <f>SUM(C11:C11)</f>
        <v>70194</v>
      </c>
    </row>
    <row r="12" spans="1:5" x14ac:dyDescent="0.25">
      <c r="B12" s="23" t="s">
        <v>239</v>
      </c>
      <c r="D12" s="24">
        <f>SUM(C12:C12)</f>
        <v>0</v>
      </c>
    </row>
    <row r="13" spans="1:5" x14ac:dyDescent="0.25">
      <c r="B13" s="23" t="s">
        <v>240</v>
      </c>
      <c r="D13" s="24">
        <f>SUM(C13:C13)</f>
        <v>0</v>
      </c>
    </row>
    <row r="14" spans="1:5" x14ac:dyDescent="0.25">
      <c r="B14" s="23" t="s">
        <v>241</v>
      </c>
      <c r="C14" s="24">
        <f>C21-C11-C12-C13</f>
        <v>-8121</v>
      </c>
      <c r="D14" s="24">
        <f>SUM(C14:C14)</f>
        <v>-8121</v>
      </c>
    </row>
    <row r="15" spans="1:5" x14ac:dyDescent="0.25">
      <c r="B15" s="164" t="s">
        <v>4</v>
      </c>
      <c r="C15" s="165">
        <f>SUM(C11:C14)</f>
        <v>62073</v>
      </c>
      <c r="D15" s="165">
        <f>SUM(C15:C15)</f>
        <v>62073</v>
      </c>
    </row>
    <row r="16" spans="1:5" ht="9.75" customHeight="1" x14ac:dyDescent="0.25">
      <c r="B16" s="23"/>
      <c r="D16" s="24"/>
    </row>
    <row r="17" spans="1:4" x14ac:dyDescent="0.25">
      <c r="B17" s="164" t="s">
        <v>242</v>
      </c>
      <c r="C17" s="165"/>
      <c r="D17" s="24"/>
    </row>
    <row r="18" spans="1:4" x14ac:dyDescent="0.25">
      <c r="B18" s="23" t="s">
        <v>26</v>
      </c>
      <c r="D18" s="24"/>
    </row>
    <row r="19" spans="1:4" x14ac:dyDescent="0.25">
      <c r="B19" s="23" t="s">
        <v>102</v>
      </c>
      <c r="C19" s="24">
        <f>52095</f>
        <v>52095</v>
      </c>
      <c r="D19" s="24">
        <f>SUM(C19:C19)</f>
        <v>52095</v>
      </c>
    </row>
    <row r="20" spans="1:4" x14ac:dyDescent="0.25">
      <c r="B20" s="23" t="s">
        <v>243</v>
      </c>
      <c r="C20" s="24">
        <v>9978</v>
      </c>
      <c r="D20" s="24"/>
    </row>
    <row r="21" spans="1:4" x14ac:dyDescent="0.25">
      <c r="B21" s="164" t="s">
        <v>4</v>
      </c>
      <c r="C21" s="165">
        <f>SUM(C18:C20)</f>
        <v>62073</v>
      </c>
      <c r="D21" s="24">
        <f>SUM(C21:C21)</f>
        <v>62073</v>
      </c>
    </row>
    <row r="22" spans="1:4" x14ac:dyDescent="0.25">
      <c r="B22" s="164"/>
      <c r="C22" s="165"/>
      <c r="D22" s="24"/>
    </row>
    <row r="23" spans="1:4" ht="9" customHeight="1" x14ac:dyDescent="0.25">
      <c r="B23" s="166"/>
      <c r="C23" s="154"/>
    </row>
    <row r="24" spans="1:4" ht="27" x14ac:dyDescent="0.25">
      <c r="A24" s="155" t="s">
        <v>7</v>
      </c>
      <c r="B24" s="203" t="s">
        <v>314</v>
      </c>
      <c r="C24" s="163" t="s">
        <v>318</v>
      </c>
      <c r="D24" s="163" t="s">
        <v>4</v>
      </c>
    </row>
    <row r="25" spans="1:4" x14ac:dyDescent="0.25">
      <c r="B25" s="164" t="s">
        <v>237</v>
      </c>
      <c r="C25" s="165"/>
      <c r="D25" s="24"/>
    </row>
    <row r="26" spans="1:4" x14ac:dyDescent="0.25">
      <c r="B26" s="23" t="s">
        <v>238</v>
      </c>
      <c r="C26" s="24">
        <v>9113</v>
      </c>
      <c r="D26" s="24">
        <f>SUM(C26:C26)</f>
        <v>9113</v>
      </c>
    </row>
    <row r="27" spans="1:4" x14ac:dyDescent="0.25">
      <c r="B27" s="23" t="s">
        <v>239</v>
      </c>
      <c r="D27" s="24">
        <f>SUM(C27:C27)</f>
        <v>0</v>
      </c>
    </row>
    <row r="28" spans="1:4" x14ac:dyDescent="0.25">
      <c r="B28" s="23" t="s">
        <v>240</v>
      </c>
      <c r="D28" s="24">
        <f>SUM(C28:C28)</f>
        <v>0</v>
      </c>
    </row>
    <row r="29" spans="1:4" x14ac:dyDescent="0.25">
      <c r="B29" s="23" t="s">
        <v>241</v>
      </c>
      <c r="C29" s="24">
        <f>C36-C26-C27-C28</f>
        <v>-9000</v>
      </c>
      <c r="D29" s="24">
        <f>SUM(C29:C29)</f>
        <v>-9000</v>
      </c>
    </row>
    <row r="30" spans="1:4" x14ac:dyDescent="0.25">
      <c r="B30" s="164" t="s">
        <v>4</v>
      </c>
      <c r="C30" s="165">
        <f>SUM(C26:C29)</f>
        <v>113</v>
      </c>
      <c r="D30" s="165">
        <f>SUM(C30:C30)</f>
        <v>113</v>
      </c>
    </row>
    <row r="31" spans="1:4" ht="9.75" customHeight="1" x14ac:dyDescent="0.25">
      <c r="B31" s="23"/>
      <c r="D31" s="24"/>
    </row>
    <row r="32" spans="1:4" x14ac:dyDescent="0.25">
      <c r="B32" s="164" t="s">
        <v>242</v>
      </c>
      <c r="C32" s="165"/>
      <c r="D32" s="24"/>
    </row>
    <row r="33" spans="1:4" x14ac:dyDescent="0.25">
      <c r="B33" s="23" t="s">
        <v>26</v>
      </c>
      <c r="D33" s="24"/>
    </row>
    <row r="34" spans="1:4" x14ac:dyDescent="0.25">
      <c r="B34" s="23" t="s">
        <v>102</v>
      </c>
      <c r="D34" s="24">
        <f>SUM(C34:C34)</f>
        <v>0</v>
      </c>
    </row>
    <row r="35" spans="1:4" x14ac:dyDescent="0.25">
      <c r="B35" s="23" t="s">
        <v>243</v>
      </c>
      <c r="C35" s="24">
        <v>113</v>
      </c>
      <c r="D35" s="24">
        <f>SUM(C35:C35)</f>
        <v>113</v>
      </c>
    </row>
    <row r="36" spans="1:4" x14ac:dyDescent="0.25">
      <c r="B36" s="164" t="s">
        <v>4</v>
      </c>
      <c r="C36" s="165">
        <f>SUM(C33:C35)</f>
        <v>113</v>
      </c>
      <c r="D36" s="24">
        <f>SUM(C36:C36)</f>
        <v>113</v>
      </c>
    </row>
    <row r="37" spans="1:4" x14ac:dyDescent="0.25">
      <c r="B37" s="164"/>
      <c r="C37" s="165"/>
      <c r="D37" s="24"/>
    </row>
    <row r="38" spans="1:4" ht="40.5" x14ac:dyDescent="0.25">
      <c r="A38" s="155" t="s">
        <v>8</v>
      </c>
      <c r="B38" s="203" t="s">
        <v>315</v>
      </c>
      <c r="C38" s="163" t="s">
        <v>318</v>
      </c>
      <c r="D38" s="163" t="s">
        <v>4</v>
      </c>
    </row>
    <row r="39" spans="1:4" x14ac:dyDescent="0.25">
      <c r="B39" s="164" t="s">
        <v>237</v>
      </c>
      <c r="C39" s="165"/>
      <c r="D39" s="24"/>
    </row>
    <row r="40" spans="1:4" x14ac:dyDescent="0.25">
      <c r="B40" s="23" t="s">
        <v>238</v>
      </c>
      <c r="C40" s="24">
        <v>21996</v>
      </c>
      <c r="D40" s="24">
        <f>SUM(C40:C40)</f>
        <v>21996</v>
      </c>
    </row>
    <row r="41" spans="1:4" x14ac:dyDescent="0.25">
      <c r="B41" s="23" t="s">
        <v>239</v>
      </c>
      <c r="D41" s="24">
        <f>SUM(C41:C41)</f>
        <v>0</v>
      </c>
    </row>
    <row r="42" spans="1:4" x14ac:dyDescent="0.25">
      <c r="B42" s="23" t="s">
        <v>240</v>
      </c>
      <c r="D42" s="24">
        <f>SUM(C42:C42)</f>
        <v>0</v>
      </c>
    </row>
    <row r="43" spans="1:4" x14ac:dyDescent="0.25">
      <c r="B43" s="23" t="s">
        <v>241</v>
      </c>
      <c r="C43" s="24">
        <f>C50-C40-C41-C42</f>
        <v>0</v>
      </c>
      <c r="D43" s="24">
        <f>SUM(C43:C43)</f>
        <v>0</v>
      </c>
    </row>
    <row r="44" spans="1:4" x14ac:dyDescent="0.25">
      <c r="B44" s="164" t="s">
        <v>4</v>
      </c>
      <c r="C44" s="165">
        <f>SUM(C40:C43)</f>
        <v>21996</v>
      </c>
      <c r="D44" s="165">
        <f>SUM(C44:C44)</f>
        <v>21996</v>
      </c>
    </row>
    <row r="45" spans="1:4" ht="9.75" customHeight="1" x14ac:dyDescent="0.25">
      <c r="B45" s="23"/>
      <c r="D45" s="24"/>
    </row>
    <row r="46" spans="1:4" x14ac:dyDescent="0.25">
      <c r="B46" s="164" t="s">
        <v>242</v>
      </c>
      <c r="C46" s="165"/>
      <c r="D46" s="24"/>
    </row>
    <row r="47" spans="1:4" x14ac:dyDescent="0.25">
      <c r="B47" s="23" t="s">
        <v>26</v>
      </c>
      <c r="D47" s="24"/>
    </row>
    <row r="48" spans="1:4" x14ac:dyDescent="0.25">
      <c r="B48" s="23" t="s">
        <v>102</v>
      </c>
      <c r="D48" s="24">
        <f>SUM(C48:C48)</f>
        <v>0</v>
      </c>
    </row>
    <row r="49" spans="1:4" x14ac:dyDescent="0.25">
      <c r="B49" s="23" t="s">
        <v>243</v>
      </c>
      <c r="C49" s="24">
        <v>21996</v>
      </c>
      <c r="D49" s="24">
        <f>SUM(C49:C49)</f>
        <v>21996</v>
      </c>
    </row>
    <row r="50" spans="1:4" x14ac:dyDescent="0.25">
      <c r="B50" s="164" t="s">
        <v>4</v>
      </c>
      <c r="C50" s="165">
        <f>SUM(C47:C49)</f>
        <v>21996</v>
      </c>
      <c r="D50" s="24">
        <f>SUM(C50:C50)</f>
        <v>21996</v>
      </c>
    </row>
    <row r="52" spans="1:4" x14ac:dyDescent="0.25">
      <c r="A52" s="155" t="s">
        <v>9</v>
      </c>
      <c r="B52" s="162" t="s">
        <v>244</v>
      </c>
      <c r="C52" s="163" t="s">
        <v>318</v>
      </c>
      <c r="D52" s="163" t="s">
        <v>4</v>
      </c>
    </row>
    <row r="53" spans="1:4" x14ac:dyDescent="0.25">
      <c r="B53" s="164" t="s">
        <v>237</v>
      </c>
      <c r="C53" s="165"/>
      <c r="D53" s="24"/>
    </row>
    <row r="54" spans="1:4" x14ac:dyDescent="0.25">
      <c r="B54" s="23" t="s">
        <v>238</v>
      </c>
      <c r="C54" s="24">
        <v>4690</v>
      </c>
      <c r="D54" s="24">
        <f>SUM(C54:C54)</f>
        <v>4690</v>
      </c>
    </row>
    <row r="55" spans="1:4" x14ac:dyDescent="0.25">
      <c r="B55" s="23" t="s">
        <v>239</v>
      </c>
      <c r="D55" s="24">
        <f>SUM(C55:C55)</f>
        <v>0</v>
      </c>
    </row>
    <row r="56" spans="1:4" x14ac:dyDescent="0.25">
      <c r="B56" s="23" t="s">
        <v>240</v>
      </c>
      <c r="D56" s="24">
        <f>SUM(C56:C56)</f>
        <v>0</v>
      </c>
    </row>
    <row r="57" spans="1:4" x14ac:dyDescent="0.25">
      <c r="B57" s="23" t="s">
        <v>241</v>
      </c>
      <c r="C57" s="24">
        <f>C64-C54-C55-C56</f>
        <v>-3915</v>
      </c>
      <c r="D57" s="24">
        <f>SUM(C57:C57)</f>
        <v>-3915</v>
      </c>
    </row>
    <row r="58" spans="1:4" x14ac:dyDescent="0.25">
      <c r="B58" s="164" t="s">
        <v>4</v>
      </c>
      <c r="C58" s="165">
        <f>SUM(C54:C57)</f>
        <v>775</v>
      </c>
      <c r="D58" s="165">
        <f>SUM(C58:C58)</f>
        <v>775</v>
      </c>
    </row>
    <row r="59" spans="1:4" ht="9.75" customHeight="1" x14ac:dyDescent="0.25">
      <c r="B59" s="23"/>
      <c r="D59" s="24"/>
    </row>
    <row r="60" spans="1:4" x14ac:dyDescent="0.25">
      <c r="B60" s="164" t="s">
        <v>242</v>
      </c>
      <c r="C60" s="165"/>
      <c r="D60" s="24"/>
    </row>
    <row r="61" spans="1:4" x14ac:dyDescent="0.25">
      <c r="B61" s="23" t="s">
        <v>26</v>
      </c>
      <c r="D61" s="24"/>
    </row>
    <row r="62" spans="1:4" x14ac:dyDescent="0.25">
      <c r="B62" s="23" t="s">
        <v>102</v>
      </c>
      <c r="D62" s="24">
        <f>SUM(C62:C62)</f>
        <v>0</v>
      </c>
    </row>
    <row r="63" spans="1:4" x14ac:dyDescent="0.25">
      <c r="B63" s="23" t="s">
        <v>243</v>
      </c>
      <c r="C63" s="24">
        <v>775</v>
      </c>
      <c r="D63" s="24">
        <f>SUM(C63:C63)</f>
        <v>775</v>
      </c>
    </row>
    <row r="64" spans="1:4" x14ac:dyDescent="0.25">
      <c r="B64" s="164" t="s">
        <v>4</v>
      </c>
      <c r="C64" s="165">
        <f>SUM(C61:C63)</f>
        <v>775</v>
      </c>
      <c r="D64" s="24">
        <f>SUM(C64:C64)</f>
        <v>775</v>
      </c>
    </row>
    <row r="65" spans="1:12" x14ac:dyDescent="0.25">
      <c r="B65" s="164"/>
      <c r="C65" s="165"/>
      <c r="D65" s="24"/>
    </row>
    <row r="66" spans="1:12" x14ac:dyDescent="0.25">
      <c r="L66" s="23" t="s">
        <v>245</v>
      </c>
    </row>
    <row r="67" spans="1:12" x14ac:dyDescent="0.25">
      <c r="A67" s="155" t="s">
        <v>10</v>
      </c>
      <c r="B67" s="162" t="s">
        <v>247</v>
      </c>
      <c r="C67" s="163" t="s">
        <v>318</v>
      </c>
      <c r="D67" s="163" t="s">
        <v>4</v>
      </c>
    </row>
    <row r="68" spans="1:12" x14ac:dyDescent="0.25">
      <c r="B68" s="164" t="s">
        <v>237</v>
      </c>
      <c r="C68" s="165"/>
      <c r="D68" s="24"/>
    </row>
    <row r="69" spans="1:12" x14ac:dyDescent="0.25">
      <c r="B69" s="23" t="s">
        <v>238</v>
      </c>
      <c r="C69" s="24">
        <v>10120</v>
      </c>
      <c r="D69" s="24">
        <f>SUM(C69:C69)</f>
        <v>10120</v>
      </c>
    </row>
    <row r="70" spans="1:12" x14ac:dyDescent="0.25">
      <c r="B70" s="23" t="s">
        <v>239</v>
      </c>
      <c r="D70" s="24">
        <f>SUM(C70:C70)</f>
        <v>0</v>
      </c>
    </row>
    <row r="71" spans="1:12" x14ac:dyDescent="0.25">
      <c r="B71" s="23" t="s">
        <v>240</v>
      </c>
      <c r="D71" s="24">
        <f>SUM(C71:C71)</f>
        <v>0</v>
      </c>
    </row>
    <row r="72" spans="1:12" x14ac:dyDescent="0.25">
      <c r="B72" s="23" t="s">
        <v>241</v>
      </c>
      <c r="C72" s="24">
        <f>C79-C69-C70-C71</f>
        <v>0</v>
      </c>
      <c r="D72" s="24">
        <f>SUM(C72:C72)</f>
        <v>0</v>
      </c>
    </row>
    <row r="73" spans="1:12" x14ac:dyDescent="0.25">
      <c r="B73" s="164" t="s">
        <v>4</v>
      </c>
      <c r="C73" s="165">
        <f>SUM(C69:C72)</f>
        <v>10120</v>
      </c>
      <c r="D73" s="165">
        <f>SUM(C73:C73)</f>
        <v>10120</v>
      </c>
    </row>
    <row r="74" spans="1:12" ht="9.75" customHeight="1" x14ac:dyDescent="0.25">
      <c r="B74" s="23"/>
      <c r="D74" s="24"/>
    </row>
    <row r="75" spans="1:12" x14ac:dyDescent="0.25">
      <c r="B75" s="164" t="s">
        <v>242</v>
      </c>
      <c r="C75" s="165"/>
      <c r="D75" s="24"/>
    </row>
    <row r="76" spans="1:12" x14ac:dyDescent="0.25">
      <c r="B76" s="23" t="s">
        <v>26</v>
      </c>
      <c r="D76" s="24"/>
    </row>
    <row r="77" spans="1:12" x14ac:dyDescent="0.25">
      <c r="B77" s="23" t="s">
        <v>102</v>
      </c>
      <c r="D77" s="24">
        <f>SUM(C77:C77)</f>
        <v>0</v>
      </c>
    </row>
    <row r="78" spans="1:12" x14ac:dyDescent="0.25">
      <c r="B78" s="23" t="s">
        <v>243</v>
      </c>
      <c r="C78" s="24">
        <v>10120</v>
      </c>
      <c r="D78" s="24">
        <f>SUM(C78:C78)</f>
        <v>10120</v>
      </c>
    </row>
    <row r="79" spans="1:12" x14ac:dyDescent="0.25">
      <c r="B79" s="164" t="s">
        <v>4</v>
      </c>
      <c r="C79" s="165">
        <f>SUM(C76:C78)</f>
        <v>10120</v>
      </c>
      <c r="D79" s="24">
        <f>SUM(C79:C79)</f>
        <v>10120</v>
      </c>
    </row>
    <row r="80" spans="1:12" x14ac:dyDescent="0.25">
      <c r="B80" s="164"/>
      <c r="C80" s="165"/>
      <c r="D80" s="24"/>
    </row>
    <row r="81" spans="1:4" x14ac:dyDescent="0.25">
      <c r="A81" s="155">
        <v>6</v>
      </c>
      <c r="B81" s="162" t="s">
        <v>316</v>
      </c>
      <c r="C81" s="163" t="s">
        <v>318</v>
      </c>
      <c r="D81" s="163" t="s">
        <v>4</v>
      </c>
    </row>
    <row r="82" spans="1:4" x14ac:dyDescent="0.25">
      <c r="B82" s="164" t="s">
        <v>237</v>
      </c>
      <c r="C82" s="165"/>
      <c r="D82" s="24"/>
    </row>
    <row r="83" spans="1:4" x14ac:dyDescent="0.25">
      <c r="B83" s="23" t="s">
        <v>238</v>
      </c>
      <c r="C83" s="24">
        <v>39591</v>
      </c>
      <c r="D83" s="24">
        <f>SUM(C83:C83)</f>
        <v>39591</v>
      </c>
    </row>
    <row r="84" spans="1:4" x14ac:dyDescent="0.25">
      <c r="B84" s="23" t="s">
        <v>239</v>
      </c>
      <c r="D84" s="24">
        <f>SUM(C84:C84)</f>
        <v>0</v>
      </c>
    </row>
    <row r="85" spans="1:4" x14ac:dyDescent="0.25">
      <c r="B85" s="23" t="s">
        <v>317</v>
      </c>
      <c r="C85" s="24">
        <v>109</v>
      </c>
      <c r="D85" s="24">
        <f>SUM(C85:C85)</f>
        <v>109</v>
      </c>
    </row>
    <row r="86" spans="1:4" x14ac:dyDescent="0.25">
      <c r="B86" s="23" t="s">
        <v>241</v>
      </c>
      <c r="C86" s="24">
        <f>C93-C83-C84-C85</f>
        <v>30866</v>
      </c>
      <c r="D86" s="24">
        <f>SUM(C86:C86)</f>
        <v>30866</v>
      </c>
    </row>
    <row r="87" spans="1:4" x14ac:dyDescent="0.25">
      <c r="B87" s="164" t="s">
        <v>4</v>
      </c>
      <c r="C87" s="165">
        <f>SUM(C83:C86)</f>
        <v>70566</v>
      </c>
      <c r="D87" s="165">
        <f>SUM(C87:C87)</f>
        <v>70566</v>
      </c>
    </row>
    <row r="88" spans="1:4" ht="9.75" customHeight="1" x14ac:dyDescent="0.25">
      <c r="B88" s="23"/>
      <c r="D88" s="24"/>
    </row>
    <row r="89" spans="1:4" x14ac:dyDescent="0.25">
      <c r="B89" s="164" t="s">
        <v>242</v>
      </c>
      <c r="C89" s="165"/>
      <c r="D89" s="24"/>
    </row>
    <row r="90" spans="1:4" x14ac:dyDescent="0.25">
      <c r="B90" s="23" t="s">
        <v>26</v>
      </c>
      <c r="D90" s="24"/>
    </row>
    <row r="91" spans="1:4" x14ac:dyDescent="0.25">
      <c r="B91" s="23" t="s">
        <v>102</v>
      </c>
      <c r="C91" s="24">
        <v>62222</v>
      </c>
      <c r="D91" s="24">
        <f>SUM(C91:C91)</f>
        <v>62222</v>
      </c>
    </row>
    <row r="92" spans="1:4" x14ac:dyDescent="0.25">
      <c r="B92" s="23" t="s">
        <v>243</v>
      </c>
      <c r="C92" s="24">
        <f>1340+363+6641</f>
        <v>8344</v>
      </c>
      <c r="D92" s="24">
        <f>SUM(C92:C92)</f>
        <v>8344</v>
      </c>
    </row>
    <row r="93" spans="1:4" x14ac:dyDescent="0.25">
      <c r="B93" s="164" t="s">
        <v>4</v>
      </c>
      <c r="C93" s="165">
        <f>SUM(C90:C92)</f>
        <v>70566</v>
      </c>
      <c r="D93" s="24">
        <f>SUM(C93:C93)</f>
        <v>70566</v>
      </c>
    </row>
    <row r="95" spans="1:4" ht="27" x14ac:dyDescent="0.25">
      <c r="A95" s="155">
        <v>7</v>
      </c>
      <c r="B95" s="204" t="s">
        <v>322</v>
      </c>
      <c r="C95" s="163" t="s">
        <v>318</v>
      </c>
      <c r="D95" s="163" t="s">
        <v>4</v>
      </c>
    </row>
    <row r="96" spans="1:4" x14ac:dyDescent="0.25">
      <c r="B96" s="164" t="s">
        <v>237</v>
      </c>
      <c r="C96" s="165"/>
      <c r="D96" s="24"/>
    </row>
    <row r="97" spans="1:4" x14ac:dyDescent="0.25">
      <c r="B97" s="23" t="s">
        <v>238</v>
      </c>
      <c r="C97" s="24">
        <v>529</v>
      </c>
      <c r="D97" s="24">
        <f>SUM(C97:C97)</f>
        <v>529</v>
      </c>
    </row>
    <row r="98" spans="1:4" x14ac:dyDescent="0.25">
      <c r="B98" s="23" t="s">
        <v>239</v>
      </c>
      <c r="D98" s="24">
        <f>SUM(C98:C98)</f>
        <v>0</v>
      </c>
    </row>
    <row r="99" spans="1:4" x14ac:dyDescent="0.25">
      <c r="B99" s="23" t="s">
        <v>240</v>
      </c>
      <c r="D99" s="24">
        <f>SUM(C99:C99)</f>
        <v>0</v>
      </c>
    </row>
    <row r="100" spans="1:4" x14ac:dyDescent="0.25">
      <c r="B100" s="23" t="s">
        <v>241</v>
      </c>
      <c r="C100" s="24">
        <f>C107-C97-C98-C99</f>
        <v>-529</v>
      </c>
      <c r="D100" s="24">
        <f>SUM(C100:C100)</f>
        <v>-529</v>
      </c>
    </row>
    <row r="101" spans="1:4" x14ac:dyDescent="0.25">
      <c r="B101" s="164" t="s">
        <v>4</v>
      </c>
      <c r="C101" s="165">
        <f>SUM(C97:C100)</f>
        <v>0</v>
      </c>
      <c r="D101" s="165">
        <f>SUM(C101:C101)</f>
        <v>0</v>
      </c>
    </row>
    <row r="102" spans="1:4" ht="9.75" customHeight="1" x14ac:dyDescent="0.25">
      <c r="B102" s="23"/>
      <c r="D102" s="24"/>
    </row>
    <row r="103" spans="1:4" x14ac:dyDescent="0.25">
      <c r="B103" s="164" t="s">
        <v>242</v>
      </c>
      <c r="C103" s="165"/>
      <c r="D103" s="24"/>
    </row>
    <row r="104" spans="1:4" x14ac:dyDescent="0.25">
      <c r="B104" s="23" t="s">
        <v>26</v>
      </c>
      <c r="D104" s="24"/>
    </row>
    <row r="105" spans="1:4" x14ac:dyDescent="0.25">
      <c r="B105" s="23" t="s">
        <v>102</v>
      </c>
      <c r="D105" s="24">
        <f>SUM(C105:C105)</f>
        <v>0</v>
      </c>
    </row>
    <row r="106" spans="1:4" x14ac:dyDescent="0.25">
      <c r="B106" s="23" t="s">
        <v>243</v>
      </c>
      <c r="C106" s="24">
        <v>0</v>
      </c>
      <c r="D106" s="24">
        <f>SUM(C106:C106)</f>
        <v>0</v>
      </c>
    </row>
    <row r="107" spans="1:4" x14ac:dyDescent="0.25">
      <c r="B107" s="164" t="s">
        <v>4</v>
      </c>
      <c r="C107" s="165">
        <f>SUM(C104:C106)</f>
        <v>0</v>
      </c>
      <c r="D107" s="24">
        <f>SUM(C107:C107)</f>
        <v>0</v>
      </c>
    </row>
    <row r="108" spans="1:4" x14ac:dyDescent="0.25">
      <c r="B108" s="164"/>
      <c r="C108" s="165"/>
      <c r="D108" s="24"/>
    </row>
    <row r="109" spans="1:4" x14ac:dyDescent="0.25">
      <c r="A109" s="155">
        <v>8</v>
      </c>
      <c r="B109" s="204" t="s">
        <v>323</v>
      </c>
      <c r="C109" s="163" t="s">
        <v>318</v>
      </c>
      <c r="D109" s="163" t="s">
        <v>4</v>
      </c>
    </row>
    <row r="110" spans="1:4" x14ac:dyDescent="0.25">
      <c r="B110" s="164" t="s">
        <v>237</v>
      </c>
      <c r="C110" s="165"/>
      <c r="D110" s="24"/>
    </row>
    <row r="111" spans="1:4" x14ac:dyDescent="0.25">
      <c r="B111" s="23" t="s">
        <v>238</v>
      </c>
      <c r="C111" s="24">
        <v>1521</v>
      </c>
      <c r="D111" s="24">
        <f>SUM(C111:C111)</f>
        <v>1521</v>
      </c>
    </row>
    <row r="112" spans="1:4" x14ac:dyDescent="0.25">
      <c r="B112" s="23" t="s">
        <v>239</v>
      </c>
      <c r="D112" s="24">
        <f>SUM(C112:C112)</f>
        <v>0</v>
      </c>
    </row>
    <row r="113" spans="2:4" x14ac:dyDescent="0.25">
      <c r="B113" s="23" t="s">
        <v>240</v>
      </c>
      <c r="D113" s="24">
        <f>SUM(C113:C113)</f>
        <v>0</v>
      </c>
    </row>
    <row r="114" spans="2:4" x14ac:dyDescent="0.25">
      <c r="B114" s="23" t="s">
        <v>241</v>
      </c>
      <c r="C114" s="24">
        <f>C121-C111-C112-C113</f>
        <v>-1178</v>
      </c>
      <c r="D114" s="24">
        <f>SUM(C114:C114)</f>
        <v>-1178</v>
      </c>
    </row>
    <row r="115" spans="2:4" x14ac:dyDescent="0.25">
      <c r="B115" s="164" t="s">
        <v>4</v>
      </c>
      <c r="C115" s="165">
        <f>SUM(C111:C114)</f>
        <v>343</v>
      </c>
      <c r="D115" s="165">
        <f>SUM(C115:C115)</f>
        <v>343</v>
      </c>
    </row>
    <row r="116" spans="2:4" ht="9.75" customHeight="1" x14ac:dyDescent="0.25">
      <c r="B116" s="23"/>
      <c r="D116" s="24"/>
    </row>
    <row r="117" spans="2:4" x14ac:dyDescent="0.25">
      <c r="B117" s="164" t="s">
        <v>242</v>
      </c>
      <c r="C117" s="165"/>
      <c r="D117" s="24"/>
    </row>
    <row r="118" spans="2:4" x14ac:dyDescent="0.25">
      <c r="B118" s="23" t="s">
        <v>26</v>
      </c>
      <c r="D118" s="24"/>
    </row>
    <row r="119" spans="2:4" x14ac:dyDescent="0.25">
      <c r="B119" s="23" t="s">
        <v>102</v>
      </c>
      <c r="D119" s="24">
        <f>SUM(C119:C119)</f>
        <v>0</v>
      </c>
    </row>
    <row r="120" spans="2:4" x14ac:dyDescent="0.25">
      <c r="B120" s="23" t="s">
        <v>243</v>
      </c>
      <c r="C120" s="24">
        <v>343</v>
      </c>
      <c r="D120" s="24">
        <f>SUM(C120:C120)</f>
        <v>343</v>
      </c>
    </row>
    <row r="121" spans="2:4" x14ac:dyDescent="0.25">
      <c r="B121" s="164" t="s">
        <v>4</v>
      </c>
      <c r="C121" s="165">
        <f>SUM(C118:C120)</f>
        <v>343</v>
      </c>
      <c r="D121" s="24">
        <f>SUM(C121:C121)</f>
        <v>343</v>
      </c>
    </row>
  </sheetData>
  <mergeCells count="3">
    <mergeCell ref="A4:E5"/>
    <mergeCell ref="B3:D3"/>
    <mergeCell ref="B7:D7"/>
  </mergeCells>
  <phoneticPr fontId="0" type="noConversion"/>
  <pageMargins left="0.78740157480314965" right="0.78740157480314965" top="1.1023622047244095" bottom="1.1811023622047245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Címrend</vt:lpstr>
      <vt:lpstr>1. melléklet</vt:lpstr>
      <vt:lpstr>2. melléklet</vt:lpstr>
      <vt:lpstr>3. melléklet</vt:lpstr>
      <vt:lpstr>4. melléklet</vt:lpstr>
      <vt:lpstr>5. melléklet</vt:lpstr>
      <vt:lpstr>6. melléklet</vt:lpstr>
      <vt:lpstr>'2. melléklet'!Nyomtatási_cím</vt:lpstr>
      <vt:lpstr>'3. melléklet'!Nyomtatási_cím</vt:lpstr>
      <vt:lpstr>'5. melléklet'!Nyomtatási_cím</vt:lpstr>
      <vt:lpstr>'1. melléklet'!Nyomtatási_terület</vt:lpstr>
      <vt:lpstr>'6. melléklet'!Nyomtatási_terület</vt:lpstr>
      <vt:lpstr>Címrend!Nyomtatási_terület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Felhasználói név</dc:creator>
  <cp:lastModifiedBy>Otthon</cp:lastModifiedBy>
  <cp:lastPrinted>2016-06-02T08:20:38Z</cp:lastPrinted>
  <dcterms:created xsi:type="dcterms:W3CDTF">2007-11-15T07:32:30Z</dcterms:created>
  <dcterms:modified xsi:type="dcterms:W3CDTF">2016-08-26T07:59:20Z</dcterms:modified>
</cp:coreProperties>
</file>