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95" yWindow="-30" windowWidth="12120" windowHeight="6600" tabRatio="601" activeTab="11"/>
  </bookViews>
  <sheets>
    <sheet name="1" sheetId="94" r:id="rId1"/>
    <sheet name="2" sheetId="95" r:id="rId2"/>
    <sheet name="3" sheetId="92" r:id="rId3"/>
    <sheet name="4" sheetId="96" r:id="rId4"/>
    <sheet name="5" sheetId="49" r:id="rId5"/>
    <sheet name="6" sheetId="75" r:id="rId6"/>
    <sheet name="7" sheetId="86" r:id="rId7"/>
    <sheet name="8" sheetId="87" r:id="rId8"/>
    <sheet name="9" sheetId="85" r:id="rId9"/>
    <sheet name="10" sheetId="84" r:id="rId10"/>
    <sheet name="11" sheetId="74" r:id="rId11"/>
    <sheet name="12" sheetId="76" r:id="rId12"/>
    <sheet name="táj.1." sheetId="83" r:id="rId13"/>
    <sheet name="táj.2." sheetId="69" r:id="rId14"/>
  </sheets>
  <definedNames>
    <definedName name="_xlnm.Print_Titles" localSheetId="10">'11'!$1:$2</definedName>
    <definedName name="_xlnm.Print_Titles" localSheetId="11">'12'!$1:$2</definedName>
    <definedName name="_xlnm.Print_Titles" localSheetId="2">'3'!$1:$2</definedName>
    <definedName name="_xlnm.Print_Titles" localSheetId="6">'7'!$1:$2</definedName>
    <definedName name="_xlnm.Print_Titles" localSheetId="7">'8'!$1:$2</definedName>
    <definedName name="_xlnm.Print_Area" localSheetId="11">'12'!$A$1:$Q$142</definedName>
  </definedNames>
  <calcPr calcId="145621"/>
</workbook>
</file>

<file path=xl/calcChain.xml><?xml version="1.0" encoding="utf-8"?>
<calcChain xmlns="http://schemas.openxmlformats.org/spreadsheetml/2006/main">
  <c r="P40" i="76" l="1"/>
  <c r="P54" i="76"/>
  <c r="M26" i="87"/>
  <c r="O26" i="87"/>
  <c r="M27" i="87"/>
  <c r="O27" i="87" s="1"/>
  <c r="L26" i="87"/>
  <c r="L27" i="87"/>
  <c r="M16" i="87"/>
  <c r="O16" i="87"/>
  <c r="M17" i="87"/>
  <c r="O17" i="87"/>
  <c r="L17" i="87"/>
  <c r="L16" i="87"/>
  <c r="E14" i="96"/>
  <c r="D12" i="96"/>
  <c r="P49" i="76"/>
  <c r="P51" i="76"/>
  <c r="P47" i="76"/>
  <c r="P14" i="76"/>
  <c r="P32" i="76"/>
  <c r="P35" i="76"/>
  <c r="P74" i="76"/>
  <c r="P99" i="76"/>
  <c r="P100" i="76" s="1"/>
  <c r="I10" i="94"/>
  <c r="H23" i="94"/>
  <c r="H26" i="94" s="1"/>
  <c r="G23" i="94"/>
  <c r="I23" i="94" s="1"/>
  <c r="I24" i="94"/>
  <c r="I25" i="94"/>
  <c r="P20" i="76"/>
  <c r="M26" i="86"/>
  <c r="O26" i="86"/>
  <c r="L26" i="86"/>
  <c r="E27" i="95"/>
  <c r="D28" i="95"/>
  <c r="E26" i="95"/>
  <c r="C28" i="95"/>
  <c r="C20" i="83"/>
  <c r="D14" i="49" s="1"/>
  <c r="D20" i="83"/>
  <c r="E14" i="49"/>
  <c r="F20" i="83"/>
  <c r="G14" i="49" s="1"/>
  <c r="G20" i="83"/>
  <c r="H14" i="49"/>
  <c r="H20" i="83"/>
  <c r="I14" i="49" s="1"/>
  <c r="N37" i="74"/>
  <c r="G114" i="76"/>
  <c r="E11" i="75" s="1"/>
  <c r="H114" i="76"/>
  <c r="I114" i="76"/>
  <c r="G11" i="75" s="1"/>
  <c r="J114" i="76"/>
  <c r="K114" i="76"/>
  <c r="L114" i="76"/>
  <c r="M114" i="76"/>
  <c r="N114" i="76"/>
  <c r="O114" i="76"/>
  <c r="M11" i="75" s="1"/>
  <c r="F114" i="76"/>
  <c r="D11" i="75" s="1"/>
  <c r="P113" i="76"/>
  <c r="G93" i="76"/>
  <c r="H93" i="76"/>
  <c r="F9" i="75" s="1"/>
  <c r="I93" i="76"/>
  <c r="J93" i="76"/>
  <c r="K93" i="76"/>
  <c r="L93" i="76"/>
  <c r="M93" i="76"/>
  <c r="N93" i="76"/>
  <c r="O93" i="76"/>
  <c r="F93" i="76"/>
  <c r="P92" i="76"/>
  <c r="M215" i="86"/>
  <c r="O215" i="86" s="1"/>
  <c r="L215" i="86"/>
  <c r="P55" i="76"/>
  <c r="P58" i="76"/>
  <c r="N25" i="74"/>
  <c r="J84" i="76"/>
  <c r="H84" i="76"/>
  <c r="P83" i="76"/>
  <c r="P84" i="76" s="1"/>
  <c r="P137" i="76"/>
  <c r="P10" i="76"/>
  <c r="M238" i="86"/>
  <c r="L238" i="86"/>
  <c r="M75" i="86"/>
  <c r="O75" i="86"/>
  <c r="L75" i="86"/>
  <c r="L56" i="74"/>
  <c r="L10" i="49" s="1"/>
  <c r="G56" i="74"/>
  <c r="G10" i="49" s="1"/>
  <c r="E56" i="74"/>
  <c r="E10" i="49" s="1"/>
  <c r="D56" i="74"/>
  <c r="D10" i="49" s="1"/>
  <c r="L39" i="74"/>
  <c r="L8" i="49" s="1"/>
  <c r="G39" i="74"/>
  <c r="G8" i="49"/>
  <c r="E7" i="49"/>
  <c r="J28" i="74"/>
  <c r="J6" i="49" s="1"/>
  <c r="G28" i="74"/>
  <c r="G6" i="49" s="1"/>
  <c r="E28" i="74"/>
  <c r="E6" i="49" s="1"/>
  <c r="D28" i="74"/>
  <c r="D6" i="49" s="1"/>
  <c r="D16" i="74"/>
  <c r="D5" i="49" s="1"/>
  <c r="D8" i="74"/>
  <c r="D4" i="49" s="1"/>
  <c r="J139" i="76"/>
  <c r="H14" i="75" s="1"/>
  <c r="K128" i="76"/>
  <c r="J128" i="76"/>
  <c r="H13" i="75"/>
  <c r="H128" i="76"/>
  <c r="F13" i="75" s="1"/>
  <c r="G128" i="76"/>
  <c r="E13" i="75"/>
  <c r="F128" i="76"/>
  <c r="D13" i="75" s="1"/>
  <c r="L11" i="75"/>
  <c r="H11" i="75"/>
  <c r="F11" i="75"/>
  <c r="J100" i="76"/>
  <c r="H10" i="75"/>
  <c r="H100" i="76"/>
  <c r="F10" i="75"/>
  <c r="J245" i="86"/>
  <c r="K94" i="76"/>
  <c r="H9" i="75"/>
  <c r="J234" i="86"/>
  <c r="K85" i="76" s="1"/>
  <c r="K87" i="76" s="1"/>
  <c r="I8" i="75" s="1"/>
  <c r="K123" i="86"/>
  <c r="M78" i="76" s="1"/>
  <c r="M77" i="76"/>
  <c r="J159" i="87"/>
  <c r="L79" i="76" s="1"/>
  <c r="L77" i="76"/>
  <c r="J123" i="86"/>
  <c r="K78" i="76" s="1"/>
  <c r="K77" i="76"/>
  <c r="K80" i="76" s="1"/>
  <c r="I7" i="75" s="1"/>
  <c r="J77" i="76"/>
  <c r="H7" i="75"/>
  <c r="H77" i="76"/>
  <c r="F7" i="75"/>
  <c r="G77" i="76"/>
  <c r="E7" i="75"/>
  <c r="F77" i="76"/>
  <c r="D7" i="75"/>
  <c r="K48" i="87"/>
  <c r="M63" i="76"/>
  <c r="M61" i="76"/>
  <c r="J48" i="87"/>
  <c r="L63" i="76" s="1"/>
  <c r="P63" i="76" s="1"/>
  <c r="L61" i="76"/>
  <c r="J33" i="86"/>
  <c r="K62" i="76" s="1"/>
  <c r="K61" i="76"/>
  <c r="J61" i="76"/>
  <c r="H61" i="76"/>
  <c r="F6" i="75" s="1"/>
  <c r="G61" i="76"/>
  <c r="E6" i="75" s="1"/>
  <c r="F61" i="76"/>
  <c r="D6" i="75" s="1"/>
  <c r="J23" i="76"/>
  <c r="I23" i="76"/>
  <c r="G5" i="75" s="1"/>
  <c r="H23" i="76"/>
  <c r="F5" i="75" s="1"/>
  <c r="F12" i="75"/>
  <c r="E20" i="69"/>
  <c r="F16" i="75" s="1"/>
  <c r="M19" i="85"/>
  <c r="L19" i="85"/>
  <c r="H19" i="85"/>
  <c r="E19" i="85"/>
  <c r="M18" i="85"/>
  <c r="L18" i="85"/>
  <c r="M17" i="85"/>
  <c r="L17" i="85"/>
  <c r="M16" i="85"/>
  <c r="L16" i="85"/>
  <c r="F16" i="85"/>
  <c r="E16" i="85"/>
  <c r="M15" i="85"/>
  <c r="L15" i="85"/>
  <c r="J15" i="85"/>
  <c r="F15" i="85"/>
  <c r="E15" i="85"/>
  <c r="M14" i="85"/>
  <c r="L14" i="85"/>
  <c r="E14" i="85"/>
  <c r="M13" i="85"/>
  <c r="L13" i="85"/>
  <c r="E13" i="85"/>
  <c r="M12" i="85"/>
  <c r="L12" i="85"/>
  <c r="F12" i="85"/>
  <c r="E12" i="85"/>
  <c r="M11" i="85"/>
  <c r="L11" i="85"/>
  <c r="H11" i="85"/>
  <c r="F11" i="85"/>
  <c r="E11" i="85"/>
  <c r="M10" i="85"/>
  <c r="L10" i="85"/>
  <c r="M9" i="85"/>
  <c r="L9" i="85"/>
  <c r="E9" i="85"/>
  <c r="M8" i="85"/>
  <c r="L8" i="85"/>
  <c r="M7" i="85"/>
  <c r="L7" i="85"/>
  <c r="M6" i="85"/>
  <c r="L6" i="85"/>
  <c r="H6" i="85"/>
  <c r="M5" i="85"/>
  <c r="L5" i="85"/>
  <c r="F5" i="85"/>
  <c r="E5" i="85"/>
  <c r="M4" i="85"/>
  <c r="L4" i="85"/>
  <c r="F4" i="85"/>
  <c r="E4" i="85"/>
  <c r="M3" i="85"/>
  <c r="L3" i="85"/>
  <c r="E3" i="85"/>
  <c r="J19" i="84"/>
  <c r="I19" i="84"/>
  <c r="G19" i="84"/>
  <c r="F19" i="84"/>
  <c r="E19" i="84"/>
  <c r="G18" i="84"/>
  <c r="F18" i="84"/>
  <c r="E18" i="84"/>
  <c r="G17" i="84"/>
  <c r="F17" i="84"/>
  <c r="E17" i="84"/>
  <c r="K16" i="84"/>
  <c r="J16" i="84"/>
  <c r="I16" i="84"/>
  <c r="G16" i="84"/>
  <c r="F16" i="84"/>
  <c r="E16" i="84"/>
  <c r="K15" i="84"/>
  <c r="J15" i="84"/>
  <c r="I15" i="84"/>
  <c r="G15" i="84"/>
  <c r="F15" i="84"/>
  <c r="E15" i="84"/>
  <c r="G14" i="84"/>
  <c r="F14" i="84"/>
  <c r="E14" i="84"/>
  <c r="G13" i="84"/>
  <c r="F13" i="84"/>
  <c r="E13" i="84"/>
  <c r="J12" i="84"/>
  <c r="G12" i="84"/>
  <c r="F12" i="84"/>
  <c r="E12" i="84"/>
  <c r="J11" i="84"/>
  <c r="G11" i="84"/>
  <c r="F11" i="84"/>
  <c r="E11" i="84"/>
  <c r="J10" i="84"/>
  <c r="G10" i="84"/>
  <c r="F10" i="84"/>
  <c r="E10" i="84"/>
  <c r="J9" i="84"/>
  <c r="G9" i="84"/>
  <c r="F9" i="84"/>
  <c r="E9" i="84"/>
  <c r="J8" i="84"/>
  <c r="G8" i="84"/>
  <c r="F8" i="84"/>
  <c r="E8" i="84"/>
  <c r="J7" i="84"/>
  <c r="G7" i="84"/>
  <c r="F7" i="84"/>
  <c r="E7" i="84"/>
  <c r="K6" i="84"/>
  <c r="J6" i="84"/>
  <c r="G6" i="84"/>
  <c r="F6" i="84"/>
  <c r="E6" i="84"/>
  <c r="K5" i="84"/>
  <c r="J5" i="84"/>
  <c r="I5" i="84"/>
  <c r="G5" i="84"/>
  <c r="F5" i="84"/>
  <c r="E5" i="84"/>
  <c r="K4" i="84"/>
  <c r="J4" i="84"/>
  <c r="I4" i="84"/>
  <c r="G4" i="84"/>
  <c r="F4" i="84"/>
  <c r="E4" i="84"/>
  <c r="K3" i="84"/>
  <c r="J3" i="84"/>
  <c r="G3" i="84"/>
  <c r="F3" i="84"/>
  <c r="E3" i="84"/>
  <c r="I257" i="86"/>
  <c r="I258" i="86" s="1"/>
  <c r="H258" i="86"/>
  <c r="I250" i="86"/>
  <c r="I252" i="86"/>
  <c r="I237" i="86"/>
  <c r="I239" i="86"/>
  <c r="I240" i="86"/>
  <c r="I241" i="86"/>
  <c r="I242" i="86"/>
  <c r="I243" i="86"/>
  <c r="I244" i="86"/>
  <c r="I127" i="86"/>
  <c r="I128" i="86"/>
  <c r="I129" i="86"/>
  <c r="I130" i="86"/>
  <c r="I131" i="86"/>
  <c r="I132" i="86"/>
  <c r="I133" i="86"/>
  <c r="I134" i="86"/>
  <c r="I135" i="86"/>
  <c r="I136" i="86"/>
  <c r="I137" i="86"/>
  <c r="I138" i="86"/>
  <c r="I139" i="86"/>
  <c r="I140" i="86"/>
  <c r="I141" i="86"/>
  <c r="I142" i="86"/>
  <c r="I143" i="86"/>
  <c r="I144" i="86"/>
  <c r="I145" i="86"/>
  <c r="I146" i="86"/>
  <c r="I147" i="86"/>
  <c r="I148" i="86"/>
  <c r="I149" i="86"/>
  <c r="I150" i="86"/>
  <c r="I151" i="86"/>
  <c r="I152" i="86"/>
  <c r="I153" i="86"/>
  <c r="I154" i="86"/>
  <c r="I155" i="86"/>
  <c r="I156" i="86"/>
  <c r="I157" i="86"/>
  <c r="I158" i="86"/>
  <c r="I159" i="86"/>
  <c r="I160" i="86"/>
  <c r="I161" i="86"/>
  <c r="I162" i="86"/>
  <c r="I163" i="86"/>
  <c r="I164" i="86"/>
  <c r="I165" i="86"/>
  <c r="I166" i="86"/>
  <c r="I167" i="86"/>
  <c r="I168" i="86"/>
  <c r="I169" i="86"/>
  <c r="I170" i="86"/>
  <c r="I171" i="86"/>
  <c r="I172" i="86"/>
  <c r="I173" i="86"/>
  <c r="I174" i="86"/>
  <c r="I175" i="86"/>
  <c r="I176" i="86"/>
  <c r="I177" i="86"/>
  <c r="I178" i="86"/>
  <c r="I179" i="86"/>
  <c r="I180" i="86"/>
  <c r="I181" i="86"/>
  <c r="I182" i="86"/>
  <c r="I183" i="86"/>
  <c r="I184" i="86"/>
  <c r="I185" i="86"/>
  <c r="I186" i="86"/>
  <c r="I187" i="86"/>
  <c r="I188" i="86"/>
  <c r="I189" i="86"/>
  <c r="I190" i="86"/>
  <c r="I191" i="86"/>
  <c r="I192" i="86"/>
  <c r="I193" i="86"/>
  <c r="I194" i="86"/>
  <c r="I195" i="86"/>
  <c r="I196" i="86"/>
  <c r="I197" i="86"/>
  <c r="I198" i="86"/>
  <c r="I199" i="86"/>
  <c r="I200" i="86"/>
  <c r="I201" i="86"/>
  <c r="I202" i="86"/>
  <c r="I203" i="86"/>
  <c r="I204" i="86"/>
  <c r="I205" i="86"/>
  <c r="I206" i="86"/>
  <c r="I207" i="86"/>
  <c r="I208" i="86"/>
  <c r="I209" i="86"/>
  <c r="I210" i="86"/>
  <c r="I211" i="86"/>
  <c r="I212" i="86"/>
  <c r="I213" i="86"/>
  <c r="I214" i="86"/>
  <c r="I216" i="86"/>
  <c r="I217" i="86"/>
  <c r="I218" i="86"/>
  <c r="I219" i="86"/>
  <c r="I220" i="86"/>
  <c r="I221" i="86"/>
  <c r="I222" i="86"/>
  <c r="I223" i="86"/>
  <c r="I224" i="86"/>
  <c r="I225" i="86"/>
  <c r="I226" i="86"/>
  <c r="I227" i="86"/>
  <c r="I228" i="86"/>
  <c r="I229" i="86"/>
  <c r="I230" i="86"/>
  <c r="I231" i="86"/>
  <c r="I232" i="86"/>
  <c r="I233" i="86"/>
  <c r="I37" i="86"/>
  <c r="I38" i="86"/>
  <c r="I39" i="86"/>
  <c r="I40" i="86"/>
  <c r="I41" i="86"/>
  <c r="I42" i="86"/>
  <c r="I43" i="86"/>
  <c r="I44" i="86"/>
  <c r="I45" i="86"/>
  <c r="I46" i="86"/>
  <c r="I47" i="86"/>
  <c r="I48" i="86"/>
  <c r="I49" i="86"/>
  <c r="I50" i="86"/>
  <c r="I51" i="86"/>
  <c r="I52" i="86"/>
  <c r="I53" i="86"/>
  <c r="I54" i="86"/>
  <c r="I55" i="86"/>
  <c r="I56" i="86"/>
  <c r="I57" i="86"/>
  <c r="I58" i="86"/>
  <c r="I59" i="86"/>
  <c r="I60" i="86"/>
  <c r="I61" i="86"/>
  <c r="I62" i="86"/>
  <c r="I63" i="86"/>
  <c r="I64" i="86"/>
  <c r="I65" i="86"/>
  <c r="I66" i="86"/>
  <c r="I67" i="86"/>
  <c r="I68" i="86"/>
  <c r="I69" i="86"/>
  <c r="I70" i="86"/>
  <c r="I71" i="86"/>
  <c r="I72" i="86"/>
  <c r="I73" i="86"/>
  <c r="I74" i="86"/>
  <c r="I76" i="86"/>
  <c r="I77" i="86"/>
  <c r="I78" i="86"/>
  <c r="I79" i="86"/>
  <c r="I80" i="86"/>
  <c r="I81" i="86"/>
  <c r="I82" i="86"/>
  <c r="I83" i="86"/>
  <c r="I84" i="86"/>
  <c r="I85" i="86"/>
  <c r="I86" i="86"/>
  <c r="I87" i="86"/>
  <c r="I88" i="86"/>
  <c r="I89" i="86"/>
  <c r="I90" i="86"/>
  <c r="I91" i="86"/>
  <c r="I92" i="86"/>
  <c r="I93" i="86"/>
  <c r="I94" i="86"/>
  <c r="I95" i="86"/>
  <c r="I96" i="86"/>
  <c r="I97" i="86"/>
  <c r="I98" i="86"/>
  <c r="I99" i="86"/>
  <c r="I100" i="86"/>
  <c r="I101" i="86"/>
  <c r="I102" i="86"/>
  <c r="I103" i="86"/>
  <c r="I104" i="86"/>
  <c r="I105" i="86"/>
  <c r="I106" i="86"/>
  <c r="I107" i="86"/>
  <c r="I108" i="86"/>
  <c r="I109" i="86"/>
  <c r="I110" i="86"/>
  <c r="I111" i="86"/>
  <c r="I112" i="86"/>
  <c r="I113" i="86"/>
  <c r="I114" i="86"/>
  <c r="I115" i="86"/>
  <c r="I116" i="86"/>
  <c r="I117" i="86"/>
  <c r="I118" i="86"/>
  <c r="I119" i="86"/>
  <c r="I120" i="86"/>
  <c r="I121" i="86"/>
  <c r="I122" i="86"/>
  <c r="I9" i="86"/>
  <c r="I10" i="86"/>
  <c r="I11" i="86"/>
  <c r="I12" i="86"/>
  <c r="I13" i="86"/>
  <c r="I14" i="86"/>
  <c r="I15" i="86"/>
  <c r="I16" i="86"/>
  <c r="I17" i="86"/>
  <c r="I18" i="86"/>
  <c r="I19" i="86"/>
  <c r="I20" i="86"/>
  <c r="I21" i="86"/>
  <c r="I22" i="86"/>
  <c r="I23" i="86"/>
  <c r="I24" i="86"/>
  <c r="I25" i="86"/>
  <c r="I27" i="86"/>
  <c r="I28" i="86"/>
  <c r="I29" i="86"/>
  <c r="I30" i="86"/>
  <c r="I31" i="86"/>
  <c r="I32" i="86"/>
  <c r="I8" i="86"/>
  <c r="I6" i="86"/>
  <c r="I5" i="86"/>
  <c r="L11" i="86"/>
  <c r="L12" i="86"/>
  <c r="L13" i="86"/>
  <c r="L14" i="86"/>
  <c r="L15" i="86"/>
  <c r="L16" i="86"/>
  <c r="L17" i="86"/>
  <c r="L18" i="86"/>
  <c r="L19" i="86"/>
  <c r="L20" i="86"/>
  <c r="L21" i="86"/>
  <c r="L22" i="86"/>
  <c r="L23" i="86"/>
  <c r="L24" i="86"/>
  <c r="L25" i="86"/>
  <c r="L27" i="86"/>
  <c r="L28" i="86"/>
  <c r="L29" i="86"/>
  <c r="L30" i="86"/>
  <c r="L31" i="86"/>
  <c r="L32" i="86"/>
  <c r="H189" i="87"/>
  <c r="I189" i="87"/>
  <c r="J189" i="87"/>
  <c r="K189" i="87"/>
  <c r="M116" i="76" s="1"/>
  <c r="L188" i="87"/>
  <c r="L189" i="87"/>
  <c r="M188" i="87"/>
  <c r="M189" i="87" s="1"/>
  <c r="N188" i="87"/>
  <c r="N189" i="87" s="1"/>
  <c r="H185" i="87"/>
  <c r="I185" i="87"/>
  <c r="J185" i="87"/>
  <c r="K185" i="87"/>
  <c r="M95" i="76" s="1"/>
  <c r="P95" i="76" s="1"/>
  <c r="L184" i="87"/>
  <c r="L182" i="87"/>
  <c r="L183" i="87"/>
  <c r="L185" i="87" s="1"/>
  <c r="M182" i="87"/>
  <c r="M185" i="87" s="1"/>
  <c r="M183" i="87"/>
  <c r="N184" i="87"/>
  <c r="O184" i="87" s="1"/>
  <c r="N182" i="87"/>
  <c r="N183" i="87"/>
  <c r="O183" i="87" s="1"/>
  <c r="H179" i="87"/>
  <c r="I179" i="87"/>
  <c r="J179" i="87"/>
  <c r="L86" i="76"/>
  <c r="L87" i="76" s="1"/>
  <c r="J8" i="75" s="1"/>
  <c r="K179" i="87"/>
  <c r="M86" i="76" s="1"/>
  <c r="L162" i="87"/>
  <c r="L163" i="87"/>
  <c r="L164" i="87"/>
  <c r="L166" i="87"/>
  <c r="L168" i="87"/>
  <c r="L169" i="87"/>
  <c r="L170" i="87"/>
  <c r="L172" i="87"/>
  <c r="L174" i="87"/>
  <c r="L175" i="87"/>
  <c r="L176" i="87"/>
  <c r="L178" i="87"/>
  <c r="M162" i="87"/>
  <c r="M163" i="87"/>
  <c r="M164" i="87"/>
  <c r="M166" i="87"/>
  <c r="O166" i="87" s="1"/>
  <c r="M168" i="87"/>
  <c r="O168" i="87" s="1"/>
  <c r="M169" i="87"/>
  <c r="M170" i="87"/>
  <c r="O170" i="87" s="1"/>
  <c r="M172" i="87"/>
  <c r="M174" i="87"/>
  <c r="M175" i="87"/>
  <c r="M176" i="87"/>
  <c r="O176" i="87" s="1"/>
  <c r="M178" i="87"/>
  <c r="N169" i="87"/>
  <c r="O172" i="87"/>
  <c r="N175" i="87"/>
  <c r="N176" i="87"/>
  <c r="N162" i="87"/>
  <c r="N163" i="87"/>
  <c r="N164" i="87"/>
  <c r="N168" i="87"/>
  <c r="N170" i="87"/>
  <c r="N174" i="87"/>
  <c r="N178" i="87"/>
  <c r="O178" i="87" s="1"/>
  <c r="H159" i="87"/>
  <c r="I159" i="87"/>
  <c r="K159" i="87"/>
  <c r="M79" i="76" s="1"/>
  <c r="L51" i="87"/>
  <c r="L52" i="87"/>
  <c r="L53" i="87"/>
  <c r="L54" i="87"/>
  <c r="L55" i="87"/>
  <c r="L56" i="87"/>
  <c r="L57" i="87"/>
  <c r="L58" i="87"/>
  <c r="L60" i="87"/>
  <c r="L61" i="87"/>
  <c r="L62" i="87"/>
  <c r="L63" i="87"/>
  <c r="L64" i="87"/>
  <c r="L65" i="87"/>
  <c r="L66" i="87"/>
  <c r="L67" i="87"/>
  <c r="L68" i="87"/>
  <c r="L69" i="87"/>
  <c r="L70" i="87"/>
  <c r="L71" i="87"/>
  <c r="L72" i="87"/>
  <c r="L73" i="87"/>
  <c r="L74" i="87"/>
  <c r="L75" i="87"/>
  <c r="L76" i="87"/>
  <c r="L77" i="87"/>
  <c r="L78" i="87"/>
  <c r="L79" i="87"/>
  <c r="L80" i="87"/>
  <c r="L81" i="87"/>
  <c r="L82" i="87"/>
  <c r="L83" i="87"/>
  <c r="L84" i="87"/>
  <c r="L85" i="87"/>
  <c r="L86" i="87"/>
  <c r="L87" i="87"/>
  <c r="L88" i="87"/>
  <c r="L89" i="87"/>
  <c r="L90" i="87"/>
  <c r="L91" i="87"/>
  <c r="L92" i="87"/>
  <c r="L93" i="87"/>
  <c r="L94" i="87"/>
  <c r="L95" i="87"/>
  <c r="L96" i="87"/>
  <c r="L97" i="87"/>
  <c r="L98" i="87"/>
  <c r="L99" i="87"/>
  <c r="L100" i="87"/>
  <c r="L101" i="87"/>
  <c r="L102" i="87"/>
  <c r="L103" i="87"/>
  <c r="L104" i="87"/>
  <c r="L105" i="87"/>
  <c r="L106" i="87"/>
  <c r="L107" i="87"/>
  <c r="L108" i="87"/>
  <c r="L109" i="87"/>
  <c r="L110" i="87"/>
  <c r="L111" i="87"/>
  <c r="L112" i="87"/>
  <c r="L113" i="87"/>
  <c r="L114" i="87"/>
  <c r="L115" i="87"/>
  <c r="L116" i="87"/>
  <c r="L117" i="87"/>
  <c r="L118" i="87"/>
  <c r="L119" i="87"/>
  <c r="L120" i="87"/>
  <c r="L121" i="87"/>
  <c r="L122" i="87"/>
  <c r="L123" i="87"/>
  <c r="L124" i="87"/>
  <c r="L125" i="87"/>
  <c r="L126" i="87"/>
  <c r="L127" i="87"/>
  <c r="L128" i="87"/>
  <c r="L129" i="87"/>
  <c r="L130" i="87"/>
  <c r="L131" i="87"/>
  <c r="L132" i="87"/>
  <c r="L133" i="87"/>
  <c r="L135" i="87"/>
  <c r="L136" i="87"/>
  <c r="L137" i="87"/>
  <c r="L138" i="87"/>
  <c r="L139" i="87"/>
  <c r="L140" i="87"/>
  <c r="L141" i="87"/>
  <c r="L142" i="87"/>
  <c r="L143" i="87"/>
  <c r="L144" i="87"/>
  <c r="L146" i="87"/>
  <c r="L147" i="87"/>
  <c r="L148" i="87"/>
  <c r="L149" i="87"/>
  <c r="L150" i="87"/>
  <c r="L151" i="87"/>
  <c r="L153" i="87"/>
  <c r="L154" i="87"/>
  <c r="L155" i="87"/>
  <c r="L156" i="87"/>
  <c r="L158" i="87"/>
  <c r="M51" i="87"/>
  <c r="M52" i="87"/>
  <c r="O52" i="87" s="1"/>
  <c r="M53" i="87"/>
  <c r="M54" i="87"/>
  <c r="M55" i="87"/>
  <c r="M56" i="87"/>
  <c r="M57" i="87"/>
  <c r="M58" i="87"/>
  <c r="M60" i="87"/>
  <c r="M61" i="87"/>
  <c r="O61" i="87" s="1"/>
  <c r="M62" i="87"/>
  <c r="M63" i="87"/>
  <c r="M64" i="87"/>
  <c r="M65" i="87"/>
  <c r="M66" i="87"/>
  <c r="M67" i="87"/>
  <c r="M68" i="87"/>
  <c r="M69" i="87"/>
  <c r="O69" i="87" s="1"/>
  <c r="M70" i="87"/>
  <c r="M71" i="87"/>
  <c r="M72" i="87"/>
  <c r="M73" i="87"/>
  <c r="M74" i="87"/>
  <c r="M75" i="87"/>
  <c r="M76" i="87"/>
  <c r="M77" i="87"/>
  <c r="O77" i="87" s="1"/>
  <c r="M78" i="87"/>
  <c r="M79" i="87"/>
  <c r="M80" i="87"/>
  <c r="M81" i="87"/>
  <c r="M82" i="87"/>
  <c r="M83" i="87"/>
  <c r="M84" i="87"/>
  <c r="M85" i="87"/>
  <c r="O85" i="87" s="1"/>
  <c r="M86" i="87"/>
  <c r="M87" i="87"/>
  <c r="M88" i="87"/>
  <c r="M89" i="87"/>
  <c r="M90" i="87"/>
  <c r="M91" i="87"/>
  <c r="M92" i="87"/>
  <c r="M93" i="87"/>
  <c r="O93" i="87" s="1"/>
  <c r="M94" i="87"/>
  <c r="M95" i="87"/>
  <c r="M96" i="87"/>
  <c r="M97" i="87"/>
  <c r="M98" i="87"/>
  <c r="M99" i="87"/>
  <c r="M100" i="87"/>
  <c r="M101" i="87"/>
  <c r="M102" i="87"/>
  <c r="M103" i="87"/>
  <c r="M104" i="87"/>
  <c r="M105" i="87"/>
  <c r="M106" i="87"/>
  <c r="M107" i="87"/>
  <c r="M108" i="87"/>
  <c r="M109" i="87"/>
  <c r="O109" i="87" s="1"/>
  <c r="M110" i="87"/>
  <c r="M111" i="87"/>
  <c r="M112" i="87"/>
  <c r="M113" i="87"/>
  <c r="M114" i="87"/>
  <c r="M115" i="87"/>
  <c r="M116" i="87"/>
  <c r="M117" i="87"/>
  <c r="O117" i="87" s="1"/>
  <c r="M118" i="87"/>
  <c r="M119" i="87"/>
  <c r="M120" i="87"/>
  <c r="M121" i="87"/>
  <c r="M122" i="87"/>
  <c r="M123" i="87"/>
  <c r="M124" i="87"/>
  <c r="M125" i="87"/>
  <c r="M126" i="87"/>
  <c r="M127" i="87"/>
  <c r="M128" i="87"/>
  <c r="M129" i="87"/>
  <c r="O129" i="87" s="1"/>
  <c r="M130" i="87"/>
  <c r="M131" i="87"/>
  <c r="M132" i="87"/>
  <c r="M133" i="87"/>
  <c r="O133" i="87" s="1"/>
  <c r="M135" i="87"/>
  <c r="M136" i="87"/>
  <c r="M137" i="87"/>
  <c r="M138" i="87"/>
  <c r="M139" i="87"/>
  <c r="M140" i="87"/>
  <c r="M141" i="87"/>
  <c r="M142" i="87"/>
  <c r="M143" i="87"/>
  <c r="M144" i="87"/>
  <c r="M146" i="87"/>
  <c r="M147" i="87"/>
  <c r="O147" i="87" s="1"/>
  <c r="M148" i="87"/>
  <c r="M149" i="87"/>
  <c r="M150" i="87"/>
  <c r="O150" i="87" s="1"/>
  <c r="M151" i="87"/>
  <c r="O151" i="87" s="1"/>
  <c r="M153" i="87"/>
  <c r="M154" i="87"/>
  <c r="M155" i="87"/>
  <c r="M156" i="87"/>
  <c r="M158" i="87"/>
  <c r="N55" i="87"/>
  <c r="N60" i="87"/>
  <c r="N64" i="87"/>
  <c r="N68" i="87"/>
  <c r="N72" i="87"/>
  <c r="N76" i="87"/>
  <c r="N80" i="87"/>
  <c r="N84" i="87"/>
  <c r="N88" i="87"/>
  <c r="N92" i="87"/>
  <c r="N96" i="87"/>
  <c r="N100" i="87"/>
  <c r="N104" i="87"/>
  <c r="N108" i="87"/>
  <c r="N112" i="87"/>
  <c r="N116" i="87"/>
  <c r="O120" i="87"/>
  <c r="N128" i="87"/>
  <c r="N137" i="87"/>
  <c r="N146" i="87"/>
  <c r="N155" i="87"/>
  <c r="O155" i="87"/>
  <c r="N51" i="87"/>
  <c r="N52" i="87"/>
  <c r="N53" i="87"/>
  <c r="N54" i="87"/>
  <c r="N56" i="87"/>
  <c r="N57" i="87"/>
  <c r="N58" i="87"/>
  <c r="O58" i="87" s="1"/>
  <c r="N61" i="87"/>
  <c r="N62" i="87"/>
  <c r="N63" i="87"/>
  <c r="N65" i="87"/>
  <c r="N66" i="87"/>
  <c r="N67" i="87"/>
  <c r="N69" i="87"/>
  <c r="N70" i="87"/>
  <c r="N71" i="87"/>
  <c r="O71" i="87" s="1"/>
  <c r="N73" i="87"/>
  <c r="N74" i="87"/>
  <c r="N75" i="87"/>
  <c r="O75" i="87" s="1"/>
  <c r="N77" i="87"/>
  <c r="N78" i="87"/>
  <c r="N79" i="87"/>
  <c r="N81" i="87"/>
  <c r="N82" i="87"/>
  <c r="N83" i="87"/>
  <c r="N85" i="87"/>
  <c r="N86" i="87"/>
  <c r="N87" i="87"/>
  <c r="O87" i="87" s="1"/>
  <c r="N89" i="87"/>
  <c r="N90" i="87"/>
  <c r="N91" i="87"/>
  <c r="O91" i="87" s="1"/>
  <c r="N93" i="87"/>
  <c r="N94" i="87"/>
  <c r="N95" i="87"/>
  <c r="O95" i="87" s="1"/>
  <c r="N97" i="87"/>
  <c r="N98" i="87"/>
  <c r="N99" i="87"/>
  <c r="N101" i="87"/>
  <c r="N102" i="87"/>
  <c r="N103" i="87"/>
  <c r="O103" i="87" s="1"/>
  <c r="N105" i="87"/>
  <c r="N106" i="87"/>
  <c r="N107" i="87"/>
  <c r="O107" i="87" s="1"/>
  <c r="N109" i="87"/>
  <c r="N110" i="87"/>
  <c r="N111" i="87"/>
  <c r="N113" i="87"/>
  <c r="N114" i="87"/>
  <c r="N115" i="87"/>
  <c r="N117" i="87"/>
  <c r="N118" i="87"/>
  <c r="N119" i="87"/>
  <c r="O119" i="87" s="1"/>
  <c r="N121" i="87"/>
  <c r="N122" i="87"/>
  <c r="N123" i="87"/>
  <c r="N124" i="87"/>
  <c r="O124" i="87" s="1"/>
  <c r="N125" i="87"/>
  <c r="N126" i="87"/>
  <c r="N127" i="87"/>
  <c r="O127" i="87" s="1"/>
  <c r="N129" i="87"/>
  <c r="N130" i="87"/>
  <c r="N131" i="87"/>
  <c r="O131" i="87" s="1"/>
  <c r="N132" i="87"/>
  <c r="N133" i="87"/>
  <c r="N135" i="87"/>
  <c r="N136" i="87"/>
  <c r="N138" i="87"/>
  <c r="N139" i="87"/>
  <c r="N140" i="87"/>
  <c r="N141" i="87"/>
  <c r="O141" i="87" s="1"/>
  <c r="N142" i="87"/>
  <c r="N143" i="87"/>
  <c r="N144" i="87"/>
  <c r="N147" i="87"/>
  <c r="N148" i="87"/>
  <c r="N149" i="87"/>
  <c r="O149" i="87" s="1"/>
  <c r="N150" i="87"/>
  <c r="N151" i="87"/>
  <c r="N153" i="87"/>
  <c r="N154" i="87"/>
  <c r="O154" i="87" s="1"/>
  <c r="N156" i="87"/>
  <c r="N158" i="87"/>
  <c r="O63" i="87"/>
  <c r="O67" i="87"/>
  <c r="O79" i="87"/>
  <c r="O83" i="87"/>
  <c r="O99" i="87"/>
  <c r="O111" i="87"/>
  <c r="O115" i="87"/>
  <c r="O135" i="87"/>
  <c r="O101" i="87"/>
  <c r="O123" i="87"/>
  <c r="O136" i="87"/>
  <c r="O140" i="87"/>
  <c r="O144" i="87"/>
  <c r="L7" i="87"/>
  <c r="L8" i="87"/>
  <c r="L9" i="87"/>
  <c r="L10" i="87"/>
  <c r="L11" i="87"/>
  <c r="L12" i="87"/>
  <c r="L13" i="87"/>
  <c r="L14" i="87"/>
  <c r="L15" i="87"/>
  <c r="L19" i="87"/>
  <c r="L20" i="87"/>
  <c r="L21" i="87"/>
  <c r="L22" i="87"/>
  <c r="L23" i="87"/>
  <c r="L24" i="87"/>
  <c r="L25" i="87"/>
  <c r="L29" i="87"/>
  <c r="L30" i="87"/>
  <c r="L32" i="87"/>
  <c r="L33" i="87"/>
  <c r="L36" i="87"/>
  <c r="L38" i="87"/>
  <c r="L39" i="87"/>
  <c r="L40" i="87"/>
  <c r="L41" i="87"/>
  <c r="L43" i="87"/>
  <c r="L44" i="87"/>
  <c r="L45" i="87"/>
  <c r="L46" i="87"/>
  <c r="L47" i="87"/>
  <c r="M7" i="87"/>
  <c r="M8" i="87"/>
  <c r="M9" i="87"/>
  <c r="N9" i="87"/>
  <c r="O9" i="87" s="1"/>
  <c r="M10" i="87"/>
  <c r="M11" i="87"/>
  <c r="M12" i="87"/>
  <c r="M13" i="87"/>
  <c r="M14" i="87"/>
  <c r="M15" i="87"/>
  <c r="M19" i="87"/>
  <c r="M20" i="87"/>
  <c r="N20" i="87"/>
  <c r="M21" i="87"/>
  <c r="M22" i="87"/>
  <c r="M23" i="87"/>
  <c r="M24" i="87"/>
  <c r="O24" i="87" s="1"/>
  <c r="M25" i="87"/>
  <c r="M29" i="87"/>
  <c r="M30" i="87"/>
  <c r="M32" i="87"/>
  <c r="N32" i="87"/>
  <c r="M33" i="87"/>
  <c r="M36" i="87"/>
  <c r="M38" i="87"/>
  <c r="M39" i="87"/>
  <c r="M40" i="87"/>
  <c r="M41" i="87"/>
  <c r="M43" i="87"/>
  <c r="M44" i="87"/>
  <c r="N44" i="87"/>
  <c r="M45" i="87"/>
  <c r="M46" i="87"/>
  <c r="O46" i="87" s="1"/>
  <c r="M47" i="87"/>
  <c r="N7" i="87"/>
  <c r="N8" i="87"/>
  <c r="N10" i="87"/>
  <c r="N11" i="87"/>
  <c r="O11" i="87" s="1"/>
  <c r="N12" i="87"/>
  <c r="N13" i="87"/>
  <c r="O13" i="87" s="1"/>
  <c r="N14" i="87"/>
  <c r="N15" i="87"/>
  <c r="N19" i="87"/>
  <c r="N21" i="87"/>
  <c r="N22" i="87"/>
  <c r="O22" i="87" s="1"/>
  <c r="N23" i="87"/>
  <c r="N24" i="87"/>
  <c r="N25" i="87"/>
  <c r="N29" i="87"/>
  <c r="O29" i="87" s="1"/>
  <c r="N30" i="87"/>
  <c r="N33" i="87"/>
  <c r="N36" i="87"/>
  <c r="O36" i="87" s="1"/>
  <c r="N38" i="87"/>
  <c r="N39" i="87"/>
  <c r="O39" i="87" s="1"/>
  <c r="N40" i="87"/>
  <c r="N41" i="87"/>
  <c r="N43" i="87"/>
  <c r="N45" i="87"/>
  <c r="N46" i="87"/>
  <c r="N47" i="87"/>
  <c r="O12" i="87"/>
  <c r="O30" i="87"/>
  <c r="O40" i="87"/>
  <c r="O7" i="87"/>
  <c r="O15" i="87"/>
  <c r="O41" i="87"/>
  <c r="H48" i="87"/>
  <c r="I48" i="87"/>
  <c r="P90" i="76"/>
  <c r="E3" i="96"/>
  <c r="E4" i="96"/>
  <c r="E5" i="96"/>
  <c r="E6" i="96"/>
  <c r="E7" i="96"/>
  <c r="C8" i="96"/>
  <c r="D8" i="96"/>
  <c r="E9" i="96"/>
  <c r="E10" i="96"/>
  <c r="E11" i="96"/>
  <c r="C12" i="96"/>
  <c r="C13" i="96" s="1"/>
  <c r="C15" i="96"/>
  <c r="E5" i="95"/>
  <c r="E6" i="95"/>
  <c r="E7" i="95"/>
  <c r="E8" i="95"/>
  <c r="E9" i="95"/>
  <c r="E10" i="95"/>
  <c r="E11" i="95"/>
  <c r="C12" i="95"/>
  <c r="C16" i="95"/>
  <c r="C23" i="95"/>
  <c r="C33" i="95"/>
  <c r="C39" i="95"/>
  <c r="D12" i="95"/>
  <c r="E13" i="95"/>
  <c r="E14" i="95"/>
  <c r="E15" i="95"/>
  <c r="E16" i="95" s="1"/>
  <c r="D16" i="95"/>
  <c r="D23" i="95"/>
  <c r="D33" i="95"/>
  <c r="D39" i="95"/>
  <c r="E17" i="95"/>
  <c r="E18" i="95"/>
  <c r="E19" i="95"/>
  <c r="E20" i="95"/>
  <c r="E21" i="95"/>
  <c r="E22" i="95"/>
  <c r="E24" i="95"/>
  <c r="E29" i="95"/>
  <c r="E31" i="95"/>
  <c r="E32" i="95"/>
  <c r="E33" i="95" s="1"/>
  <c r="E30" i="95"/>
  <c r="E35" i="95"/>
  <c r="E36" i="95"/>
  <c r="E37" i="95"/>
  <c r="E38" i="95"/>
  <c r="E39" i="95" s="1"/>
  <c r="D3" i="94"/>
  <c r="I3" i="94"/>
  <c r="D4" i="94"/>
  <c r="I4" i="94"/>
  <c r="D5" i="94"/>
  <c r="I5" i="94"/>
  <c r="D6" i="94"/>
  <c r="I6" i="94"/>
  <c r="B7" i="94"/>
  <c r="D7" i="94" s="1"/>
  <c r="D11" i="94" s="1"/>
  <c r="C7" i="94"/>
  <c r="I7" i="94"/>
  <c r="D8" i="94"/>
  <c r="G8" i="94"/>
  <c r="G11" i="94" s="1"/>
  <c r="H8" i="94"/>
  <c r="H11" i="94" s="1"/>
  <c r="D9" i="94"/>
  <c r="D10" i="94"/>
  <c r="B11" i="94"/>
  <c r="B27" i="94" s="1"/>
  <c r="C11" i="94"/>
  <c r="D13" i="94"/>
  <c r="I13" i="94"/>
  <c r="D14" i="94"/>
  <c r="I14" i="94"/>
  <c r="D15" i="94"/>
  <c r="I15" i="94"/>
  <c r="D16" i="94"/>
  <c r="I16" i="94"/>
  <c r="D17" i="94"/>
  <c r="I17" i="94"/>
  <c r="B18" i="94"/>
  <c r="C18" i="94"/>
  <c r="D18" i="94" s="1"/>
  <c r="I18" i="94"/>
  <c r="D19" i="94"/>
  <c r="D26" i="94" s="1"/>
  <c r="I19" i="94"/>
  <c r="D20" i="94"/>
  <c r="I20" i="94"/>
  <c r="D21" i="94"/>
  <c r="I21" i="94"/>
  <c r="I22" i="94"/>
  <c r="B26" i="94"/>
  <c r="G26" i="94"/>
  <c r="K17" i="92"/>
  <c r="K20" i="92"/>
  <c r="K21" i="92"/>
  <c r="K22" i="92"/>
  <c r="K23" i="92"/>
  <c r="K24" i="92"/>
  <c r="K27" i="92"/>
  <c r="K28" i="92"/>
  <c r="K29" i="92"/>
  <c r="K31" i="92"/>
  <c r="K32" i="92"/>
  <c r="K33" i="92"/>
  <c r="K34" i="92"/>
  <c r="K35" i="92"/>
  <c r="K36" i="92"/>
  <c r="K38" i="92"/>
  <c r="K39" i="92"/>
  <c r="K40" i="92"/>
  <c r="K41" i="92"/>
  <c r="K43" i="92"/>
  <c r="K53" i="92"/>
  <c r="K60" i="92"/>
  <c r="N101" i="86"/>
  <c r="J119" i="76"/>
  <c r="H12" i="75" s="1"/>
  <c r="H8" i="75"/>
  <c r="I139" i="76"/>
  <c r="G14" i="75"/>
  <c r="M128" i="76"/>
  <c r="L128" i="76"/>
  <c r="L130" i="76" s="1"/>
  <c r="J13" i="75" s="1"/>
  <c r="I128" i="76"/>
  <c r="G13" i="75" s="1"/>
  <c r="I119" i="76"/>
  <c r="G12" i="75" s="1"/>
  <c r="K255" i="86"/>
  <c r="M115" i="76" s="1"/>
  <c r="P115" i="76" s="1"/>
  <c r="M100" i="76"/>
  <c r="L100" i="76"/>
  <c r="L102" i="76"/>
  <c r="J10" i="75" s="1"/>
  <c r="K100" i="76"/>
  <c r="I100" i="76"/>
  <c r="G10" i="75" s="1"/>
  <c r="L95" i="76"/>
  <c r="L96" i="76" s="1"/>
  <c r="J9" i="75" s="1"/>
  <c r="G8" i="75"/>
  <c r="I77" i="76"/>
  <c r="G7" i="75" s="1"/>
  <c r="K33" i="86"/>
  <c r="M62" i="76" s="1"/>
  <c r="M64" i="76" s="1"/>
  <c r="K6" i="75" s="1"/>
  <c r="I61" i="76"/>
  <c r="G6" i="75" s="1"/>
  <c r="M23" i="76"/>
  <c r="L23" i="76"/>
  <c r="L26" i="76"/>
  <c r="J5" i="75" s="1"/>
  <c r="K23" i="76"/>
  <c r="N52" i="74"/>
  <c r="N50" i="74"/>
  <c r="N49" i="74"/>
  <c r="N23" i="74"/>
  <c r="E16" i="74"/>
  <c r="F16" i="74"/>
  <c r="F5" i="49" s="1"/>
  <c r="G16" i="74"/>
  <c r="H16" i="74"/>
  <c r="H5" i="49"/>
  <c r="I16" i="74"/>
  <c r="J16" i="74"/>
  <c r="J5" i="49" s="1"/>
  <c r="K16" i="74"/>
  <c r="L16" i="74"/>
  <c r="L5" i="49"/>
  <c r="M16" i="74"/>
  <c r="N12" i="74"/>
  <c r="N15" i="74"/>
  <c r="N7" i="74"/>
  <c r="N8" i="74" s="1"/>
  <c r="N139" i="76"/>
  <c r="L14" i="75" s="1"/>
  <c r="N128" i="76"/>
  <c r="N119" i="76"/>
  <c r="L12" i="75" s="1"/>
  <c r="N117" i="76"/>
  <c r="N100" i="76"/>
  <c r="N102" i="76" s="1"/>
  <c r="N61" i="76"/>
  <c r="N64" i="76" s="1"/>
  <c r="N77" i="76"/>
  <c r="N96" i="76"/>
  <c r="J102" i="76"/>
  <c r="J87" i="76"/>
  <c r="P125" i="76"/>
  <c r="P112" i="76"/>
  <c r="P109" i="76"/>
  <c r="G100" i="76"/>
  <c r="E10" i="75" s="1"/>
  <c r="O100" i="76"/>
  <c r="O102" i="76" s="1"/>
  <c r="F100" i="76"/>
  <c r="D10" i="75" s="1"/>
  <c r="J80" i="76"/>
  <c r="H255" i="86"/>
  <c r="J255" i="86"/>
  <c r="K115" i="76" s="1"/>
  <c r="G255" i="86"/>
  <c r="M237" i="86"/>
  <c r="O237" i="86"/>
  <c r="L237" i="86"/>
  <c r="M231" i="86"/>
  <c r="O231" i="86" s="1"/>
  <c r="L231" i="86"/>
  <c r="M157" i="86"/>
  <c r="O157" i="86" s="1"/>
  <c r="L157" i="86"/>
  <c r="M114" i="86"/>
  <c r="O114" i="86" s="1"/>
  <c r="M115" i="86"/>
  <c r="O115" i="86" s="1"/>
  <c r="M116" i="86"/>
  <c r="O116" i="86" s="1"/>
  <c r="M117" i="86"/>
  <c r="O117" i="86" s="1"/>
  <c r="L114" i="86"/>
  <c r="L115" i="86"/>
  <c r="L116" i="86"/>
  <c r="L117" i="86"/>
  <c r="M101" i="86"/>
  <c r="M102" i="86"/>
  <c r="O102" i="86" s="1"/>
  <c r="L101" i="86"/>
  <c r="L102" i="86"/>
  <c r="N64" i="86"/>
  <c r="N63" i="86"/>
  <c r="M63" i="86"/>
  <c r="M64" i="86"/>
  <c r="L63" i="86"/>
  <c r="L64" i="86"/>
  <c r="N52" i="86"/>
  <c r="M52" i="86"/>
  <c r="L52" i="86"/>
  <c r="N46" i="86"/>
  <c r="N45" i="86"/>
  <c r="M45" i="86"/>
  <c r="O45" i="86"/>
  <c r="M46" i="86"/>
  <c r="O46" i="86" s="1"/>
  <c r="L45" i="86"/>
  <c r="L46" i="86"/>
  <c r="O25" i="86"/>
  <c r="M24" i="86"/>
  <c r="O24" i="86" s="1"/>
  <c r="M17" i="86"/>
  <c r="O17" i="86" s="1"/>
  <c r="M12" i="86"/>
  <c r="O12" i="86" s="1"/>
  <c r="G185" i="87"/>
  <c r="F17" i="92"/>
  <c r="F20" i="92"/>
  <c r="F21" i="92"/>
  <c r="F22" i="92"/>
  <c r="F73" i="92" s="1"/>
  <c r="F23" i="92"/>
  <c r="F24" i="92"/>
  <c r="F27" i="92"/>
  <c r="F28" i="92"/>
  <c r="F29" i="92"/>
  <c r="F31" i="92"/>
  <c r="F32" i="92"/>
  <c r="F33" i="92"/>
  <c r="F34" i="92"/>
  <c r="F35" i="92"/>
  <c r="F36" i="92"/>
  <c r="F38" i="92"/>
  <c r="F39" i="92"/>
  <c r="F40" i="92"/>
  <c r="F41" i="92"/>
  <c r="F43" i="92"/>
  <c r="F53" i="92"/>
  <c r="F60" i="92"/>
  <c r="L138" i="76"/>
  <c r="L139" i="76" s="1"/>
  <c r="J14" i="75" s="1"/>
  <c r="H139" i="76"/>
  <c r="F14" i="75" s="1"/>
  <c r="G23" i="76"/>
  <c r="E8" i="75"/>
  <c r="E9" i="75"/>
  <c r="G119" i="76"/>
  <c r="E12" i="75" s="1"/>
  <c r="G139" i="76"/>
  <c r="E14" i="75" s="1"/>
  <c r="K119" i="76"/>
  <c r="I12" i="75" s="1"/>
  <c r="L119" i="76"/>
  <c r="J12" i="75" s="1"/>
  <c r="M119" i="76"/>
  <c r="K12" i="75" s="1"/>
  <c r="M139" i="76"/>
  <c r="K14" i="75" s="1"/>
  <c r="L5" i="75"/>
  <c r="L8" i="75"/>
  <c r="L9" i="75"/>
  <c r="O23" i="76"/>
  <c r="M5" i="75" s="1"/>
  <c r="O61" i="76"/>
  <c r="M6" i="75"/>
  <c r="O77" i="76"/>
  <c r="M7" i="75" s="1"/>
  <c r="M8" i="75"/>
  <c r="O119" i="76"/>
  <c r="M12" i="75" s="1"/>
  <c r="O128" i="76"/>
  <c r="O130" i="76" s="1"/>
  <c r="O139" i="76"/>
  <c r="M14" i="75"/>
  <c r="F23" i="76"/>
  <c r="D8" i="75"/>
  <c r="F139" i="76"/>
  <c r="D14" i="75" s="1"/>
  <c r="F119" i="76"/>
  <c r="J258" i="86"/>
  <c r="K129" i="76" s="1"/>
  <c r="K245" i="86"/>
  <c r="M94" i="76" s="1"/>
  <c r="P94" i="76" s="1"/>
  <c r="K234" i="86"/>
  <c r="M85" i="76" s="1"/>
  <c r="N191" i="87"/>
  <c r="N194" i="87"/>
  <c r="M191" i="87"/>
  <c r="O191" i="87" s="1"/>
  <c r="L191" i="87"/>
  <c r="L192" i="87"/>
  <c r="G48" i="87"/>
  <c r="G159" i="87"/>
  <c r="G179" i="87"/>
  <c r="G189" i="87"/>
  <c r="G192" i="87"/>
  <c r="M192" i="87" s="1"/>
  <c r="H192" i="87"/>
  <c r="N192" i="87" s="1"/>
  <c r="I192" i="87"/>
  <c r="I194" i="87"/>
  <c r="L50" i="86"/>
  <c r="L58" i="86"/>
  <c r="L84" i="86"/>
  <c r="L86" i="86"/>
  <c r="L90" i="86"/>
  <c r="L91" i="86"/>
  <c r="L99" i="86"/>
  <c r="L107" i="86"/>
  <c r="L112" i="86"/>
  <c r="L113" i="86"/>
  <c r="L155" i="86"/>
  <c r="L159" i="86"/>
  <c r="L160" i="86"/>
  <c r="L161" i="86"/>
  <c r="L172" i="86"/>
  <c r="L176" i="86"/>
  <c r="L189" i="86"/>
  <c r="L198" i="86"/>
  <c r="L200" i="86"/>
  <c r="L208" i="86"/>
  <c r="L209" i="86"/>
  <c r="L212" i="86"/>
  <c r="L233" i="86"/>
  <c r="L261" i="86"/>
  <c r="L244" i="86"/>
  <c r="L257" i="86"/>
  <c r="L258" i="86" s="1"/>
  <c r="M50" i="86"/>
  <c r="M58" i="86"/>
  <c r="O58" i="86" s="1"/>
  <c r="M84" i="86"/>
  <c r="M86" i="86"/>
  <c r="M90" i="86"/>
  <c r="M91" i="86"/>
  <c r="O91" i="86" s="1"/>
  <c r="M99" i="86"/>
  <c r="M107" i="86"/>
  <c r="M112" i="86"/>
  <c r="M113" i="86"/>
  <c r="O113" i="86" s="1"/>
  <c r="M155" i="86"/>
  <c r="M159" i="86"/>
  <c r="M160" i="86"/>
  <c r="M172" i="86"/>
  <c r="M176" i="86"/>
  <c r="M189" i="86"/>
  <c r="M198" i="86"/>
  <c r="M200" i="86"/>
  <c r="M208" i="86"/>
  <c r="M209" i="86"/>
  <c r="M212" i="86"/>
  <c r="M261" i="86"/>
  <c r="M15" i="86"/>
  <c r="M244" i="86"/>
  <c r="M257" i="86"/>
  <c r="M258" i="86"/>
  <c r="N84" i="86"/>
  <c r="N99" i="86"/>
  <c r="N112" i="86"/>
  <c r="N161" i="86"/>
  <c r="O161" i="86" s="1"/>
  <c r="N233" i="86"/>
  <c r="N261" i="86"/>
  <c r="N15" i="86"/>
  <c r="N32" i="86"/>
  <c r="O32" i="86" s="1"/>
  <c r="N244" i="86"/>
  <c r="O261" i="86"/>
  <c r="J261" i="86"/>
  <c r="K138" i="76" s="1"/>
  <c r="K261" i="86"/>
  <c r="K258" i="86"/>
  <c r="M129" i="76" s="1"/>
  <c r="M130" i="76"/>
  <c r="K13" i="75" s="1"/>
  <c r="J248" i="86"/>
  <c r="K101" i="76" s="1"/>
  <c r="K102" i="76"/>
  <c r="I10" i="75" s="1"/>
  <c r="K248" i="86"/>
  <c r="J7" i="86"/>
  <c r="K24" i="76"/>
  <c r="P24" i="76" s="1"/>
  <c r="K7" i="86"/>
  <c r="M24" i="76" s="1"/>
  <c r="M26" i="76"/>
  <c r="K5" i="75" s="1"/>
  <c r="N6" i="86"/>
  <c r="N7" i="86" s="1"/>
  <c r="M6" i="86"/>
  <c r="N8" i="86"/>
  <c r="N9" i="86"/>
  <c r="N10" i="86"/>
  <c r="N11" i="86"/>
  <c r="N13" i="86"/>
  <c r="N14" i="86"/>
  <c r="N16" i="86"/>
  <c r="N33" i="86" s="1"/>
  <c r="N18" i="86"/>
  <c r="N19" i="86"/>
  <c r="N20" i="86"/>
  <c r="N21" i="86"/>
  <c r="N22" i="86"/>
  <c r="N23" i="86"/>
  <c r="N27" i="86"/>
  <c r="N28" i="86"/>
  <c r="N29" i="86"/>
  <c r="N30" i="86"/>
  <c r="N31" i="86"/>
  <c r="N36" i="86"/>
  <c r="N37" i="86"/>
  <c r="M37" i="86"/>
  <c r="N38" i="86"/>
  <c r="N39" i="86"/>
  <c r="O39" i="86" s="1"/>
  <c r="N40" i="86"/>
  <c r="N41" i="86"/>
  <c r="M41" i="86"/>
  <c r="O41" i="86" s="1"/>
  <c r="N42" i="86"/>
  <c r="O42" i="86" s="1"/>
  <c r="N43" i="86"/>
  <c r="N44" i="86"/>
  <c r="N47" i="86"/>
  <c r="M47" i="86"/>
  <c r="N48" i="86"/>
  <c r="N50" i="86"/>
  <c r="O50" i="86" s="1"/>
  <c r="N51" i="86"/>
  <c r="N53" i="86"/>
  <c r="N54" i="86"/>
  <c r="N56" i="86"/>
  <c r="N57" i="86"/>
  <c r="N58" i="86"/>
  <c r="N59" i="86"/>
  <c r="N60" i="86"/>
  <c r="N61" i="86"/>
  <c r="O61" i="86" s="1"/>
  <c r="N62" i="86"/>
  <c r="N65" i="86"/>
  <c r="N66" i="86"/>
  <c r="N68" i="86"/>
  <c r="N69" i="86"/>
  <c r="N70" i="86"/>
  <c r="N71" i="86"/>
  <c r="N72" i="86"/>
  <c r="N73" i="86"/>
  <c r="N74" i="86"/>
  <c r="N77" i="86"/>
  <c r="N78" i="86"/>
  <c r="N79" i="86"/>
  <c r="N81" i="86"/>
  <c r="N82" i="86"/>
  <c r="N83" i="86"/>
  <c r="N85" i="86"/>
  <c r="N86" i="86"/>
  <c r="O86" i="86" s="1"/>
  <c r="N87" i="86"/>
  <c r="N88" i="86"/>
  <c r="N89" i="86"/>
  <c r="N90" i="86"/>
  <c r="O90" i="86" s="1"/>
  <c r="N91" i="86"/>
  <c r="N92" i="86"/>
  <c r="N93" i="86"/>
  <c r="N94" i="86"/>
  <c r="N95" i="86"/>
  <c r="N96" i="86"/>
  <c r="N97" i="86"/>
  <c r="N98" i="86"/>
  <c r="N100" i="86"/>
  <c r="N103" i="86"/>
  <c r="N104" i="86"/>
  <c r="N106" i="86"/>
  <c r="N107" i="86"/>
  <c r="O107" i="86" s="1"/>
  <c r="N109" i="86"/>
  <c r="N110" i="86"/>
  <c r="N111" i="86"/>
  <c r="N113" i="86"/>
  <c r="N119" i="86"/>
  <c r="O119" i="86" s="1"/>
  <c r="N120" i="86"/>
  <c r="N121" i="86"/>
  <c r="N122" i="86"/>
  <c r="N126" i="86"/>
  <c r="O126" i="86" s="1"/>
  <c r="N127" i="86"/>
  <c r="N128" i="86"/>
  <c r="N129" i="86"/>
  <c r="N130" i="86"/>
  <c r="N131" i="86"/>
  <c r="N132" i="86"/>
  <c r="N133" i="86"/>
  <c r="N134" i="86"/>
  <c r="M134" i="86"/>
  <c r="N135" i="86"/>
  <c r="N136" i="86"/>
  <c r="M136" i="86"/>
  <c r="O136" i="86" s="1"/>
  <c r="N137" i="86"/>
  <c r="N138" i="86"/>
  <c r="M138" i="86"/>
  <c r="N140" i="86"/>
  <c r="N141" i="86"/>
  <c r="M141" i="86"/>
  <c r="N142" i="86"/>
  <c r="N143" i="86"/>
  <c r="M143" i="86"/>
  <c r="N144" i="86"/>
  <c r="N147" i="86"/>
  <c r="M147" i="86"/>
  <c r="N148" i="86"/>
  <c r="N150" i="86"/>
  <c r="M150" i="86"/>
  <c r="O150" i="86" s="1"/>
  <c r="N151" i="86"/>
  <c r="O151" i="86" s="1"/>
  <c r="N152" i="86"/>
  <c r="M152" i="86"/>
  <c r="N153" i="86"/>
  <c r="N154" i="86"/>
  <c r="M154" i="86"/>
  <c r="N155" i="86"/>
  <c r="N156" i="86"/>
  <c r="N158" i="86"/>
  <c r="M158" i="86"/>
  <c r="N159" i="86"/>
  <c r="O159" i="86"/>
  <c r="N160" i="86"/>
  <c r="O160" i="86" s="1"/>
  <c r="N162" i="86"/>
  <c r="N163" i="86"/>
  <c r="M163" i="86"/>
  <c r="O163" i="86" s="1"/>
  <c r="N164" i="86"/>
  <c r="O164" i="86" s="1"/>
  <c r="N165" i="86"/>
  <c r="M165" i="86"/>
  <c r="O165" i="86" s="1"/>
  <c r="N168" i="86"/>
  <c r="N169" i="86"/>
  <c r="M169" i="86"/>
  <c r="N170" i="86"/>
  <c r="N172" i="86"/>
  <c r="O172" i="86"/>
  <c r="N173" i="86"/>
  <c r="N174" i="86"/>
  <c r="N175" i="86"/>
  <c r="N176" i="86"/>
  <c r="O176" i="86" s="1"/>
  <c r="N177" i="86"/>
  <c r="N178" i="86"/>
  <c r="N179" i="86"/>
  <c r="N180" i="86"/>
  <c r="N181" i="86"/>
  <c r="N182" i="86"/>
  <c r="N183" i="86"/>
  <c r="N184" i="86"/>
  <c r="O184" i="86" s="1"/>
  <c r="N185" i="86"/>
  <c r="N186" i="86"/>
  <c r="N187" i="86"/>
  <c r="N188" i="86"/>
  <c r="N189" i="86"/>
  <c r="N190" i="86"/>
  <c r="N191" i="86"/>
  <c r="N192" i="86"/>
  <c r="N193" i="86"/>
  <c r="N194" i="86"/>
  <c r="N195" i="86"/>
  <c r="N196" i="86"/>
  <c r="N197" i="86"/>
  <c r="N198" i="86"/>
  <c r="N200" i="86"/>
  <c r="O200" i="86"/>
  <c r="N201" i="86"/>
  <c r="N202" i="86"/>
  <c r="N203" i="86"/>
  <c r="N204" i="86"/>
  <c r="N205" i="86"/>
  <c r="N206" i="86"/>
  <c r="N207" i="86"/>
  <c r="N208" i="86"/>
  <c r="O208" i="86" s="1"/>
  <c r="N209" i="86"/>
  <c r="O209" i="86"/>
  <c r="N210" i="86"/>
  <c r="N211" i="86"/>
  <c r="N212" i="86"/>
  <c r="N213" i="86"/>
  <c r="M213" i="86"/>
  <c r="O213" i="86"/>
  <c r="N214" i="86"/>
  <c r="N216" i="86"/>
  <c r="M216" i="86"/>
  <c r="O216" i="86"/>
  <c r="N217" i="86"/>
  <c r="N218" i="86"/>
  <c r="M218" i="86"/>
  <c r="O218" i="86"/>
  <c r="N219" i="86"/>
  <c r="N220" i="86"/>
  <c r="N223" i="86"/>
  <c r="N224" i="86"/>
  <c r="O224" i="86" s="1"/>
  <c r="N225" i="86"/>
  <c r="N226" i="86"/>
  <c r="N227" i="86"/>
  <c r="N228" i="86"/>
  <c r="O228" i="86" s="1"/>
  <c r="N229" i="86"/>
  <c r="N230" i="86"/>
  <c r="N236" i="86"/>
  <c r="N239" i="86"/>
  <c r="N245" i="86" s="1"/>
  <c r="N240" i="86"/>
  <c r="N241" i="86"/>
  <c r="N242" i="86"/>
  <c r="N243" i="86"/>
  <c r="N247" i="86"/>
  <c r="N253" i="86"/>
  <c r="N254" i="86"/>
  <c r="N255" i="86" s="1"/>
  <c r="N257" i="86"/>
  <c r="N259" i="86"/>
  <c r="N5" i="86"/>
  <c r="M8" i="86"/>
  <c r="M9" i="86"/>
  <c r="M10" i="86"/>
  <c r="M11" i="86"/>
  <c r="O11" i="86" s="1"/>
  <c r="M13" i="86"/>
  <c r="O13" i="86" s="1"/>
  <c r="M14" i="86"/>
  <c r="M16" i="86"/>
  <c r="M18" i="86"/>
  <c r="O18" i="86" s="1"/>
  <c r="M19" i="86"/>
  <c r="O19" i="86" s="1"/>
  <c r="M20" i="86"/>
  <c r="O20" i="86"/>
  <c r="M21" i="86"/>
  <c r="M22" i="86"/>
  <c r="O22" i="86" s="1"/>
  <c r="M23" i="86"/>
  <c r="M27" i="86"/>
  <c r="O27" i="86" s="1"/>
  <c r="M28" i="86"/>
  <c r="O28" i="86" s="1"/>
  <c r="M29" i="86"/>
  <c r="O29" i="86" s="1"/>
  <c r="M30" i="86"/>
  <c r="O30" i="86" s="1"/>
  <c r="M31" i="86"/>
  <c r="O31" i="86" s="1"/>
  <c r="M32" i="86"/>
  <c r="M36" i="86"/>
  <c r="O36" i="86"/>
  <c r="M111" i="86"/>
  <c r="M85" i="86"/>
  <c r="O85" i="86"/>
  <c r="M51" i="86"/>
  <c r="O51" i="86" s="1"/>
  <c r="M38" i="86"/>
  <c r="M39" i="86"/>
  <c r="M40" i="86"/>
  <c r="O40" i="86" s="1"/>
  <c r="M42" i="86"/>
  <c r="M43" i="86"/>
  <c r="O43" i="86" s="1"/>
  <c r="M44" i="86"/>
  <c r="M48" i="86"/>
  <c r="O48" i="86" s="1"/>
  <c r="M53" i="86"/>
  <c r="M54" i="86"/>
  <c r="O54" i="86" s="1"/>
  <c r="M56" i="86"/>
  <c r="O56" i="86" s="1"/>
  <c r="M57" i="86"/>
  <c r="O57" i="86" s="1"/>
  <c r="M59" i="86"/>
  <c r="O59" i="86"/>
  <c r="M60" i="86"/>
  <c r="M61" i="86"/>
  <c r="M62" i="86"/>
  <c r="O62" i="86" s="1"/>
  <c r="M65" i="86"/>
  <c r="M66" i="86"/>
  <c r="O66" i="86"/>
  <c r="M68" i="86"/>
  <c r="M69" i="86"/>
  <c r="O69" i="86" s="1"/>
  <c r="M70" i="86"/>
  <c r="O70" i="86" s="1"/>
  <c r="M71" i="86"/>
  <c r="O71" i="86"/>
  <c r="M72" i="86"/>
  <c r="M73" i="86"/>
  <c r="M74" i="86"/>
  <c r="M77" i="86"/>
  <c r="O77" i="86" s="1"/>
  <c r="M78" i="86"/>
  <c r="M79" i="86"/>
  <c r="O79" i="86"/>
  <c r="M81" i="86"/>
  <c r="M82" i="86"/>
  <c r="O82" i="86"/>
  <c r="M83" i="86"/>
  <c r="O83" i="86" s="1"/>
  <c r="M87" i="86"/>
  <c r="O87" i="86" s="1"/>
  <c r="M88" i="86"/>
  <c r="M89" i="86"/>
  <c r="O89" i="86" s="1"/>
  <c r="M92" i="86"/>
  <c r="O92" i="86" s="1"/>
  <c r="M93" i="86"/>
  <c r="O93" i="86" s="1"/>
  <c r="M94" i="86"/>
  <c r="O94" i="86" s="1"/>
  <c r="M95" i="86"/>
  <c r="O95" i="86"/>
  <c r="M96" i="86"/>
  <c r="M97" i="86"/>
  <c r="O97" i="86"/>
  <c r="M98" i="86"/>
  <c r="O98" i="86" s="1"/>
  <c r="M100" i="86"/>
  <c r="O100" i="86"/>
  <c r="M103" i="86"/>
  <c r="M104" i="86"/>
  <c r="O104" i="86" s="1"/>
  <c r="M106" i="86"/>
  <c r="O106" i="86" s="1"/>
  <c r="M109" i="86"/>
  <c r="O109" i="86"/>
  <c r="M110" i="86"/>
  <c r="O110" i="86" s="1"/>
  <c r="M119" i="86"/>
  <c r="M120" i="86"/>
  <c r="M121" i="86"/>
  <c r="M122" i="86"/>
  <c r="O122" i="86" s="1"/>
  <c r="M126" i="86"/>
  <c r="M220" i="86"/>
  <c r="O220" i="86" s="1"/>
  <c r="M127" i="86"/>
  <c r="M128" i="86"/>
  <c r="M129" i="86"/>
  <c r="M130" i="86"/>
  <c r="O130" i="86" s="1"/>
  <c r="M131" i="86"/>
  <c r="M132" i="86"/>
  <c r="M133" i="86"/>
  <c r="M135" i="86"/>
  <c r="O135" i="86" s="1"/>
  <c r="M137" i="86"/>
  <c r="O137" i="86"/>
  <c r="M140" i="86"/>
  <c r="O140" i="86" s="1"/>
  <c r="M142" i="86"/>
  <c r="M144" i="86"/>
  <c r="O144" i="86"/>
  <c r="M148" i="86"/>
  <c r="O148" i="86" s="1"/>
  <c r="M151" i="86"/>
  <c r="M153" i="86"/>
  <c r="O153" i="86" s="1"/>
  <c r="M156" i="86"/>
  <c r="M161" i="86"/>
  <c r="M162" i="86"/>
  <c r="O162" i="86"/>
  <c r="M164" i="86"/>
  <c r="M168" i="86"/>
  <c r="O168" i="86" s="1"/>
  <c r="M170" i="86"/>
  <c r="O170" i="86" s="1"/>
  <c r="M173" i="86"/>
  <c r="O173" i="86" s="1"/>
  <c r="M174" i="86"/>
  <c r="O174" i="86" s="1"/>
  <c r="M175" i="86"/>
  <c r="O175" i="86" s="1"/>
  <c r="M177" i="86"/>
  <c r="O177" i="86" s="1"/>
  <c r="M178" i="86"/>
  <c r="M179" i="86"/>
  <c r="O179" i="86"/>
  <c r="M180" i="86"/>
  <c r="M181" i="86"/>
  <c r="O181" i="86"/>
  <c r="M182" i="86"/>
  <c r="O182" i="86" s="1"/>
  <c r="M183" i="86"/>
  <c r="M184" i="86"/>
  <c r="M185" i="86"/>
  <c r="O185" i="86" s="1"/>
  <c r="M186" i="86"/>
  <c r="M187" i="86"/>
  <c r="O187" i="86"/>
  <c r="M188" i="86"/>
  <c r="M190" i="86"/>
  <c r="O190" i="86"/>
  <c r="M191" i="86"/>
  <c r="M192" i="86"/>
  <c r="M193" i="86"/>
  <c r="O193" i="86" s="1"/>
  <c r="M194" i="86"/>
  <c r="O194" i="86" s="1"/>
  <c r="M195" i="86"/>
  <c r="O195" i="86" s="1"/>
  <c r="M196" i="86"/>
  <c r="M197" i="86"/>
  <c r="O197" i="86"/>
  <c r="M201" i="86"/>
  <c r="O201" i="86"/>
  <c r="M202" i="86"/>
  <c r="O202" i="86"/>
  <c r="M203" i="86"/>
  <c r="M204" i="86"/>
  <c r="O204" i="86" s="1"/>
  <c r="M205" i="86"/>
  <c r="O205" i="86" s="1"/>
  <c r="M206" i="86"/>
  <c r="O206" i="86" s="1"/>
  <c r="M207" i="86"/>
  <c r="M210" i="86"/>
  <c r="O210" i="86" s="1"/>
  <c r="M211" i="86"/>
  <c r="M214" i="86"/>
  <c r="O214" i="86" s="1"/>
  <c r="M217" i="86"/>
  <c r="O217" i="86"/>
  <c r="M219" i="86"/>
  <c r="O219" i="86" s="1"/>
  <c r="M223" i="86"/>
  <c r="M224" i="86"/>
  <c r="M225" i="86"/>
  <c r="O225" i="86" s="1"/>
  <c r="M226" i="86"/>
  <c r="O226" i="86" s="1"/>
  <c r="M227" i="86"/>
  <c r="M228" i="86"/>
  <c r="M229" i="86"/>
  <c r="O229" i="86" s="1"/>
  <c r="M230" i="86"/>
  <c r="O230" i="86"/>
  <c r="M233" i="86"/>
  <c r="O233" i="86" s="1"/>
  <c r="M236" i="86"/>
  <c r="M239" i="86"/>
  <c r="M240" i="86"/>
  <c r="M241" i="86"/>
  <c r="O241" i="86"/>
  <c r="M242" i="86"/>
  <c r="M243" i="86"/>
  <c r="M247" i="86"/>
  <c r="M253" i="86"/>
  <c r="O253" i="86" s="1"/>
  <c r="M254" i="86"/>
  <c r="O254" i="86" s="1"/>
  <c r="O255" i="86" s="1"/>
  <c r="M255" i="86"/>
  <c r="M259" i="86"/>
  <c r="O259" i="86" s="1"/>
  <c r="M5" i="86"/>
  <c r="M7" i="86"/>
  <c r="O5" i="86"/>
  <c r="O23" i="86"/>
  <c r="O35" i="86"/>
  <c r="O111" i="86"/>
  <c r="O78" i="86"/>
  <c r="O129" i="86"/>
  <c r="O133" i="86"/>
  <c r="O142" i="86"/>
  <c r="O178" i="86"/>
  <c r="O186" i="86"/>
  <c r="O227" i="86"/>
  <c r="O240" i="86"/>
  <c r="L5" i="86"/>
  <c r="L6" i="86"/>
  <c r="L7" i="86"/>
  <c r="L36" i="86"/>
  <c r="L123" i="86" s="1"/>
  <c r="L37" i="86"/>
  <c r="L38" i="86"/>
  <c r="L39" i="86"/>
  <c r="L40" i="86"/>
  <c r="L41" i="86"/>
  <c r="L42" i="86"/>
  <c r="L43" i="86"/>
  <c r="L44" i="86"/>
  <c r="L47" i="86"/>
  <c r="L48" i="86"/>
  <c r="L51" i="86"/>
  <c r="L53" i="86"/>
  <c r="L54" i="86"/>
  <c r="L56" i="86"/>
  <c r="L57" i="86"/>
  <c r="L59" i="86"/>
  <c r="L60" i="86"/>
  <c r="L61" i="86"/>
  <c r="L62" i="86"/>
  <c r="L65" i="86"/>
  <c r="L66" i="86"/>
  <c r="L68" i="86"/>
  <c r="L69" i="86"/>
  <c r="L70" i="86"/>
  <c r="L71" i="86"/>
  <c r="L72" i="86"/>
  <c r="L73" i="86"/>
  <c r="L74" i="86"/>
  <c r="L77" i="86"/>
  <c r="L78" i="86"/>
  <c r="L79" i="86"/>
  <c r="L81" i="86"/>
  <c r="L82" i="86"/>
  <c r="L83" i="86"/>
  <c r="L85" i="86"/>
  <c r="L87" i="86"/>
  <c r="L88" i="86"/>
  <c r="L89" i="86"/>
  <c r="L92" i="86"/>
  <c r="L93" i="86"/>
  <c r="L94" i="86"/>
  <c r="L95" i="86"/>
  <c r="L96" i="86"/>
  <c r="L97" i="86"/>
  <c r="L98" i="86"/>
  <c r="L100" i="86"/>
  <c r="L103" i="86"/>
  <c r="L104" i="86"/>
  <c r="L106" i="86"/>
  <c r="L109" i="86"/>
  <c r="L110" i="86"/>
  <c r="L111" i="86"/>
  <c r="L119" i="86"/>
  <c r="L120" i="86"/>
  <c r="L121" i="86"/>
  <c r="L122" i="86"/>
  <c r="L126" i="86"/>
  <c r="L220" i="86"/>
  <c r="L127" i="86"/>
  <c r="L128" i="86"/>
  <c r="L129" i="86"/>
  <c r="L130" i="86"/>
  <c r="L131" i="86"/>
  <c r="L132" i="86"/>
  <c r="L133" i="86"/>
  <c r="L134" i="86"/>
  <c r="L135" i="86"/>
  <c r="L136" i="86"/>
  <c r="L137" i="86"/>
  <c r="L138" i="86"/>
  <c r="L140" i="86"/>
  <c r="L141" i="86"/>
  <c r="L142" i="86"/>
  <c r="L143" i="86"/>
  <c r="L144" i="86"/>
  <c r="L147" i="86"/>
  <c r="L148" i="86"/>
  <c r="L150" i="86"/>
  <c r="L151" i="86"/>
  <c r="L152" i="86"/>
  <c r="L153" i="86"/>
  <c r="L154" i="86"/>
  <c r="L156" i="86"/>
  <c r="L158" i="86"/>
  <c r="L162" i="86"/>
  <c r="L163" i="86"/>
  <c r="L164" i="86"/>
  <c r="L165" i="86"/>
  <c r="L168" i="86"/>
  <c r="L169" i="86"/>
  <c r="L170" i="86"/>
  <c r="L173" i="86"/>
  <c r="L174" i="86"/>
  <c r="L175" i="86"/>
  <c r="L177" i="86"/>
  <c r="L178" i="86"/>
  <c r="L179" i="86"/>
  <c r="L180" i="86"/>
  <c r="L181" i="86"/>
  <c r="L182" i="86"/>
  <c r="L183" i="86"/>
  <c r="L184" i="86"/>
  <c r="L185" i="86"/>
  <c r="L186" i="86"/>
  <c r="L187" i="86"/>
  <c r="L188" i="86"/>
  <c r="L190" i="86"/>
  <c r="L191" i="86"/>
  <c r="L192" i="86"/>
  <c r="L193" i="86"/>
  <c r="L194" i="86"/>
  <c r="L195" i="86"/>
  <c r="L196" i="86"/>
  <c r="L197" i="86"/>
  <c r="L201" i="86"/>
  <c r="L202" i="86"/>
  <c r="L203" i="86"/>
  <c r="L204" i="86"/>
  <c r="L205" i="86"/>
  <c r="L206" i="86"/>
  <c r="L207" i="86"/>
  <c r="L210" i="86"/>
  <c r="L211" i="86"/>
  <c r="L213" i="86"/>
  <c r="L214" i="86"/>
  <c r="L216" i="86"/>
  <c r="L217" i="86"/>
  <c r="L218" i="86"/>
  <c r="L219" i="86"/>
  <c r="L223" i="86"/>
  <c r="L224" i="86"/>
  <c r="L225" i="86"/>
  <c r="L226" i="86"/>
  <c r="L227" i="86"/>
  <c r="L228" i="86"/>
  <c r="L229" i="86"/>
  <c r="L230" i="86"/>
  <c r="L236" i="86"/>
  <c r="L239" i="86"/>
  <c r="L240" i="86"/>
  <c r="L241" i="86"/>
  <c r="L242" i="86"/>
  <c r="L243" i="86"/>
  <c r="L247" i="86"/>
  <c r="L248" i="86" s="1"/>
  <c r="L253" i="86"/>
  <c r="L254" i="86"/>
  <c r="L259" i="86"/>
  <c r="H7" i="86"/>
  <c r="G33" i="86"/>
  <c r="H33" i="86"/>
  <c r="I36" i="86"/>
  <c r="G123" i="86"/>
  <c r="H123" i="86"/>
  <c r="I126" i="86"/>
  <c r="G234" i="86"/>
  <c r="G262" i="86" s="1"/>
  <c r="G264" i="86" s="1"/>
  <c r="H234" i="86"/>
  <c r="I236" i="86"/>
  <c r="G245" i="86"/>
  <c r="H245" i="86"/>
  <c r="G248" i="86"/>
  <c r="I248" i="86"/>
  <c r="I253" i="86"/>
  <c r="I254" i="86"/>
  <c r="G258" i="86"/>
  <c r="G261" i="86"/>
  <c r="H261" i="86"/>
  <c r="I261" i="86"/>
  <c r="I263" i="86"/>
  <c r="H18" i="85"/>
  <c r="J17" i="85"/>
  <c r="H17" i="85"/>
  <c r="J16" i="85"/>
  <c r="H16" i="85"/>
  <c r="H15" i="85"/>
  <c r="H14" i="85"/>
  <c r="H13" i="85"/>
  <c r="H12" i="85"/>
  <c r="H10" i="85"/>
  <c r="E10" i="85"/>
  <c r="H9" i="85"/>
  <c r="H8" i="85"/>
  <c r="E8" i="85"/>
  <c r="F8" i="85"/>
  <c r="O8" i="85" s="1"/>
  <c r="G8" i="85"/>
  <c r="I8" i="85"/>
  <c r="J8" i="85"/>
  <c r="K8" i="85"/>
  <c r="N8" i="85"/>
  <c r="H7" i="85"/>
  <c r="E7" i="85"/>
  <c r="E6" i="85"/>
  <c r="O6" i="85" s="1"/>
  <c r="H5" i="85"/>
  <c r="M20" i="85"/>
  <c r="H4" i="85"/>
  <c r="H3" i="85"/>
  <c r="N4" i="85"/>
  <c r="N5" i="85"/>
  <c r="N6" i="85"/>
  <c r="N7" i="85"/>
  <c r="N9" i="85"/>
  <c r="N10" i="85"/>
  <c r="N11" i="85"/>
  <c r="N12" i="85"/>
  <c r="N13" i="85"/>
  <c r="N14" i="85"/>
  <c r="N15" i="85"/>
  <c r="N16" i="85"/>
  <c r="N17" i="85"/>
  <c r="N18" i="85"/>
  <c r="N19" i="85"/>
  <c r="N3" i="85"/>
  <c r="K4" i="85"/>
  <c r="K5" i="85"/>
  <c r="K6" i="85"/>
  <c r="K7" i="85"/>
  <c r="K9" i="85"/>
  <c r="K10" i="85"/>
  <c r="K11" i="85"/>
  <c r="K12" i="85"/>
  <c r="K13" i="85"/>
  <c r="K14" i="85"/>
  <c r="K15" i="85"/>
  <c r="K16" i="85"/>
  <c r="O16" i="85" s="1"/>
  <c r="K17" i="85"/>
  <c r="K18" i="85"/>
  <c r="K19" i="85"/>
  <c r="K3" i="85"/>
  <c r="J4" i="85"/>
  <c r="J5" i="85"/>
  <c r="J6" i="85"/>
  <c r="J20" i="85" s="1"/>
  <c r="J7" i="85"/>
  <c r="J9" i="85"/>
  <c r="J10" i="85"/>
  <c r="J11" i="85"/>
  <c r="J12" i="85"/>
  <c r="O12" i="85" s="1"/>
  <c r="J13" i="85"/>
  <c r="J14" i="85"/>
  <c r="J18" i="85"/>
  <c r="J19" i="85"/>
  <c r="J3" i="85"/>
  <c r="I4" i="85"/>
  <c r="I5" i="85"/>
  <c r="I3" i="85"/>
  <c r="I6" i="85"/>
  <c r="I7" i="85"/>
  <c r="I9" i="85"/>
  <c r="I10" i="85"/>
  <c r="I11" i="85"/>
  <c r="I12" i="85"/>
  <c r="I13" i="85"/>
  <c r="I14" i="85"/>
  <c r="I15" i="85"/>
  <c r="I16" i="85"/>
  <c r="I17" i="85"/>
  <c r="I18" i="85"/>
  <c r="I19" i="85"/>
  <c r="G15" i="85"/>
  <c r="E17" i="85"/>
  <c r="F17" i="85"/>
  <c r="G17" i="85"/>
  <c r="G4" i="85"/>
  <c r="G5" i="85"/>
  <c r="O5" i="85" s="1"/>
  <c r="G6" i="85"/>
  <c r="G7" i="85"/>
  <c r="G9" i="85"/>
  <c r="G10" i="85"/>
  <c r="G11" i="85"/>
  <c r="G12" i="85"/>
  <c r="G13" i="85"/>
  <c r="G14" i="85"/>
  <c r="G16" i="85"/>
  <c r="G18" i="85"/>
  <c r="G19" i="85"/>
  <c r="G3" i="85"/>
  <c r="F6" i="85"/>
  <c r="F7" i="85"/>
  <c r="F20" i="85" s="1"/>
  <c r="F9" i="85"/>
  <c r="F10" i="85"/>
  <c r="F13" i="85"/>
  <c r="F14" i="85"/>
  <c r="O14" i="85" s="1"/>
  <c r="F18" i="85"/>
  <c r="E18" i="85"/>
  <c r="O18" i="85"/>
  <c r="F19" i="85"/>
  <c r="F3" i="85"/>
  <c r="C20" i="85"/>
  <c r="K20" i="85"/>
  <c r="M4" i="83"/>
  <c r="D4" i="85" s="1"/>
  <c r="M5" i="83"/>
  <c r="D5" i="85" s="1"/>
  <c r="M6" i="83"/>
  <c r="D6" i="85" s="1"/>
  <c r="M7" i="83"/>
  <c r="D7" i="85" s="1"/>
  <c r="M8" i="83"/>
  <c r="D8" i="85" s="1"/>
  <c r="M9" i="83"/>
  <c r="D9" i="85"/>
  <c r="M10" i="83"/>
  <c r="D10" i="85" s="1"/>
  <c r="M11" i="83"/>
  <c r="D11" i="85"/>
  <c r="M12" i="83"/>
  <c r="D12" i="85" s="1"/>
  <c r="M13" i="83"/>
  <c r="D13" i="85" s="1"/>
  <c r="M14" i="83"/>
  <c r="D14" i="85" s="1"/>
  <c r="M15" i="83"/>
  <c r="D15" i="85" s="1"/>
  <c r="M16" i="83"/>
  <c r="D16" i="85" s="1"/>
  <c r="M17" i="83"/>
  <c r="D17" i="85" s="1"/>
  <c r="M18" i="83"/>
  <c r="D18" i="85" s="1"/>
  <c r="M19" i="83"/>
  <c r="D19" i="85"/>
  <c r="M3" i="83"/>
  <c r="H16" i="84"/>
  <c r="L16" i="84"/>
  <c r="N16" i="84" s="1"/>
  <c r="M16" i="84"/>
  <c r="J14" i="84"/>
  <c r="I14" i="84"/>
  <c r="K12" i="84"/>
  <c r="N12" i="84" s="1"/>
  <c r="H12" i="84"/>
  <c r="I12" i="84"/>
  <c r="L12" i="84"/>
  <c r="M12" i="84"/>
  <c r="I11" i="84"/>
  <c r="H8" i="84"/>
  <c r="I8" i="84"/>
  <c r="N8" i="84" s="1"/>
  <c r="K8" i="84"/>
  <c r="L8" i="84"/>
  <c r="M8" i="84"/>
  <c r="H4" i="84"/>
  <c r="L4" i="84"/>
  <c r="M4" i="84"/>
  <c r="M5" i="84"/>
  <c r="M6" i="84"/>
  <c r="M7" i="84"/>
  <c r="M9" i="84"/>
  <c r="M10" i="84"/>
  <c r="M11" i="84"/>
  <c r="M13" i="84"/>
  <c r="M14" i="84"/>
  <c r="M15" i="84"/>
  <c r="M17" i="84"/>
  <c r="M18" i="84"/>
  <c r="M19" i="84"/>
  <c r="M3" i="84"/>
  <c r="L5" i="84"/>
  <c r="L6" i="84"/>
  <c r="L7" i="84"/>
  <c r="L9" i="84"/>
  <c r="L10" i="84"/>
  <c r="L11" i="84"/>
  <c r="L13" i="84"/>
  <c r="L14" i="84"/>
  <c r="L15" i="84"/>
  <c r="L17" i="84"/>
  <c r="L18" i="84"/>
  <c r="L19" i="84"/>
  <c r="L3" i="84"/>
  <c r="L20" i="84" s="1"/>
  <c r="K7" i="84"/>
  <c r="K9" i="84"/>
  <c r="K10" i="84"/>
  <c r="K20" i="84" s="1"/>
  <c r="K11" i="84"/>
  <c r="K13" i="84"/>
  <c r="K14" i="84"/>
  <c r="K17" i="84"/>
  <c r="K18" i="84"/>
  <c r="K19" i="84"/>
  <c r="H14" i="84"/>
  <c r="N14" i="84"/>
  <c r="H18" i="84"/>
  <c r="I18" i="84"/>
  <c r="N18" i="84" s="1"/>
  <c r="J13" i="84"/>
  <c r="J17" i="84"/>
  <c r="N17" i="84" s="1"/>
  <c r="I6" i="84"/>
  <c r="I7" i="84"/>
  <c r="I9" i="84"/>
  <c r="I10" i="84"/>
  <c r="I13" i="84"/>
  <c r="I17" i="84"/>
  <c r="I3" i="84"/>
  <c r="H5" i="84"/>
  <c r="H6" i="84"/>
  <c r="H7" i="84"/>
  <c r="H9" i="84"/>
  <c r="N9" i="84" s="1"/>
  <c r="H10" i="84"/>
  <c r="N10" i="84" s="1"/>
  <c r="H11" i="84"/>
  <c r="H13" i="84"/>
  <c r="H15" i="84"/>
  <c r="N15" i="84" s="1"/>
  <c r="H17" i="84"/>
  <c r="H19" i="84"/>
  <c r="H3" i="84"/>
  <c r="N3" i="84" s="1"/>
  <c r="C20" i="84"/>
  <c r="G20" i="84"/>
  <c r="E20" i="83"/>
  <c r="F14" i="49"/>
  <c r="H65" i="74"/>
  <c r="I20" i="83"/>
  <c r="J65" i="74" s="1"/>
  <c r="J14" i="49"/>
  <c r="J20" i="83"/>
  <c r="L14" i="49" s="1"/>
  <c r="K20" i="83"/>
  <c r="L20" i="83"/>
  <c r="M14" i="49" s="1"/>
  <c r="L4" i="69"/>
  <c r="D4" i="84" s="1"/>
  <c r="L5" i="69"/>
  <c r="D5" i="84"/>
  <c r="L6" i="69"/>
  <c r="D6" i="84" s="1"/>
  <c r="L7" i="69"/>
  <c r="D7" i="84"/>
  <c r="L8" i="69"/>
  <c r="D8" i="84" s="1"/>
  <c r="L9" i="69"/>
  <c r="D9" i="84"/>
  <c r="L10" i="69"/>
  <c r="D10" i="84" s="1"/>
  <c r="L11" i="69"/>
  <c r="D11" i="84"/>
  <c r="L12" i="69"/>
  <c r="D12" i="84" s="1"/>
  <c r="L13" i="69"/>
  <c r="D13" i="84"/>
  <c r="L14" i="69"/>
  <c r="D14" i="84" s="1"/>
  <c r="L15" i="69"/>
  <c r="D15" i="84"/>
  <c r="L16" i="69"/>
  <c r="D16" i="84" s="1"/>
  <c r="L17" i="69"/>
  <c r="D17" i="84"/>
  <c r="L18" i="69"/>
  <c r="D18" i="84" s="1"/>
  <c r="L19" i="69"/>
  <c r="D19" i="84"/>
  <c r="L3" i="69"/>
  <c r="L20" i="69" s="1"/>
  <c r="D20" i="69"/>
  <c r="E16" i="75"/>
  <c r="F20" i="69"/>
  <c r="G16" i="75" s="1"/>
  <c r="G20" i="69"/>
  <c r="J141" i="76" s="1"/>
  <c r="H16" i="75"/>
  <c r="H20" i="69"/>
  <c r="I16" i="75" s="1"/>
  <c r="I20" i="69"/>
  <c r="J16" i="75"/>
  <c r="J20" i="69"/>
  <c r="K263" i="86" s="1"/>
  <c r="N263" i="86" s="1"/>
  <c r="K20" i="69"/>
  <c r="L16" i="75" s="1"/>
  <c r="C20" i="69"/>
  <c r="D16" i="75" s="1"/>
  <c r="F7" i="49"/>
  <c r="G7" i="49"/>
  <c r="H7" i="49"/>
  <c r="I7" i="49"/>
  <c r="J7" i="49"/>
  <c r="K7" i="49"/>
  <c r="L7" i="49"/>
  <c r="M7" i="49"/>
  <c r="D7" i="49"/>
  <c r="E8" i="74"/>
  <c r="E4" i="49" s="1"/>
  <c r="F8" i="74"/>
  <c r="F4" i="49"/>
  <c r="G8" i="74"/>
  <c r="G4" i="49" s="1"/>
  <c r="H8" i="74"/>
  <c r="I8" i="74"/>
  <c r="I4" i="49" s="1"/>
  <c r="J8" i="74"/>
  <c r="J64" i="74" s="1"/>
  <c r="J66" i="74" s="1"/>
  <c r="J4" i="49"/>
  <c r="K8" i="74"/>
  <c r="K4" i="49" s="1"/>
  <c r="L8" i="74"/>
  <c r="L4" i="49"/>
  <c r="M8" i="74"/>
  <c r="M4" i="49" s="1"/>
  <c r="E63" i="74"/>
  <c r="E12" i="49"/>
  <c r="F63" i="74"/>
  <c r="F12" i="49" s="1"/>
  <c r="G63" i="74"/>
  <c r="G12" i="49" s="1"/>
  <c r="H63" i="74"/>
  <c r="H12" i="49" s="1"/>
  <c r="I63" i="74"/>
  <c r="I12" i="49"/>
  <c r="J63" i="74"/>
  <c r="J12" i="49" s="1"/>
  <c r="K63" i="74"/>
  <c r="K12" i="49"/>
  <c r="L63" i="74"/>
  <c r="L12" i="49" s="1"/>
  <c r="M63" i="74"/>
  <c r="M12" i="49"/>
  <c r="D63" i="74"/>
  <c r="D12" i="49" s="1"/>
  <c r="P45" i="76"/>
  <c r="M5" i="49"/>
  <c r="K5" i="49"/>
  <c r="P108" i="76"/>
  <c r="P114" i="76" s="1"/>
  <c r="P117" i="76" s="1"/>
  <c r="P122" i="76"/>
  <c r="P128" i="76" s="1"/>
  <c r="P127" i="76"/>
  <c r="P57" i="76"/>
  <c r="P30" i="76"/>
  <c r="P37" i="76"/>
  <c r="P39" i="76"/>
  <c r="P43" i="76"/>
  <c r="P60" i="76"/>
  <c r="P67" i="76"/>
  <c r="P69" i="76"/>
  <c r="P70" i="76"/>
  <c r="P72" i="76"/>
  <c r="P76" i="76"/>
  <c r="P105" i="76"/>
  <c r="P107" i="76"/>
  <c r="P134" i="76"/>
  <c r="P136" i="76"/>
  <c r="P25" i="76"/>
  <c r="P6" i="76"/>
  <c r="P7" i="76"/>
  <c r="P23" i="76" s="1"/>
  <c r="P26" i="76" s="1"/>
  <c r="P9" i="76"/>
  <c r="P12" i="76"/>
  <c r="P16" i="76"/>
  <c r="P18" i="76"/>
  <c r="P22" i="76"/>
  <c r="F56" i="74"/>
  <c r="F10" i="49" s="1"/>
  <c r="H56" i="74"/>
  <c r="H10" i="49"/>
  <c r="I56" i="74"/>
  <c r="I10" i="49" s="1"/>
  <c r="J56" i="74"/>
  <c r="J10" i="49"/>
  <c r="K56" i="74"/>
  <c r="K10" i="49" s="1"/>
  <c r="M56" i="74"/>
  <c r="M10" i="49" s="1"/>
  <c r="N54" i="74"/>
  <c r="N55" i="74"/>
  <c r="N45" i="74"/>
  <c r="N46" i="74"/>
  <c r="N47" i="74"/>
  <c r="N51" i="74"/>
  <c r="N34" i="74"/>
  <c r="N21" i="74"/>
  <c r="H26" i="76"/>
  <c r="O26" i="76"/>
  <c r="I64" i="76"/>
  <c r="F80" i="76"/>
  <c r="O80" i="76"/>
  <c r="F87" i="76"/>
  <c r="G87" i="76"/>
  <c r="O87" i="76"/>
  <c r="H102" i="76"/>
  <c r="I117" i="76"/>
  <c r="F130" i="76"/>
  <c r="I130" i="76"/>
  <c r="N38" i="74"/>
  <c r="P118" i="76"/>
  <c r="N62" i="74"/>
  <c r="N63" i="74"/>
  <c r="E59" i="74"/>
  <c r="E11" i="49" s="1"/>
  <c r="F59" i="74"/>
  <c r="F11" i="49" s="1"/>
  <c r="G59" i="74"/>
  <c r="G11" i="49" s="1"/>
  <c r="H59" i="74"/>
  <c r="H11" i="49"/>
  <c r="I59" i="74"/>
  <c r="I11" i="49" s="1"/>
  <c r="J59" i="74"/>
  <c r="J11" i="49"/>
  <c r="K59" i="74"/>
  <c r="K11" i="49" s="1"/>
  <c r="L59" i="74"/>
  <c r="L11" i="49"/>
  <c r="M59" i="74"/>
  <c r="M11" i="49" s="1"/>
  <c r="D59" i="74"/>
  <c r="D11" i="49" s="1"/>
  <c r="N58" i="74"/>
  <c r="N59" i="74" s="1"/>
  <c r="E42" i="74"/>
  <c r="E9" i="49"/>
  <c r="F42" i="74"/>
  <c r="F9" i="49" s="1"/>
  <c r="G42" i="74"/>
  <c r="G9" i="49"/>
  <c r="H42" i="74"/>
  <c r="H9" i="49" s="1"/>
  <c r="I42" i="74"/>
  <c r="I9" i="49"/>
  <c r="J42" i="74"/>
  <c r="J9" i="49" s="1"/>
  <c r="K42" i="74"/>
  <c r="K9" i="49" s="1"/>
  <c r="L42" i="74"/>
  <c r="L9" i="49" s="1"/>
  <c r="M42" i="74"/>
  <c r="M9" i="49"/>
  <c r="N41" i="74"/>
  <c r="N42" i="74" s="1"/>
  <c r="D42" i="74"/>
  <c r="D9" i="49"/>
  <c r="E39" i="74"/>
  <c r="E8" i="49" s="1"/>
  <c r="F39" i="74"/>
  <c r="H39" i="74"/>
  <c r="H8" i="49"/>
  <c r="I39" i="74"/>
  <c r="I8" i="49" s="1"/>
  <c r="J39" i="74"/>
  <c r="J8" i="49"/>
  <c r="K39" i="74"/>
  <c r="M39" i="74"/>
  <c r="M8" i="49"/>
  <c r="D39" i="74"/>
  <c r="F28" i="74"/>
  <c r="H28" i="74"/>
  <c r="H6" i="49" s="1"/>
  <c r="I28" i="74"/>
  <c r="I6" i="49"/>
  <c r="K28" i="74"/>
  <c r="K6" i="49" s="1"/>
  <c r="L28" i="74"/>
  <c r="L6" i="49"/>
  <c r="M28" i="74"/>
  <c r="M6" i="49" s="1"/>
  <c r="N19" i="74"/>
  <c r="N27" i="74"/>
  <c r="E5" i="49"/>
  <c r="G5" i="49"/>
  <c r="I5" i="49"/>
  <c r="N5" i="49" s="1"/>
  <c r="N16" i="74"/>
  <c r="G102" i="76"/>
  <c r="I87" i="76"/>
  <c r="G80" i="76"/>
  <c r="G64" i="76"/>
  <c r="H141" i="76"/>
  <c r="J194" i="87"/>
  <c r="F65" i="74"/>
  <c r="G141" i="76"/>
  <c r="L141" i="76"/>
  <c r="E12" i="96"/>
  <c r="E65" i="74"/>
  <c r="F141" i="76"/>
  <c r="K141" i="76"/>
  <c r="D65" i="74"/>
  <c r="F20" i="84"/>
  <c r="H193" i="87"/>
  <c r="H195" i="87"/>
  <c r="N7" i="84"/>
  <c r="N19" i="84"/>
  <c r="L20" i="85"/>
  <c r="F6" i="49"/>
  <c r="I65" i="74"/>
  <c r="O236" i="86"/>
  <c r="M101" i="76"/>
  <c r="M102" i="76" s="1"/>
  <c r="K10" i="75" s="1"/>
  <c r="E20" i="84"/>
  <c r="I7" i="86"/>
  <c r="O132" i="86"/>
  <c r="O128" i="86"/>
  <c r="O121" i="86"/>
  <c r="O212" i="86"/>
  <c r="O112" i="86"/>
  <c r="O84" i="86"/>
  <c r="J117" i="76"/>
  <c r="L116" i="76"/>
  <c r="P116" i="76" s="1"/>
  <c r="O52" i="86"/>
  <c r="J130" i="76"/>
  <c r="J96" i="76"/>
  <c r="I102" i="76"/>
  <c r="G130" i="76"/>
  <c r="H117" i="76"/>
  <c r="H80" i="76"/>
  <c r="F64" i="76"/>
  <c r="L10" i="75"/>
  <c r="L80" i="76"/>
  <c r="J7" i="75"/>
  <c r="K64" i="76"/>
  <c r="I6" i="75"/>
  <c r="O64" i="76"/>
  <c r="F117" i="76"/>
  <c r="G96" i="76"/>
  <c r="K130" i="76"/>
  <c r="I13" i="75"/>
  <c r="M10" i="75"/>
  <c r="L6" i="75"/>
  <c r="J262" i="86"/>
  <c r="O198" i="86"/>
  <c r="O155" i="86"/>
  <c r="O8" i="87"/>
  <c r="O51" i="87"/>
  <c r="O163" i="87"/>
  <c r="N248" i="86"/>
  <c r="D12" i="75"/>
  <c r="P119" i="76"/>
  <c r="G20" i="85"/>
  <c r="L117" i="76"/>
  <c r="J11" i="75"/>
  <c r="M65" i="74"/>
  <c r="O3" i="85"/>
  <c r="D9" i="75"/>
  <c r="F96" i="76"/>
  <c r="D5" i="75"/>
  <c r="D15" i="75" s="1"/>
  <c r="F26" i="76"/>
  <c r="M9" i="75"/>
  <c r="O96" i="76"/>
  <c r="O15" i="86"/>
  <c r="I8" i="94"/>
  <c r="I11" i="94"/>
  <c r="C26" i="94"/>
  <c r="C27" i="94" s="1"/>
  <c r="P79" i="76"/>
  <c r="P101" i="76"/>
  <c r="P102" i="76" s="1"/>
  <c r="P62" i="76"/>
  <c r="P86" i="76"/>
  <c r="M117" i="76"/>
  <c r="K11" i="75" s="1"/>
  <c r="L64" i="76"/>
  <c r="J6" i="75" s="1"/>
  <c r="N12" i="75"/>
  <c r="P129" i="76"/>
  <c r="O10" i="87"/>
  <c r="O54" i="87"/>
  <c r="H27" i="94"/>
  <c r="E12" i="95"/>
  <c r="M87" i="76" l="1"/>
  <c r="K8" i="75" s="1"/>
  <c r="P85" i="76"/>
  <c r="P87" i="76" s="1"/>
  <c r="N10" i="75"/>
  <c r="N14" i="49"/>
  <c r="M13" i="49"/>
  <c r="M15" i="49" s="1"/>
  <c r="J15" i="75"/>
  <c r="J17" i="75" s="1"/>
  <c r="O196" i="86"/>
  <c r="L64" i="74"/>
  <c r="L140" i="76"/>
  <c r="L142" i="76" s="1"/>
  <c r="G65" i="74"/>
  <c r="J263" i="86"/>
  <c r="J264" i="86" s="1"/>
  <c r="P61" i="76"/>
  <c r="P64" i="76" s="1"/>
  <c r="L13" i="49"/>
  <c r="L15" i="49" s="1"/>
  <c r="N7" i="49"/>
  <c r="I20" i="84"/>
  <c r="N13" i="84"/>
  <c r="N20" i="85"/>
  <c r="H20" i="85"/>
  <c r="E20" i="85"/>
  <c r="O239" i="86"/>
  <c r="O103" i="86"/>
  <c r="O68" i="86"/>
  <c r="O53" i="86"/>
  <c r="O21" i="86"/>
  <c r="O242" i="86"/>
  <c r="O203" i="86"/>
  <c r="O191" i="86"/>
  <c r="O156" i="86"/>
  <c r="N80" i="76"/>
  <c r="L7" i="75"/>
  <c r="N7" i="75" s="1"/>
  <c r="O137" i="87"/>
  <c r="O175" i="87"/>
  <c r="H64" i="74"/>
  <c r="H66" i="74" s="1"/>
  <c r="O188" i="86"/>
  <c r="M13" i="75"/>
  <c r="M15" i="75" s="1"/>
  <c r="O7" i="85"/>
  <c r="K16" i="75"/>
  <c r="N16" i="75" s="1"/>
  <c r="N11" i="84"/>
  <c r="N4" i="84"/>
  <c r="O17" i="85"/>
  <c r="O15" i="85"/>
  <c r="I20" i="85"/>
  <c r="H262" i="86"/>
  <c r="H264" i="86" s="1"/>
  <c r="O16" i="86"/>
  <c r="O81" i="86"/>
  <c r="O244" i="86"/>
  <c r="O189" i="86"/>
  <c r="O162" i="87"/>
  <c r="M96" i="76"/>
  <c r="K9" i="75" s="1"/>
  <c r="N195" i="87"/>
  <c r="O192" i="86"/>
  <c r="O192" i="87"/>
  <c r="K73" i="92"/>
  <c r="K193" i="87"/>
  <c r="K195" i="87" s="1"/>
  <c r="N9" i="49"/>
  <c r="N39" i="74"/>
  <c r="I13" i="49"/>
  <c r="I15" i="49" s="1"/>
  <c r="M64" i="74"/>
  <c r="M66" i="74" s="1"/>
  <c r="K262" i="86"/>
  <c r="K264" i="86" s="1"/>
  <c r="I64" i="74"/>
  <c r="I66" i="74" s="1"/>
  <c r="E64" i="74"/>
  <c r="E66" i="74" s="1"/>
  <c r="F140" i="76"/>
  <c r="F142" i="76" s="1"/>
  <c r="F102" i="76"/>
  <c r="L65" i="74"/>
  <c r="N65" i="74" s="1"/>
  <c r="J20" i="84"/>
  <c r="M141" i="76"/>
  <c r="N28" i="74"/>
  <c r="N6" i="49"/>
  <c r="H130" i="76"/>
  <c r="H4" i="49"/>
  <c r="H13" i="49" s="1"/>
  <c r="H15" i="49" s="1"/>
  <c r="I141" i="76"/>
  <c r="P141" i="76" s="1"/>
  <c r="D3" i="84"/>
  <c r="D20" i="84" s="1"/>
  <c r="O19" i="85"/>
  <c r="O9" i="85"/>
  <c r="O11" i="85"/>
  <c r="O96" i="86"/>
  <c r="O88" i="86"/>
  <c r="O72" i="86"/>
  <c r="O60" i="86"/>
  <c r="O14" i="86"/>
  <c r="O33" i="86" s="1"/>
  <c r="O169" i="86"/>
  <c r="O154" i="86"/>
  <c r="O143" i="86"/>
  <c r="O131" i="86"/>
  <c r="O127" i="86"/>
  <c r="O6" i="86"/>
  <c r="O7" i="86" s="1"/>
  <c r="K26" i="76"/>
  <c r="I5" i="75" s="1"/>
  <c r="O99" i="86"/>
  <c r="D27" i="94"/>
  <c r="O43" i="87"/>
  <c r="O38" i="87"/>
  <c r="O14" i="87"/>
  <c r="O101" i="86"/>
  <c r="O142" i="87"/>
  <c r="O138" i="87"/>
  <c r="O113" i="87"/>
  <c r="O97" i="87"/>
  <c r="O81" i="87"/>
  <c r="O65" i="87"/>
  <c r="O146" i="87"/>
  <c r="O128" i="87"/>
  <c r="O112" i="87"/>
  <c r="O96" i="87"/>
  <c r="O80" i="87"/>
  <c r="O64" i="87"/>
  <c r="J193" i="87"/>
  <c r="I245" i="86"/>
  <c r="I255" i="86"/>
  <c r="K117" i="76"/>
  <c r="I11" i="75" s="1"/>
  <c r="C34" i="95"/>
  <c r="C40" i="95" s="1"/>
  <c r="O33" i="87"/>
  <c r="O19" i="87"/>
  <c r="O188" i="87"/>
  <c r="O189" i="87" s="1"/>
  <c r="M80" i="76"/>
  <c r="K7" i="75" s="1"/>
  <c r="K15" i="75" s="1"/>
  <c r="K17" i="75" s="1"/>
  <c r="O74" i="86"/>
  <c r="O44" i="86"/>
  <c r="O37" i="86"/>
  <c r="O63" i="86"/>
  <c r="D34" i="95"/>
  <c r="D40" i="95" s="1"/>
  <c r="E8" i="96"/>
  <c r="E13" i="96" s="1"/>
  <c r="E15" i="96" s="1"/>
  <c r="O45" i="87"/>
  <c r="O47" i="87"/>
  <c r="O44" i="87"/>
  <c r="O32" i="87"/>
  <c r="O25" i="87"/>
  <c r="O21" i="87"/>
  <c r="O156" i="87"/>
  <c r="O125" i="87"/>
  <c r="O121" i="87"/>
  <c r="O105" i="87"/>
  <c r="O89" i="87"/>
  <c r="O73" i="87"/>
  <c r="O56" i="87"/>
  <c r="O158" i="87"/>
  <c r="O153" i="87"/>
  <c r="O148" i="87"/>
  <c r="O143" i="87"/>
  <c r="O139" i="87"/>
  <c r="O130" i="87"/>
  <c r="O126" i="87"/>
  <c r="O122" i="87"/>
  <c r="O118" i="87"/>
  <c r="O114" i="87"/>
  <c r="O110" i="87"/>
  <c r="O106" i="87"/>
  <c r="O102" i="87"/>
  <c r="O98" i="87"/>
  <c r="O94" i="87"/>
  <c r="O90" i="87"/>
  <c r="O86" i="87"/>
  <c r="O82" i="87"/>
  <c r="O78" i="87"/>
  <c r="O74" i="87"/>
  <c r="O70" i="87"/>
  <c r="O66" i="87"/>
  <c r="O62" i="87"/>
  <c r="O57" i="87"/>
  <c r="O53" i="87"/>
  <c r="N12" i="49"/>
  <c r="G13" i="49"/>
  <c r="G15" i="49" s="1"/>
  <c r="N11" i="49"/>
  <c r="K13" i="49"/>
  <c r="K15" i="49" s="1"/>
  <c r="D3" i="85"/>
  <c r="D20" i="85" s="1"/>
  <c r="M20" i="83"/>
  <c r="M123" i="86"/>
  <c r="N262" i="86"/>
  <c r="N264" i="86" s="1"/>
  <c r="N123" i="86"/>
  <c r="O38" i="86"/>
  <c r="G193" i="87"/>
  <c r="M48" i="87"/>
  <c r="M193" i="87" s="1"/>
  <c r="N10" i="49"/>
  <c r="O238" i="86"/>
  <c r="M245" i="86"/>
  <c r="H87" i="76"/>
  <c r="F8" i="75"/>
  <c r="G9" i="75"/>
  <c r="I96" i="76"/>
  <c r="D17" i="75"/>
  <c r="K8" i="49"/>
  <c r="K64" i="74"/>
  <c r="K66" i="74" s="1"/>
  <c r="N56" i="74"/>
  <c r="N64" i="74" s="1"/>
  <c r="P77" i="76"/>
  <c r="P130" i="76"/>
  <c r="J13" i="49"/>
  <c r="J15" i="49" s="1"/>
  <c r="E13" i="49"/>
  <c r="E15" i="49" s="1"/>
  <c r="N5" i="84"/>
  <c r="H20" i="84"/>
  <c r="O10" i="85"/>
  <c r="M248" i="86"/>
  <c r="O247" i="86"/>
  <c r="O248" i="86" s="1"/>
  <c r="O211" i="86"/>
  <c r="O180" i="86"/>
  <c r="O152" i="86"/>
  <c r="O141" i="86"/>
  <c r="K139" i="76"/>
  <c r="I14" i="75" s="1"/>
  <c r="N14" i="75" s="1"/>
  <c r="P138" i="76"/>
  <c r="N185" i="87"/>
  <c r="O182" i="87"/>
  <c r="O185" i="87" s="1"/>
  <c r="L193" i="87"/>
  <c r="J195" i="87"/>
  <c r="L195" i="87" s="1"/>
  <c r="L33" i="86"/>
  <c r="I33" i="86"/>
  <c r="I262" i="86" s="1"/>
  <c r="I264" i="86" s="1"/>
  <c r="I123" i="86"/>
  <c r="I234" i="86"/>
  <c r="N11" i="75"/>
  <c r="D8" i="49"/>
  <c r="D13" i="49" s="1"/>
  <c r="D15" i="49" s="1"/>
  <c r="D64" i="74"/>
  <c r="D66" i="74" s="1"/>
  <c r="P139" i="76"/>
  <c r="L234" i="86"/>
  <c r="O134" i="86"/>
  <c r="M234" i="86"/>
  <c r="N234" i="86"/>
  <c r="N159" i="87"/>
  <c r="O169" i="87"/>
  <c r="N179" i="87"/>
  <c r="L194" i="87"/>
  <c r="M194" i="87"/>
  <c r="O194" i="87" s="1"/>
  <c r="F8" i="49"/>
  <c r="F13" i="49" s="1"/>
  <c r="F15" i="49" s="1"/>
  <c r="F64" i="74"/>
  <c r="F66" i="74" s="1"/>
  <c r="L245" i="86"/>
  <c r="O120" i="86"/>
  <c r="N258" i="86"/>
  <c r="O257" i="86"/>
  <c r="O258" i="86" s="1"/>
  <c r="O147" i="86"/>
  <c r="E5" i="75"/>
  <c r="G26" i="76"/>
  <c r="L255" i="86"/>
  <c r="O243" i="86"/>
  <c r="M33" i="86"/>
  <c r="G117" i="76"/>
  <c r="G64" i="74"/>
  <c r="G66" i="74" s="1"/>
  <c r="O117" i="76"/>
  <c r="O140" i="76" s="1"/>
  <c r="O142" i="76" s="1"/>
  <c r="M16" i="75"/>
  <c r="I80" i="76"/>
  <c r="H64" i="76"/>
  <c r="O207" i="86"/>
  <c r="O183" i="86"/>
  <c r="O65" i="86"/>
  <c r="O158" i="86"/>
  <c r="O138" i="86"/>
  <c r="O47" i="86"/>
  <c r="P93" i="76"/>
  <c r="P96" i="76" s="1"/>
  <c r="L48" i="87"/>
  <c r="M179" i="87"/>
  <c r="O164" i="87"/>
  <c r="O179" i="87" s="1"/>
  <c r="H5" i="75"/>
  <c r="H15" i="75" s="1"/>
  <c r="H17" i="75" s="1"/>
  <c r="J26" i="76"/>
  <c r="H6" i="75"/>
  <c r="N6" i="75" s="1"/>
  <c r="J64" i="76"/>
  <c r="M140" i="76"/>
  <c r="P78" i="76"/>
  <c r="I26" i="76"/>
  <c r="H96" i="76"/>
  <c r="M20" i="84"/>
  <c r="O223" i="86"/>
  <c r="O73" i="86"/>
  <c r="N130" i="76"/>
  <c r="N140" i="76" s="1"/>
  <c r="N142" i="76" s="1"/>
  <c r="L13" i="75"/>
  <c r="E23" i="95"/>
  <c r="L179" i="87"/>
  <c r="N6" i="84"/>
  <c r="O4" i="85"/>
  <c r="O20" i="85" s="1"/>
  <c r="O13" i="85"/>
  <c r="O64" i="86"/>
  <c r="G27" i="94"/>
  <c r="D13" i="96"/>
  <c r="D15" i="96" s="1"/>
  <c r="N48" i="87"/>
  <c r="O23" i="87"/>
  <c r="O20" i="87"/>
  <c r="O48" i="87" s="1"/>
  <c r="L159" i="87"/>
  <c r="O174" i="87"/>
  <c r="K96" i="76"/>
  <c r="E28" i="95"/>
  <c r="O132" i="87"/>
  <c r="O116" i="87"/>
  <c r="O108" i="87"/>
  <c r="O104" i="87"/>
  <c r="O100" i="87"/>
  <c r="O92" i="87"/>
  <c r="O88" i="87"/>
  <c r="O84" i="87"/>
  <c r="O76" i="87"/>
  <c r="O72" i="87"/>
  <c r="O68" i="87"/>
  <c r="O60" i="87"/>
  <c r="O55" i="87"/>
  <c r="M159" i="87"/>
  <c r="I26" i="94"/>
  <c r="I27" i="94" s="1"/>
  <c r="O234" i="86" l="1"/>
  <c r="L262" i="86"/>
  <c r="N66" i="74"/>
  <c r="N20" i="84"/>
  <c r="H140" i="76"/>
  <c r="H142" i="76" s="1"/>
  <c r="M263" i="86"/>
  <c r="O263" i="86" s="1"/>
  <c r="N4" i="49"/>
  <c r="M17" i="75"/>
  <c r="O159" i="87"/>
  <c r="M142" i="76"/>
  <c r="G140" i="76"/>
  <c r="G142" i="76" s="1"/>
  <c r="L263" i="86"/>
  <c r="L66" i="74"/>
  <c r="I9" i="75"/>
  <c r="I15" i="75" s="1"/>
  <c r="I17" i="75" s="1"/>
  <c r="K140" i="76"/>
  <c r="K142" i="76" s="1"/>
  <c r="I140" i="76"/>
  <c r="I142" i="76" s="1"/>
  <c r="G15" i="75"/>
  <c r="G17" i="75" s="1"/>
  <c r="O245" i="86"/>
  <c r="O123" i="86"/>
  <c r="O262" i="86" s="1"/>
  <c r="O264" i="86" s="1"/>
  <c r="N193" i="87"/>
  <c r="O193" i="87" s="1"/>
  <c r="E34" i="95"/>
  <c r="E40" i="95" s="1"/>
  <c r="J140" i="76"/>
  <c r="J142" i="76" s="1"/>
  <c r="N8" i="49"/>
  <c r="N13" i="49" s="1"/>
  <c r="N15" i="49" s="1"/>
  <c r="P80" i="76"/>
  <c r="P140" i="76" s="1"/>
  <c r="P142" i="76" s="1"/>
  <c r="N8" i="75"/>
  <c r="F15" i="75"/>
  <c r="F17" i="75" s="1"/>
  <c r="L15" i="75"/>
  <c r="L17" i="75" s="1"/>
  <c r="N13" i="75"/>
  <c r="M262" i="86"/>
  <c r="M264" i="86" s="1"/>
  <c r="E15" i="75"/>
  <c r="E17" i="75" s="1"/>
  <c r="N5" i="75"/>
  <c r="G195" i="87"/>
  <c r="I193" i="87"/>
  <c r="L264" i="86" l="1"/>
  <c r="I195" i="87"/>
  <c r="M195" i="87"/>
  <c r="O195" i="87" s="1"/>
  <c r="N9" i="75"/>
  <c r="N15" i="75" s="1"/>
  <c r="N17" i="75" s="1"/>
</calcChain>
</file>

<file path=xl/sharedStrings.xml><?xml version="1.0" encoding="utf-8"?>
<sst xmlns="http://schemas.openxmlformats.org/spreadsheetml/2006/main" count="1655" uniqueCount="1101">
  <si>
    <t xml:space="preserve"> - egészségügyi és szociális ágazat pályázati kerete</t>
  </si>
  <si>
    <t>- Természettudományos oktatás eszközrendszerének és módszertanának fejlesztése a Kölcsey F. Gimnáziumban TÁMOP 3.1.3.-11/2-2012-0023</t>
  </si>
  <si>
    <t>Platán sor 18.szám mögötti parkoló építés</t>
  </si>
  <si>
    <t xml:space="preserve"> - térítésmentes közmű átadás-átvétellel kapcsolatos elszámolások</t>
  </si>
  <si>
    <t xml:space="preserve"> - Nemzetközi kapcsolatok</t>
  </si>
  <si>
    <t xml:space="preserve"> - lakásalappal kapcsolatos bevételek</t>
  </si>
  <si>
    <t xml:space="preserve"> - önkormányzati erdők ápolási és felújítási munkák</t>
  </si>
  <si>
    <t xml:space="preserve"> 042220 Erdőgazdálkodás</t>
  </si>
  <si>
    <t>Zalaegerszeg, 4815/6 hrsz-ú ingatlan vízbekötésének és szennyvízelvezetésének, valamint az Alkotmány utca 2, 4 és 6. sz. ingatlanok szennyvízelvezetésének megvalósítása</t>
  </si>
  <si>
    <t>Rovat száma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</si>
  <si>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</si>
  <si>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</si>
  <si>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</si>
  <si>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</si>
  <si>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</si>
  <si>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</si>
  <si>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</si>
  <si>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</si>
  <si>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Települési önkormányzatok egyes köznevelési feladatainak tám.</t>
  </si>
  <si>
    <t>B113</t>
  </si>
  <si>
    <t>Települési önkormányzatok szociális és gyermekjóléti feladatainak támogatása</t>
  </si>
  <si>
    <t>B114</t>
  </si>
  <si>
    <t>Települési önkormányzatok kulturális feladatainak támogatása</t>
  </si>
  <si>
    <t>B115</t>
  </si>
  <si>
    <t>Működési célú központosított előirányzatok</t>
  </si>
  <si>
    <t>B16</t>
  </si>
  <si>
    <t>Egyéb működési célú támogatások bevételei államháztartáson belülről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</si>
  <si>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</si>
  <si>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</si>
  <si>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</si>
  <si>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</si>
  <si>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</si>
  <si>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</si>
  <si>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</si>
  <si>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Felhalmozási célú támogatások államháztartáson belülről összesen</t>
  </si>
  <si>
    <t>B3</t>
  </si>
  <si>
    <t>B35</t>
  </si>
  <si>
    <t xml:space="preserve">Termékek és szolgáltatások adói </t>
  </si>
  <si>
    <t>B351</t>
  </si>
  <si>
    <t>Értékesítési és forgalmi adók ( helyi iparűzési adó)</t>
  </si>
  <si>
    <t>B354</t>
  </si>
  <si>
    <t>Gépjárműadók</t>
  </si>
  <si>
    <t>B355</t>
  </si>
  <si>
    <t>Egyéb áruhasználati és szolgáltatási adók (talajterhelési díj)</t>
  </si>
  <si>
    <t>B36</t>
  </si>
  <si>
    <t>Egyéb közhatalmi bevételek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</si>
  <si>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</si>
  <si>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</si>
  <si>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</si>
  <si>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</si>
  <si>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</si>
  <si>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</si>
  <si>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</si>
  <si>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</si>
  <si>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B72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</si>
  <si>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</si>
  <si>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</si>
  <si>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</si>
  <si>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</si>
  <si>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</si>
  <si>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</si>
  <si>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</si>
  <si>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</si>
  <si>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</si>
  <si>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</si>
  <si>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</si>
  <si>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</si>
  <si>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</si>
  <si>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</si>
  <si>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</si>
  <si>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</si>
  <si>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</si>
  <si>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</si>
  <si>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</si>
  <si>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</si>
  <si>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</si>
  <si>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K1-K8</t>
  </si>
  <si>
    <t>Költségvetési kiadások összesen:</t>
  </si>
  <si>
    <t>K9</t>
  </si>
  <si>
    <t>Landorhegyi út 1-3-5. szennyvízcsatorna rekonstrukció, csapadékcsatorna leválasztás</t>
  </si>
  <si>
    <t>Zalaegerszeg, Aquacity élményfürdő területén belül található csapadékvíz-elvezető csatorna bővítése</t>
  </si>
  <si>
    <t>Béke utca szennyvízcsatorna rekonstrukció és járulékos munkák</t>
  </si>
  <si>
    <t>Tüttő Gy u. 15.. és a szomszédos ingatlanok csapadékvízelvezetése</t>
  </si>
  <si>
    <t>Gébárti kézművesház tűzivízellátása</t>
  </si>
  <si>
    <t xml:space="preserve">Posta út csatornázása </t>
  </si>
  <si>
    <t>Csapadékvíz-elvezetések, vízrendezések tervezése</t>
  </si>
  <si>
    <t>Zalaegerszeg, Rákóczi Ferenc utca Arany János utca és Mártírok útja között lévő szakaszán üzemelő csapadékcsatorna és ivóvízvezeték rekonstrukciója</t>
  </si>
  <si>
    <t>Budai völgy vízellátása I. ütem befejező munkái</t>
  </si>
  <si>
    <t>Ságodi mélyfúrású kutakhoz kapcsolódó feladatok</t>
  </si>
  <si>
    <t xml:space="preserve">Közvilágítás korszerűsítés Zalaegerszeg I. (KEOP-5.5.0/A/12-2013-0191) </t>
  </si>
  <si>
    <t>3.a/2</t>
  </si>
  <si>
    <t xml:space="preserve">Közvilágítás korszerűsítés Zalaegerszeg II. (KEOP-5.5.0/A)/12-2013-0182 </t>
  </si>
  <si>
    <t>Zalaegerszeg, Déryné utcai gyalogátkelőhely létesítése</t>
  </si>
  <si>
    <t>Landorhegyi u. 8. sz. alatti orvosi rendelő parkoló kialakítási munkái</t>
  </si>
  <si>
    <t>Takarék köz közműcsere utáni helyreállítás</t>
  </si>
  <si>
    <t>Petőfi iskola parkoló építés</t>
  </si>
  <si>
    <t>Kertvárosi templom alsó parkoló építése</t>
  </si>
  <si>
    <t>Andráshidán járdaburkolat építés</t>
  </si>
  <si>
    <t xml:space="preserve">Újtemető parkoló bővítés </t>
  </si>
  <si>
    <t>Göcseji u.- Závoczki I.u. jobbra kanyarodó sáv kialakítási munkái pályázati önrész</t>
  </si>
  <si>
    <t>Petőfi S. Iskola mögötti tömbbelsőben parkolóépítés</t>
  </si>
  <si>
    <t>Játszótér és park kialakítása Hatházán</t>
  </si>
  <si>
    <t>Kerékpárút építésekhez kapcsolódó fásítások és területrendezések</t>
  </si>
  <si>
    <t>Előtervezésekből 2013. évről áthúzódó feladatok</t>
  </si>
  <si>
    <t>Béke utca felújításának előkészítése, tervezése</t>
  </si>
  <si>
    <t>Rákóczi u. felújításához kapcsolódó vízi-közmű kiváltások előkészítése, tervezése</t>
  </si>
  <si>
    <t>6.1.a/3</t>
  </si>
  <si>
    <t>Vizslapark funkcióbővítés és fejlesztés előkészítése, tervezése</t>
  </si>
  <si>
    <t>6.1.a/4</t>
  </si>
  <si>
    <t>107060 Egyéb szociális pénzbeli és természetbeni ellátások, támogatások</t>
  </si>
  <si>
    <t>062020 Területfejlesztési projektek és támogatásuk</t>
  </si>
  <si>
    <t>B53</t>
  </si>
  <si>
    <t>Egyéb tárgyi eszközök értékesítése</t>
  </si>
  <si>
    <t>Gébárti fürdőlétesítmények (Aquacity) fejlesztési koncepció terv készítés</t>
  </si>
  <si>
    <t>6.1.a/5</t>
  </si>
  <si>
    <t>Fenyő u. korszerűsítése</t>
  </si>
  <si>
    <t>Zalaegerszeg történelmi városközpont rehabilitációs és revitalizációs program NYDOP-3.1.1/B-2009-0005</t>
  </si>
  <si>
    <t>Tehermentesítő út II. ütem építéséhez kapcsolódó közműépítések</t>
  </si>
  <si>
    <t>Kosztolányi u. kétirányúsítása</t>
  </si>
  <si>
    <t>Városrehab. II. ütem kapcsolódó közműépítések</t>
  </si>
  <si>
    <t>Egyéb 2014. évi pályázatok területszerzés, -rendezés</t>
  </si>
  <si>
    <t>6./11</t>
  </si>
  <si>
    <t>Ipari környezet fejlesztése</t>
  </si>
  <si>
    <t>6./13</t>
  </si>
  <si>
    <t>Ingatlanvásárlások</t>
  </si>
  <si>
    <t>AGORA-program - Ady mozi területszerzés (pince), jogi rendezés</t>
  </si>
  <si>
    <t xml:space="preserve">Kossuth u. 50. udvari épület bontása </t>
  </si>
  <si>
    <t>Belvárosi területrendezések, nem felújítható épületek bontása</t>
  </si>
  <si>
    <t>Harasztifalu területszerzés</t>
  </si>
  <si>
    <t>Ipari parkban internet kapcsolat kiépítése</t>
  </si>
  <si>
    <t>6./20</t>
  </si>
  <si>
    <t>Labdarúgó Stadionban fejlesztési munkák</t>
  </si>
  <si>
    <t>6./21</t>
  </si>
  <si>
    <t>LÉSZ Kft. telephely útcsatlakozás és szervízút építés</t>
  </si>
  <si>
    <t>6.b/7</t>
  </si>
  <si>
    <t>6.b/8</t>
  </si>
  <si>
    <t>"Zalaegerszeg 2020-Integrált településfejlesztési stratégia megalkotása" projekt pályázati támogatással  NYDOP-3.1.1/F-13-2013-0001</t>
  </si>
  <si>
    <t>6.b/9</t>
  </si>
  <si>
    <t xml:space="preserve">"Komplex belváros rehabilitációs program Zalaegerszegen" projekt pályázati támogatással NYDOP-3.1.1/B1-13-k-2013-0005 </t>
  </si>
  <si>
    <t>6.b/10</t>
  </si>
  <si>
    <t>Barnamezős vásárlás/fejlesztés</t>
  </si>
  <si>
    <t>6.b/11</t>
  </si>
  <si>
    <t>Barnamezős területek rehabilitációja</t>
  </si>
  <si>
    <t>6.b/12</t>
  </si>
  <si>
    <t>Szociális városrehabilitáció Zalaegerszegen NYDOP-3.1.1/B2-13-k2-2013-0001</t>
  </si>
  <si>
    <t>6.b/13</t>
  </si>
  <si>
    <t>6.b/14</t>
  </si>
  <si>
    <t>6.b/15</t>
  </si>
  <si>
    <t>Buslakpuszta hulladékdepó bővítéséhez területszerzés, kisajátítás</t>
  </si>
  <si>
    <t>7.a./2</t>
  </si>
  <si>
    <t>8.a/1</t>
  </si>
  <si>
    <t>Öveges ÁMK területén gázvezeték kiváltása</t>
  </si>
  <si>
    <t xml:space="preserve">Zalaegerszeg, 5530/12 hrsz területén üzemelő hírközlési földkábel teljeskörű kiváltása </t>
  </si>
  <si>
    <t>Dísz tér átépítéséhez kapcsolódó építési munkák</t>
  </si>
  <si>
    <t>Beruházásokhoz kapcsolódó egyéb feladatok ( tervezés, eljárási díjak)</t>
  </si>
  <si>
    <t>Vorhotai közösségi tér fejlesztése</t>
  </si>
  <si>
    <t xml:space="preserve">Vagyonkezelési feladatok </t>
  </si>
  <si>
    <t>Területcsere É-i és D-i ipari parkban 254/2013. kgy.hat.alapján</t>
  </si>
  <si>
    <t>1.a./4</t>
  </si>
  <si>
    <t>Városrehabilitációra, valamint lakóövezetbe sorolt építési telek kialakítása, lakásvásárlás Lakásalapból</t>
  </si>
  <si>
    <t>1.a./5</t>
  </si>
  <si>
    <t>Zalavíz Zrt. részvény vásárlás</t>
  </si>
  <si>
    <t>Térfigyelő kamera felszerelése Botfán</t>
  </si>
  <si>
    <t xml:space="preserve">Stúdió Rádió fejlesztési célú támogatása </t>
  </si>
  <si>
    <t>Alcímszám</t>
  </si>
  <si>
    <t>Sorszám</t>
  </si>
  <si>
    <t>2014. évi eredeti előirányzat</t>
  </si>
  <si>
    <t>2014. évi módosított előirányzat</t>
  </si>
  <si>
    <t>Módosítás hatáskör szerint</t>
  </si>
  <si>
    <t>Felúj. célú pénzeszk. átad.és egyéb felújítási célú kiadás</t>
  </si>
  <si>
    <t xml:space="preserve">            Óvodák</t>
  </si>
  <si>
    <t>1./1/1.</t>
  </si>
  <si>
    <t>Landorhegyi óvoda ( Űrhajós u. 2. ) gyermek vizesblokk felújítás II. ütem</t>
  </si>
  <si>
    <t>1./1/2.</t>
  </si>
  <si>
    <t>Óvodák felújítása</t>
  </si>
  <si>
    <t>1./1/3.</t>
  </si>
  <si>
    <t>Petőfi Óvoda udvar felújítás</t>
  </si>
  <si>
    <t>1./1/4.</t>
  </si>
  <si>
    <t>Radnóti u. óvoda kerítés felújítása</t>
  </si>
  <si>
    <t>1./1/5.</t>
  </si>
  <si>
    <t>1./1/6.</t>
  </si>
  <si>
    <t>Kis utcai Óvodában udvarfelújítás</t>
  </si>
  <si>
    <t>1./1/7.</t>
  </si>
  <si>
    <t>Napsugár úti óvoda udvari létesítmények és belső vizesblokk felújítás</t>
  </si>
  <si>
    <t>1./1/8.</t>
  </si>
  <si>
    <t>Űrhajós úti óvoda udvari létesítmények és belső vizesblokk felújítás</t>
  </si>
  <si>
    <t>1./1/9.</t>
  </si>
  <si>
    <t>Kodály úti tagóvodában vizesblokk felújítás</t>
  </si>
  <si>
    <t>1./2/1..</t>
  </si>
  <si>
    <t>Általános iskolákban felújítási munkák</t>
  </si>
  <si>
    <t>1./2/2..</t>
  </si>
  <si>
    <t xml:space="preserve">Dózsa Gy. tagiskola felújítás </t>
  </si>
  <si>
    <t>1./2/3..</t>
  </si>
  <si>
    <t>1./2/4.</t>
  </si>
  <si>
    <t xml:space="preserve">Ady Iskola felújítás                 </t>
  </si>
  <si>
    <t>1./2/5..</t>
  </si>
  <si>
    <t xml:space="preserve">Petőfi Iskola felújítás </t>
  </si>
  <si>
    <t>1./2/6.</t>
  </si>
  <si>
    <t>Béke ligeti Iskola felújítás</t>
  </si>
  <si>
    <t>Liszt Ferenc Tagiskola udvarának felújítása</t>
  </si>
  <si>
    <t>1./3/1.</t>
  </si>
  <si>
    <t>Kölcsey Gimnázium TÁMOP pályázatához nem támogatott munkarész költsége (labor lapostető szigetelés munkái)</t>
  </si>
  <si>
    <t>1./3/2.</t>
  </si>
  <si>
    <t>Zrínyi Gimnázium felújítás</t>
  </si>
  <si>
    <t>2./1.</t>
  </si>
  <si>
    <t>Zalaegerszegi VMK DK-i szárny belső átalakítása (Családsegítő Szolgálat és Gyermekjóléti Központ)</t>
  </si>
  <si>
    <t>2./2.</t>
  </si>
  <si>
    <t>"Települési szilárdhulladék-gazdálkodási rendszerek eszközparkjának fejlesztése, informatikai korszerűsítése" pályázati támogatással KEOP-1.1.1/C/13.</t>
  </si>
  <si>
    <t xml:space="preserve">Hevesi Sándor Színház ponthúzó hajtásrendszerének felújítása  </t>
  </si>
  <si>
    <t>3./1.</t>
  </si>
  <si>
    <t>3./1/1.</t>
  </si>
  <si>
    <t>Orvosi rendelők felújítása</t>
  </si>
  <si>
    <t>3./2.</t>
  </si>
  <si>
    <t>3./2/1.</t>
  </si>
  <si>
    <t>Bölcsődék felújítása</t>
  </si>
  <si>
    <t>3./2/2.</t>
  </si>
  <si>
    <t>Kis utcai Tipegő Bölcsődében nyílászáró csere</t>
  </si>
  <si>
    <t>3./2/3.</t>
  </si>
  <si>
    <t>Napsugár úti bölcsőde udvari létesítmények és belső vizesblokk felújítás</t>
  </si>
  <si>
    <t>3./2/4.</t>
  </si>
  <si>
    <t>Űrhajós úti bölcsőde udvari létesítmények és belső vizesblokk felújítás</t>
  </si>
  <si>
    <t>3./3.</t>
  </si>
  <si>
    <t>3./3/1.</t>
  </si>
  <si>
    <t>Landorhegyi Idősek Klubja tetőcsere</t>
  </si>
  <si>
    <t xml:space="preserve">5. </t>
  </si>
  <si>
    <t>Sportcsarnokban ZTE KK Kft. TAO-s pályázatához kapcsolódó felújítási feladatokhoz</t>
  </si>
  <si>
    <t>Kis utcai óvoda kazánház ablakcsere</t>
  </si>
  <si>
    <t>Landorhegyi u. 8. szám alatti gyermekorvosi rendelők felújítása</t>
  </si>
  <si>
    <t>Ilosvai u.-i csapadékvízelvezető műtárgyak felújítása</t>
  </si>
  <si>
    <t>Önkormányzati kezelésben lévő intézmények közműveinek felújítása</t>
  </si>
  <si>
    <t>Vagyonkezelésre a Zalavíznek nem átadott szennyvízcsatornák felúj.</t>
  </si>
  <si>
    <t>Mátyás k. u. csapadékvízelvezetés  és útfelújítás</t>
  </si>
  <si>
    <t>Mártírok u. burkolatfelújítás, csapadékcsatorna építés</t>
  </si>
  <si>
    <t>Olajmunkás utca burkolatfelújítás</t>
  </si>
  <si>
    <t>Ady utca út- és járda felújítása (vízkiváltással)</t>
  </si>
  <si>
    <t>Csendes utca burkolatfelújítás II. ütem</t>
  </si>
  <si>
    <t>Bozsoki hegy beton burkolat építések</t>
  </si>
  <si>
    <t>Május 1. utca útfelújítása</t>
  </si>
  <si>
    <t>Mezőgazdasági utak felújítása</t>
  </si>
  <si>
    <t>Szenterzsébethegyi út végének felújítása</t>
  </si>
  <si>
    <t>Balassi u. felújítás IV. ütem</t>
  </si>
  <si>
    <t>KI-SZO-SAN lakóparkhoz vezető út aszfaltozása</t>
  </si>
  <si>
    <t>Katona József utca burkolatfelújítás</t>
  </si>
  <si>
    <t>Gyimesi utca parkolófelújítás I. ütem</t>
  </si>
  <si>
    <t>Cimpóhegy aszfaltozás I. ütem</t>
  </si>
  <si>
    <t xml:space="preserve">Zalagyöngye utca </t>
  </si>
  <si>
    <t>Cserlapi út - Gombás utca útfelújítás</t>
  </si>
  <si>
    <t>Szekeresvölgyi - Petúnia - Barka u. felújítás</t>
  </si>
  <si>
    <t>Munkaügyi központ mellett zúzalékos parkolók felújítása</t>
  </si>
  <si>
    <t>Útfelújítások Gógánhegyen</t>
  </si>
  <si>
    <t>Virágszer Gógánhegy közötti útra mart aszfalt, beton</t>
  </si>
  <si>
    <t>Virágzómező u. felújítás IV. ütem</t>
  </si>
  <si>
    <t xml:space="preserve">Telekalja u. felújítása </t>
  </si>
  <si>
    <t xml:space="preserve">Ságodi u. párhuzamos lakóút felújítása </t>
  </si>
  <si>
    <t>A pózvai köztemetőnél zúzalékkavicsos parkoló kiépítése</t>
  </si>
  <si>
    <t>084031 Civil szervezetek működési támogatása</t>
  </si>
  <si>
    <t>Kinizsi u. 78. társasház előtt parkoló szegély javítása</t>
  </si>
  <si>
    <t>Hegyi u. aszfaltos focipálya aszfaltozása, fejlesztése</t>
  </si>
  <si>
    <t>Öreghegyi u. aszfaltozása</t>
  </si>
  <si>
    <t>Arany J. u. 69-71. társasházak közötti belső út felújítása</t>
  </si>
  <si>
    <t>Landorhegyi u. 20. mögötti parkoló felújítása</t>
  </si>
  <si>
    <t>Gasparich út 11.-13. – út és parkolófelújítás</t>
  </si>
  <si>
    <t>Babits utca 2. szám előtti útszakasz burkolatfelújítás</t>
  </si>
  <si>
    <t xml:space="preserve">Zárda u. - Orsolya tér útfelújítás                         </t>
  </si>
  <si>
    <t>Hegyalja u. 11. mögötti terület parkoló bővítés, parkosítás</t>
  </si>
  <si>
    <t>Dombalja utca aszfaltozása</t>
  </si>
  <si>
    <t xml:space="preserve">  - Zenica testvérváros támogatása árvízkárok enyhítésére</t>
  </si>
  <si>
    <t>Csácsi és Bozsoki hegyi utak felújítása</t>
  </si>
  <si>
    <t xml:space="preserve">Patkó utcáról keletre nyíló rövid útszakasz felújítása </t>
  </si>
  <si>
    <t>Szabadság útról Bozsoki hegyre vezető 21354 hrsz út építése és a Bozsoki horhos támfalának javítása</t>
  </si>
  <si>
    <t>4./41</t>
  </si>
  <si>
    <t>Alsóerdei u. balesetveszélyes fahíd felújítása</t>
  </si>
  <si>
    <t>4./42</t>
  </si>
  <si>
    <t>4./43</t>
  </si>
  <si>
    <t>Balesetveszélyes tereplépcsők, járdák, volt Skála melletti lépcső  felújítása</t>
  </si>
  <si>
    <t>4./44</t>
  </si>
  <si>
    <t>Neszelében a Gébárti utcai járda felújítása</t>
  </si>
  <si>
    <t>4./45</t>
  </si>
  <si>
    <t>Ságodi u. járdaburkolat felújítás</t>
  </si>
  <si>
    <t>4./46</t>
  </si>
  <si>
    <t>Kaszaházi u. Thifim közötti járdaszakasz felújítás</t>
  </si>
  <si>
    <t>4./47</t>
  </si>
  <si>
    <t>Ola utca járda felújítás és zöldfelület rendezés</t>
  </si>
  <si>
    <t>4./48</t>
  </si>
  <si>
    <t>Kosztolányi tér járda felújítás és zöldfelület rendezés:</t>
  </si>
  <si>
    <t>4./49</t>
  </si>
  <si>
    <t>Kovács Károly térről buszállomás felé az átkötő járda szélesítése és felújítása</t>
  </si>
  <si>
    <t>4./50</t>
  </si>
  <si>
    <t>4./51</t>
  </si>
  <si>
    <t>4./52</t>
  </si>
  <si>
    <t>Juhász Gy. u. útszűkület, vasúti átjáró burkolat javítás</t>
  </si>
  <si>
    <t>4./53</t>
  </si>
  <si>
    <t>Arany J.u.-tól nyugatra lévő lakóövezet járda felújítási munkái</t>
  </si>
  <si>
    <t>4./54</t>
  </si>
  <si>
    <t>Madách u. – Landorhegyi u. 37. – 51. sz. társasházakat összekötő lépcső felújítása</t>
  </si>
  <si>
    <t>4./55</t>
  </si>
  <si>
    <t>Bazita u. járdaburkolat felújítás</t>
  </si>
  <si>
    <t>4./56</t>
  </si>
  <si>
    <t>Ebergényi járdák</t>
  </si>
  <si>
    <t>4./57</t>
  </si>
  <si>
    <t>Szent László utca és környéke járdafelújítások</t>
  </si>
  <si>
    <t>4./58</t>
  </si>
  <si>
    <t>Bozsoki úti járda felújítás II. ütem</t>
  </si>
  <si>
    <t>4./59</t>
  </si>
  <si>
    <t>Kertváros  út-, járdaburkolat felújítási munkák</t>
  </si>
  <si>
    <t>4./60</t>
  </si>
  <si>
    <t>Stadion u. járdaburkolat felújítás</t>
  </si>
  <si>
    <t>Bozsok Hegy út felújítása</t>
  </si>
  <si>
    <t>Balesetveszélyes tereplépcsők, járdák  felújítása</t>
  </si>
  <si>
    <t>Hegyalja u. 11-13. parkoló burkolatfelújítás, Hegyalja  u. 9-11. között betonlapos gyalogjárda felújítás</t>
  </si>
  <si>
    <t>Lakótelepek faállományának felújítása</t>
  </si>
  <si>
    <t>Belvárosi zöldterület felújítás</t>
  </si>
  <si>
    <t>Béke liget felújítása</t>
  </si>
  <si>
    <t>Pázmány P. u. Színház hátsó bejárati zöldsáv felújítás</t>
  </si>
  <si>
    <t>Kinizsi u. fák cseréje, karbantartása</t>
  </si>
  <si>
    <t>Landorhegyi járdák, parkok felújítása</t>
  </si>
  <si>
    <t>Bazitai kilátó környékének rendbetétele</t>
  </si>
  <si>
    <t>Önkormányzati erdő ápolási, felújítási munkálatainak elvégzése</t>
  </si>
  <si>
    <t>Göcseji úti köztemető ravatalozójának padozat cseréje, felújítása</t>
  </si>
  <si>
    <t>Új köztemető ravatalozó tetőfelújítás</t>
  </si>
  <si>
    <t>Olasz hősi temető sírhelyek felújítása</t>
  </si>
  <si>
    <t>Első világháborús történelmi emlékművek helyreállítása pályázati önrész</t>
  </si>
  <si>
    <t>8./5</t>
  </si>
  <si>
    <t>Göcseji úti köztemető hősi halottak sírjelének felújítása</t>
  </si>
  <si>
    <t>8./6</t>
  </si>
  <si>
    <t>Botfai temető kerítésének javítása</t>
  </si>
  <si>
    <t xml:space="preserve">Pózvai Közösségi Ház (a harangláb melletti) tetőfelújítása </t>
  </si>
  <si>
    <t xml:space="preserve">Idősek Otthona kialakítása </t>
  </si>
  <si>
    <t>Botfa közösségi ház festése, ajtók cseréje</t>
  </si>
  <si>
    <t xml:space="preserve">Bazitai templom felújítása </t>
  </si>
  <si>
    <t>Mozgássérültek Zm.Egyesülete részére pe. átad. a Gébárti faház felúj.</t>
  </si>
  <si>
    <t>Vorhota Közösségi Ház felújítása</t>
  </si>
  <si>
    <t>Út-járda parkoló</t>
  </si>
  <si>
    <t>Olajmunkás utca 4. szám mögött parkolóépítés</t>
  </si>
  <si>
    <t>Tüttőssy utca 6. szám előtti (Európa tér) járda felújítása</t>
  </si>
  <si>
    <t>Ady utca járda - Strand előtti szakasz felújítása</t>
  </si>
  <si>
    <t>Berzsenyi-Stadion utcai tömbbelsőben és környékén járda felújítás és zöldfelület rendezés</t>
  </si>
  <si>
    <t>Ferences Plébánia részére felújításhoz pénzeszköz átadás</t>
  </si>
  <si>
    <t>Lakásalap</t>
  </si>
  <si>
    <r>
      <t xml:space="preserve">            </t>
    </r>
    <r>
      <rPr>
        <i/>
        <sz val="9"/>
        <rFont val="Times New Roman"/>
        <family val="1"/>
        <charset val="238"/>
      </rPr>
      <t>Középiskolák</t>
    </r>
  </si>
  <si>
    <r>
      <t xml:space="preserve">         </t>
    </r>
    <r>
      <rPr>
        <i/>
        <sz val="9"/>
        <rFont val="Times New Roman"/>
        <family val="1"/>
        <charset val="238"/>
      </rPr>
      <t>Orvosi rendelők</t>
    </r>
  </si>
  <si>
    <r>
      <t xml:space="preserve">   </t>
    </r>
    <r>
      <rPr>
        <i/>
        <sz val="9"/>
        <rFont val="Times New Roman"/>
        <family val="1"/>
        <charset val="238"/>
      </rPr>
      <t xml:space="preserve">       Bölcsődék</t>
    </r>
  </si>
  <si>
    <r>
      <t xml:space="preserve">       </t>
    </r>
    <r>
      <rPr>
        <i/>
        <sz val="10"/>
        <rFont val="Times New Roman"/>
        <family val="1"/>
        <charset val="238"/>
      </rPr>
      <t xml:space="preserve"> Szociális feladatok</t>
    </r>
  </si>
  <si>
    <r>
      <t xml:space="preserve">Platán sor alépítmény megerősítés - </t>
    </r>
    <r>
      <rPr>
        <i/>
        <sz val="9"/>
        <rFont val="Times New Roman"/>
        <family val="1"/>
        <charset val="238"/>
      </rPr>
      <t>Hydrocomppal közös felújítás</t>
    </r>
  </si>
  <si>
    <t xml:space="preserve"> - egyéb szociális szolgáltatás</t>
  </si>
  <si>
    <t>4./8.</t>
  </si>
  <si>
    <t>Havasi gyopár u. magánerős útépítés</t>
  </si>
  <si>
    <t>Havasi gyopár u. magánerős útépítéshez lakossági befizetés</t>
  </si>
  <si>
    <t>Cserével vegyes ingatlanszerződések</t>
  </si>
  <si>
    <t xml:space="preserve"> - Cserével vegyes ingatlanszerződések</t>
  </si>
  <si>
    <t>Magánerős szennyvízcsatorna bekötések</t>
  </si>
  <si>
    <t>Ivóvíz beruházások</t>
  </si>
  <si>
    <t xml:space="preserve">Közvilágítás fejlesztése </t>
  </si>
  <si>
    <t>Információs táblák pótlása, kihelyezése</t>
  </si>
  <si>
    <t>5.a./1</t>
  </si>
  <si>
    <t>8./1</t>
  </si>
  <si>
    <t>8./2</t>
  </si>
  <si>
    <t>Beszerzésekhez szükséges egyszerű műszaki tervdokumentációk elkészítése, műszaki ellenőrzések és egyéb hatósági díjak</t>
  </si>
  <si>
    <t>9./5</t>
  </si>
  <si>
    <t>9./6</t>
  </si>
  <si>
    <t xml:space="preserve">Vorhotán Újhegyi u. járdaépítés és kapcsolódó árok zárttá tétele </t>
  </si>
  <si>
    <t>2./3</t>
  </si>
  <si>
    <t>Csácsi hegy nyomásövezetek összekötése</t>
  </si>
  <si>
    <t>I. Helyi önkormányzatok működésének általános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</si>
  <si>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</si>
  <si>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</si>
  <si>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</si>
  <si>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</si>
  <si>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II. Települési önkormányzatok egyes köznevelési feladatainak támogatása</t>
  </si>
  <si>
    <t>1. Óvodapedagógusok és az óvodapedagógusok nevelő munkáját közvetlenül segítők bértámogatása</t>
  </si>
  <si>
    <t>2. Óvodaműködtetési támogatás</t>
  </si>
  <si>
    <t>1./8</t>
  </si>
  <si>
    <t>1./6</t>
  </si>
  <si>
    <t>1./7</t>
  </si>
  <si>
    <t>III. Települési önkormányzatok szociális és gyermekjóléti feladatainak támogatása</t>
  </si>
  <si>
    <t>1000-25000</t>
  </si>
  <si>
    <t>3. Egyes szociális és gyermekjóléti feladatok támogatása</t>
  </si>
  <si>
    <t xml:space="preserve">     3.ae) (1) kiegészítő tám. Társult formában történő ellátás esetén családsegítés</t>
  </si>
  <si>
    <t xml:space="preserve">     3.ae) (2) kiegészítő tám. Társult formában történő ellátás esetén gyermekjóléti szolgálat</t>
  </si>
  <si>
    <t xml:space="preserve">  a) Szociális és gyermekjóléti alapszolgáltatások általános feladatai</t>
  </si>
  <si>
    <t xml:space="preserve">   b) Gyermekjóléti Központ </t>
  </si>
  <si>
    <t xml:space="preserve">   c) Szociális étkeztetés</t>
  </si>
  <si>
    <t xml:space="preserve">   d) Házi segítségnyújtás</t>
  </si>
  <si>
    <t>Helyi önkormányzatok kiegészítő támogatásai</t>
  </si>
  <si>
    <t xml:space="preserve">   f) Időskorúak nappali intézményi  ellátása</t>
  </si>
  <si>
    <t>Hitel-, kölcsöntörlesztés áht-n kívülre</t>
  </si>
  <si>
    <t>Egyéb finanszírozási kiadás</t>
  </si>
  <si>
    <t>Beruházási kiadások:</t>
  </si>
  <si>
    <t>Beruházási kiadások</t>
  </si>
  <si>
    <t>Beruházási  kiadások:</t>
  </si>
  <si>
    <t>Beruházás kiadások</t>
  </si>
  <si>
    <t>1.) Működési célú támogatások államháztartáson belülről</t>
  </si>
  <si>
    <t>2014. évi bevétel eredeti előirányzat</t>
  </si>
  <si>
    <t>2014. évi bevétel módosított előirányzat</t>
  </si>
  <si>
    <t>2.) Közhatalmi bevételek</t>
  </si>
  <si>
    <t>3.) Működési bevételek</t>
  </si>
  <si>
    <t>4.) Működési célú átvett pénzeszközök</t>
  </si>
  <si>
    <t>3.Egyéb működési célú kiadások (költségvetési szervek és tartalék nélkül)</t>
  </si>
  <si>
    <t xml:space="preserve"> Finanszírozási bevételek</t>
  </si>
  <si>
    <t>5.) Előző év költségvetési maradványának igénybevétele</t>
  </si>
  <si>
    <t>6.) Előző év vállalkozási maradványának igénybevétele</t>
  </si>
  <si>
    <t xml:space="preserve">1.) Felhalmozási célú támogatások államháztartáson belülről </t>
  </si>
  <si>
    <t>1.) Egyéb  felhalmozási célú kiadások</t>
  </si>
  <si>
    <t>3.) Felhalmozási bevételek</t>
  </si>
  <si>
    <t>4.) Felhalmozási célú átvett pénzeszközök</t>
  </si>
  <si>
    <t>5.) Működési bevételek (áfa visszaigénylés)</t>
  </si>
  <si>
    <t>7.) Előző év költségvetési maradványának igénybevétele</t>
  </si>
  <si>
    <t>5.)Fejlesztési hitel kamata</t>
  </si>
  <si>
    <t xml:space="preserve"> Finanszírozási kiadások</t>
  </si>
  <si>
    <t xml:space="preserve">6.) Hitel- és kölcsön törlesztések,lízing </t>
  </si>
  <si>
    <t>2014. évi  módosított előirányzat</t>
  </si>
  <si>
    <t xml:space="preserve">   g) Fogyatékos és demens személyek nappali intézményi ellátása</t>
  </si>
  <si>
    <t>3./5</t>
  </si>
  <si>
    <t>3./6</t>
  </si>
  <si>
    <t>3./7</t>
  </si>
  <si>
    <t xml:space="preserve">   h)  Pszichiátriai és szenvedélybetegek nappali intézményi ellátása</t>
  </si>
  <si>
    <t>2014. évi módosított ei. az I. negyedévi módosítás után</t>
  </si>
  <si>
    <t>2014. évi II. negyedévi módosítás</t>
  </si>
  <si>
    <t xml:space="preserve">  j) Gyermekek napközbeni ellátása</t>
  </si>
  <si>
    <t xml:space="preserve">  ja) Bölcsődei ellátás</t>
  </si>
  <si>
    <t xml:space="preserve">      Bölcsödei ellátás fogyatékos gyermek</t>
  </si>
  <si>
    <t xml:space="preserve"> l) Gyermekek átmeneti intézményei ( helyettes szülői ellátás)</t>
  </si>
  <si>
    <t>4. települési önk. által az idős és hajléktalan személyek részére nyújtott szociális szakosított ellátási feladatok</t>
  </si>
  <si>
    <t>a) a kötelezően foglalkoztatott szakmai dolgozók bértámogatása</t>
  </si>
  <si>
    <t>b)  intézmény üzemeltetési támogatás</t>
  </si>
  <si>
    <t>IV. Települési önk. kulturális feladatainak támogatása</t>
  </si>
  <si>
    <t>1.a) megyei hatókörű városi múzeumok feldataiank támogatása ( Göcseji Múzeum)</t>
  </si>
  <si>
    <t xml:space="preserve">1.b) megyei hatáskörű könyvtárak feladatainak támogatása ( (Deák Ferenc Megyei    Könyvtár és a  városi könyvtár) </t>
  </si>
  <si>
    <t>1.c) megyei jogú városok közművelődési támogatása</t>
  </si>
  <si>
    <t>1.h) megyei hatókörű könyvtár kistelepülési könyvtári és közművelődési célú kieg. Támogatása ( év közben pályázat)</t>
  </si>
  <si>
    <t>2. Települési önk.által fenntartott előadó-művészeti szervezetek támogatása</t>
  </si>
  <si>
    <t>2.a) színházművészeti szervezetek támogatása</t>
  </si>
  <si>
    <t>Központosított előirányzatok</t>
  </si>
  <si>
    <t>Állami hozzájárulás összesen:</t>
  </si>
  <si>
    <t>Módosítás összege</t>
  </si>
  <si>
    <t>Személyi juttatások</t>
  </si>
  <si>
    <t>Munkaadókat terhelő járulékok és szociális hj. adó</t>
  </si>
  <si>
    <t xml:space="preserve">Dologi kiadások </t>
  </si>
  <si>
    <t>Egyéb működési célú kiadások</t>
  </si>
  <si>
    <t>013320 Köztemető-fenntartás és működtetés</t>
  </si>
  <si>
    <t xml:space="preserve"> -köztemető fenntartás és temetői létesítmények  használati díja</t>
  </si>
  <si>
    <t>084070 A fiatalok társ. integrációját seg. struktúra, szakmai szolgált. fejlesztése, működtetése</t>
  </si>
  <si>
    <t xml:space="preserve"> - ifjúsági rendezvények</t>
  </si>
  <si>
    <t xml:space="preserve"> - saját fenntartású, illetve működtetésű intézmények karbantartása</t>
  </si>
  <si>
    <t>013350 Az önkorm. vagyonnal való gazd. kapcs. feladatok</t>
  </si>
  <si>
    <t xml:space="preserve"> - óvodáztatási támogatás</t>
  </si>
  <si>
    <t xml:space="preserve"> - nyári étkeztetés</t>
  </si>
  <si>
    <t>074040 Fertőző megbetegedések megelőzése, járványügyi ellát.</t>
  </si>
  <si>
    <t xml:space="preserve"> - HPV védőoltás</t>
  </si>
  <si>
    <t xml:space="preserve"> - lízingfizetési kötelezettség</t>
  </si>
  <si>
    <t>102021 Időskorúak, demens betegek tartós bentlak. ellát.</t>
  </si>
  <si>
    <t xml:space="preserve"> - Idősek Otthona lízingdíj kamata és árfolyamveszteség</t>
  </si>
  <si>
    <t>Nyári gyermekétkeztetés</t>
  </si>
  <si>
    <t>Jövedelempótló támogatások</t>
  </si>
  <si>
    <t>Óvodáztatási támogatás</t>
  </si>
  <si>
    <t>104051 Gyermekvédelmi pénzbeli és természetbeni ellátások</t>
  </si>
  <si>
    <t>Működési költségvetés összesen:</t>
  </si>
  <si>
    <t>Beruházások</t>
  </si>
  <si>
    <t>Felújítások</t>
  </si>
  <si>
    <t>Egyéb felhalmozási kiadások</t>
  </si>
  <si>
    <t>Felhalmozási költségvetés összesen:</t>
  </si>
  <si>
    <t>Önkormányzat kiadásai összesen</t>
  </si>
  <si>
    <t xml:space="preserve">Körzeti megbízotti iroda céljára ingatlan vásárlás </t>
  </si>
  <si>
    <t>7.a./1</t>
  </si>
  <si>
    <t>Közhatalmi bevételek</t>
  </si>
  <si>
    <t xml:space="preserve"> - helyi önkormányzatok általános működésének és ágazati feladatainak támogatása</t>
  </si>
  <si>
    <t>Szociális és igazgatási feladatok</t>
  </si>
  <si>
    <t>Humánigazgatási feladatok</t>
  </si>
  <si>
    <t>Szakosztályok</t>
  </si>
  <si>
    <t>Szociális és igazgatási feladatok összesen:</t>
  </si>
  <si>
    <t>Humánigazgatási feladatok összesen:</t>
  </si>
  <si>
    <t>Jogi igazgatási feladatok</t>
  </si>
  <si>
    <t>Jogi igazgatási feladatok összesen:</t>
  </si>
  <si>
    <t>Építéshatósági feladatok összesen:</t>
  </si>
  <si>
    <t>Polgármesteri Iroda</t>
  </si>
  <si>
    <t>Polgármesteri Iroda összesen:</t>
  </si>
  <si>
    <t>081045 Szabadidősport-tevékenység és támogatása</t>
  </si>
  <si>
    <t xml:space="preserve"> - sport- és humánigazgatási feladatok</t>
  </si>
  <si>
    <t>O66010</t>
  </si>
  <si>
    <t>045120 Út, autópálya építése</t>
  </si>
  <si>
    <t>066020 Város-, községgazdálkodási egyéb szolgáltatás</t>
  </si>
  <si>
    <t xml:space="preserve"> - Bio és megújuló energiafelhasználás startmunka mintaprogram  BM támogatással</t>
  </si>
  <si>
    <t>013350 Önk-i vagyonnal való gazdálkodáshoz kapcs.fa.</t>
  </si>
  <si>
    <t>018020 Központi költségvetési befizetések</t>
  </si>
  <si>
    <t xml:space="preserve"> - 2013. évi normatív hozzájárulás elszámolása </t>
  </si>
  <si>
    <t xml:space="preserve"> - Járulékcsökkenésből eredő magtakarítás befizetési kötelezettség</t>
  </si>
  <si>
    <t xml:space="preserve"> - Zalaegerszegi Szociális és Gyermekjóléti Alapszolgáltatási Társulás működési hozzájárulás</t>
  </si>
  <si>
    <t>900060 Forgatási és befektetési célú finanszírozási műveletek</t>
  </si>
  <si>
    <t xml:space="preserve"> - adósságkonszolídáció során teljesített kifizetés</t>
  </si>
  <si>
    <t>011320 Nemzetközi szervezetekben való részvétel</t>
  </si>
  <si>
    <t xml:space="preserve"> - Nemzetközi kapcsolatokra</t>
  </si>
  <si>
    <t xml:space="preserve"> - lakosssági, civil kezdeményezések támogatása</t>
  </si>
  <si>
    <t xml:space="preserve">  - Kiegészítő gyemekvédelmi támogatás</t>
  </si>
  <si>
    <t xml:space="preserve"> - Bio és megújuló energiafelhasználás startmunka mintaprogram</t>
  </si>
  <si>
    <t>013350 Önk-i vagyonnal való gazdálkodáshoz kapcs. fa.</t>
  </si>
  <si>
    <t xml:space="preserve">018030 Támogatás célú finanszírozási műveletek </t>
  </si>
  <si>
    <t>018010 Önkormányzatok elszámolásai a központi költségvetéssel</t>
  </si>
  <si>
    <t xml:space="preserve"> - Járulékmegtakarításból eredő int-i befizetési kötelezettség</t>
  </si>
  <si>
    <t xml:space="preserve">ZTE-SPORTSZOLG Kft.törzstőke és tőketartalék </t>
  </si>
  <si>
    <t>MÜLLEX Közszolgáltató Nonprofit Kft. üzletrészének megvásárlás</t>
  </si>
  <si>
    <t>Kutilapi u. aszfaltozása</t>
  </si>
  <si>
    <t>4./7.</t>
  </si>
  <si>
    <t>Botfai sportöltöző szigetelése, fűtéskorszerűsítéspályázati önrész Botfai LSC részére</t>
  </si>
  <si>
    <t>3./8.</t>
  </si>
  <si>
    <t>Botfai közvilágítás fejlesztés</t>
  </si>
  <si>
    <t>6./1.</t>
  </si>
  <si>
    <t>4./6.</t>
  </si>
  <si>
    <t>1./11</t>
  </si>
  <si>
    <t>5./21</t>
  </si>
  <si>
    <t>5./22</t>
  </si>
  <si>
    <t xml:space="preserve">Eötvös Iskola főépület déli és keleti oldalán nyílászárók cseréje és homlokzati  hőszigetelés </t>
  </si>
  <si>
    <t>Zalabesenyő közösségi ház fejlesztéséhez pe. átadás Besenyő a 2000-es években Alapítvány részére</t>
  </si>
  <si>
    <t>Várberki utcában felépülő 22x44 m méretű műfüves labdarúgó pálya építés pályázati önerő és egyéb feladatok</t>
  </si>
  <si>
    <t>Sportcentrumban felépülő 111 x 72 m méretű műfüves labdarúgó pálya építés pályázati önerő és egyéb feladatok</t>
  </si>
  <si>
    <t>9./8</t>
  </si>
  <si>
    <t>9./9</t>
  </si>
  <si>
    <t xml:space="preserve"> -  rendszeres szociális segély</t>
  </si>
  <si>
    <t xml:space="preserve"> - adósságkezelési szolgáltatás </t>
  </si>
  <si>
    <t>Dolgozói lakásépítés és -vásárlás támogatása</t>
  </si>
  <si>
    <t>Városi középiskolai Kollégium udvari pihenő kialakítása</t>
  </si>
  <si>
    <t>Sas u. - Jánkahegy útcsatlakozás kiépítése</t>
  </si>
  <si>
    <t>4.a/1.</t>
  </si>
  <si>
    <t>Duális képzőközpont kialakítása</t>
  </si>
  <si>
    <t>2./4.</t>
  </si>
  <si>
    <t>Keresztury ház Németh János dombormű</t>
  </si>
  <si>
    <t>9./7</t>
  </si>
  <si>
    <t xml:space="preserve"> Aquaparkba kisértékű eszközök beszerzése</t>
  </si>
  <si>
    <t>Egyéb város- és községgazdálkodás kisértékű tárgyi eszközök beszerzése</t>
  </si>
  <si>
    <t xml:space="preserve"> Mikes u.tagóvoda udvarára kültéri játékok beszerzése pe. Átadás "Játékvár Alapítvány a Mikes Kelemen Úti Óvodáért"részére</t>
  </si>
  <si>
    <t>Erkel F.utcai régi rönk játszótér eszközbővítés</t>
  </si>
  <si>
    <t>Környezetvédelmi Jeles napok kisértékű tárgyi eszköz beszerzés</t>
  </si>
  <si>
    <t xml:space="preserve"> Közfoglalkoztatás anyag- és eszközigény biztosítása</t>
  </si>
  <si>
    <t>Városüzemelteéssel kapcsolatos kisértékű eszköz beszerzése</t>
  </si>
  <si>
    <t>1./10</t>
  </si>
  <si>
    <t>Szennyvíztársulástól átvett viziközmű vagyon működtetésére pénzeszköz átadás Zalavíz Zrt. részére</t>
  </si>
  <si>
    <t>Ady utcai szennyvízbekötések</t>
  </si>
  <si>
    <t>105010 Munkanélküli aktív korúak ellátásai</t>
  </si>
  <si>
    <t>106020 Lakásfenntartással, lakhatással összefüggő ellátások</t>
  </si>
  <si>
    <t>011130 Önkorm. és önkorm. hivatal. jogalk. és ált.ig.tev.</t>
  </si>
  <si>
    <t>084031 Civil szervezetek műk. Támogatása</t>
  </si>
  <si>
    <t>074054 Komplex egészségfejl., prevenciós programok</t>
  </si>
  <si>
    <t>081043 Iskolai, diáksport-tevékenység és támogatása</t>
  </si>
  <si>
    <t>098010 Oktatás igazgatása</t>
  </si>
  <si>
    <t>074052 Kábítószer megelőzés programja</t>
  </si>
  <si>
    <t>082091 Közművelődés - közösségi és társ. részvétel fejleszt.</t>
  </si>
  <si>
    <t>109010 Szociális szolgáltatás igazgatása</t>
  </si>
  <si>
    <t>Munkaadót terhelő járulékok és szociális hj.adó</t>
  </si>
  <si>
    <t>Önkormányzat összesen költségvetési szervek nélkül</t>
  </si>
  <si>
    <t>Szociális és igazgatási fa. működési kiadás összesen:</t>
  </si>
  <si>
    <t>081041 Versenysport- és utánpótlás-nevelési tevékenység</t>
  </si>
  <si>
    <t xml:space="preserve"> - Zalaegerszeg Jégsportjáért Alapítvány támogatása</t>
  </si>
  <si>
    <t xml:space="preserve"> - jégidő</t>
  </si>
  <si>
    <t>6.b/16</t>
  </si>
  <si>
    <t>Szociális városrehabilitáció területszerzés, -rendezés, bontás</t>
  </si>
  <si>
    <t>Intézményi fejlesztések előkészítési munkái (tervezési, bonyolítási,  műszaki ellenőrzési díjak és kivitelezés)</t>
  </si>
  <si>
    <t xml:space="preserve"> - előző évek tartalékának hasznosítása</t>
  </si>
  <si>
    <t xml:space="preserve">3. Szociális ágazati pótlék </t>
  </si>
  <si>
    <t>Közművelődési érdekeltségnövelő támogatás</t>
  </si>
  <si>
    <t>Könyvtári érdekeltségnövelő támogatás</t>
  </si>
  <si>
    <t>Szociális és igazgatási fa. kiadásai összesen:</t>
  </si>
  <si>
    <t xml:space="preserve"> - Idősügyi feladatok</t>
  </si>
  <si>
    <t>Humánigazgatási feladatok működési kiadásai:</t>
  </si>
  <si>
    <t>Városüzemelési feladatok:</t>
  </si>
  <si>
    <t>Városüzemelési működési kiadások összesen:</t>
  </si>
  <si>
    <t>Vagyonkezelési feladatok működési kiadások</t>
  </si>
  <si>
    <t>Jogi és igazgatási feladatok:</t>
  </si>
  <si>
    <t>Jogi és igazgatási feladatok működési kiadási:</t>
  </si>
  <si>
    <t>Pénzügyi lebonyolítás működési kiadásai  összesen:</t>
  </si>
  <si>
    <t>Beruházási célú pénzeszk. átadás és egyéb felhalmozási kiadás</t>
  </si>
  <si>
    <t>Összes beruh. célú kiadás</t>
  </si>
  <si>
    <t>Landorhegyi Óvoda energetikai beruházáshoz kapcsolódó kiegészítő építések</t>
  </si>
  <si>
    <t>Mikes Óvoda energetikai beruházáshoz kapcsolódó kiegészítő építések</t>
  </si>
  <si>
    <t>Természettudományos oktatás eszközrendszerének és módszertanának fejlesztése a Kölcsey F. Gimnáziumban TÁMOP 3.1.3.-11/2-2012-0023</t>
  </si>
  <si>
    <t>1.a/5</t>
  </si>
  <si>
    <t>1.a/6</t>
  </si>
  <si>
    <t>Humánigazgatási  feladatok összesen:</t>
  </si>
  <si>
    <t>Köztársaság út 92.-102. sz t.ház K.-i oldalán lévő terület vízelvezetése</t>
  </si>
  <si>
    <t>Köztársaság útja - Czobor M. u. csomópont (Szentcsalád Óvoda) korrekció és gyalogos átkelőhely létesítése</t>
  </si>
  <si>
    <t xml:space="preserve">Bekeháza temető környezetének rendezése, temetőt megközelítő út kialakítása </t>
  </si>
  <si>
    <t>8./3</t>
  </si>
  <si>
    <t>8./4</t>
  </si>
  <si>
    <t>Vízjogi engedélyezési eljárások díja</t>
  </si>
  <si>
    <t>Beruházásokhoz kapcsolódó csatornadiagnosztikák költsége</t>
  </si>
  <si>
    <t>Ivóvízvezeték építési munkák</t>
  </si>
  <si>
    <t xml:space="preserve">Útterületek rendezése, területvásárlás </t>
  </si>
  <si>
    <t>Fenyő utca útépítés, közműfejlesztés, bővítés</t>
  </si>
  <si>
    <t>Kölcsey u. északi szakasz átépítése</t>
  </si>
  <si>
    <t>Október 6. tér - Batthyány u. csomópont jelzőlámpásítása</t>
  </si>
  <si>
    <t>Pályázati műszaki előkészítés</t>
  </si>
  <si>
    <t xml:space="preserve"> Állami ingatlanok tulajdonszerzésével kapcs. kiadások </t>
  </si>
  <si>
    <t>Egyéb területrendezések, bontások</t>
  </si>
  <si>
    <t>6./10</t>
  </si>
  <si>
    <t>Botfa sportpálya fejlesztés területrendezés, kompenzáció</t>
  </si>
  <si>
    <t>6./12</t>
  </si>
  <si>
    <t>100 %-os támogatottságú pályázatok előkészítésének költségei</t>
  </si>
  <si>
    <t>6./14</t>
  </si>
  <si>
    <t>6./15</t>
  </si>
  <si>
    <t>6./16</t>
  </si>
  <si>
    <t>Épületenergetikai korszerűsítések a zalaegerszegi közintézményekben (KEOP-5.5.0/A) - önrész, előkészítés</t>
  </si>
  <si>
    <t>6./17</t>
  </si>
  <si>
    <t>Épületenergetikai korszerűsítések megújuló energiaforrás hasznosításával a zalaegerszegi közintézményekben (KEOP-5.5.0/B) - önrész, előkészítés</t>
  </si>
  <si>
    <t>6./18</t>
  </si>
  <si>
    <t>6./19</t>
  </si>
  <si>
    <t>Inkubátorház villamos energia ellátásának bővítése</t>
  </si>
  <si>
    <t>Ökováros projekt</t>
  </si>
  <si>
    <t>Városrehabilitáció II. ütem folytatása Lakásalapból</t>
  </si>
  <si>
    <t>Jogi Igazgatási feladatok</t>
  </si>
  <si>
    <t>Jogi Igazgatási feladatok összesen:</t>
  </si>
  <si>
    <t>Kvártélyház Kft. részére támogatás eszközfejlesztési pályázat önrészéhez</t>
  </si>
  <si>
    <t>Önkormányzat összesen költségetési szervek nélkül</t>
  </si>
  <si>
    <t>A *-gal jelzett fejlesztési feladatok megvalósításához hitelfelvétel szükséges</t>
  </si>
  <si>
    <t>Vízelvezetési problémák megoldása Botfán</t>
  </si>
  <si>
    <t>Vízelvezetési problémák megoldása Zalabesenyőben</t>
  </si>
  <si>
    <t>Botfy L. u. Vizslaparki u. - Mártírok u. közötti szakaszon csapadékcsatorna felúj.</t>
  </si>
  <si>
    <t>Landorhegyi u. 24. parkoló felújítás</t>
  </si>
  <si>
    <t>Hegybíró u. aszfaltozása</t>
  </si>
  <si>
    <t>Madách I. u. lépcsőfelújítás</t>
  </si>
  <si>
    <t>Mártírok u. burkolatfelújítás I. ütem, ivóvízvezeték rekonstrukció</t>
  </si>
  <si>
    <t>Belvárosi járdák felújítása (Kazinczy tér É-i oldal)</t>
  </si>
  <si>
    <t>Kovács K. tér buszmegálló járdaburkolat felújítás</t>
  </si>
  <si>
    <t>Kertvárosban járdák, lépcsők felújítása</t>
  </si>
  <si>
    <t>Zalabesenyő temető kápolna állagmegóvás (építészeti érték)</t>
  </si>
  <si>
    <t>Egyéb központi támogatás</t>
  </si>
  <si>
    <t>1. 2014. évi bérkompenzáció</t>
  </si>
  <si>
    <t>2. Adósságkonszolídáció</t>
  </si>
  <si>
    <t xml:space="preserve"> Lakott külterülettel kapcsolatos feladatok</t>
  </si>
  <si>
    <t xml:space="preserve"> Üdülőhelyi feladatok</t>
  </si>
  <si>
    <t>EU Önerőalap támogatás</t>
  </si>
  <si>
    <t>Eútdíj bevezetésével kapcsolatos bevételkiesés ellentételezése</t>
  </si>
  <si>
    <t>Lakossági közműfejlesztés támogatása</t>
  </si>
  <si>
    <t>2013.évről áthúzódó bérkompenzáció</t>
  </si>
  <si>
    <t>Múzeális intézmények szakmai támoagatása</t>
  </si>
  <si>
    <t>B116</t>
  </si>
  <si>
    <t>Termálmedence csempeburkolat felújítás</t>
  </si>
  <si>
    <t>Városépítészeti  feladatok</t>
  </si>
  <si>
    <t>5./1.</t>
  </si>
  <si>
    <t>Ebergényi sport park</t>
  </si>
  <si>
    <t xml:space="preserve"> Református Egyház részére orgona felújításhoz támogatás</t>
  </si>
  <si>
    <t>A *-gal jelzett felújítási feladatok megvalósításához hitel felvétel szükséges</t>
  </si>
  <si>
    <t>1.a./1</t>
  </si>
  <si>
    <t>1.a./2</t>
  </si>
  <si>
    <t>1.a./3</t>
  </si>
  <si>
    <t xml:space="preserve"> - központosított támogatások</t>
  </si>
  <si>
    <t>Városüzemelési kiadások összesen:</t>
  </si>
  <si>
    <t>Városépítészet összesen:</t>
  </si>
  <si>
    <t>Vagyonkezelési feladatok összesen:</t>
  </si>
  <si>
    <t>Jogi és igazgatási feladatok összesen:</t>
  </si>
  <si>
    <t>6.1.a/2</t>
  </si>
  <si>
    <t>Céltartalék</t>
  </si>
  <si>
    <t>Céltartalék összesen:</t>
  </si>
  <si>
    <t>Tartalék összesen:</t>
  </si>
  <si>
    <t>Önkormányzat összesen:</t>
  </si>
  <si>
    <t>*</t>
  </si>
  <si>
    <t>Út-járda, parkoló felújítások</t>
  </si>
  <si>
    <t>032020 Tűz- és katasztrófavéd. Tevékenység</t>
  </si>
  <si>
    <t xml:space="preserve"> - helyi védelmi igazgatás</t>
  </si>
  <si>
    <t>Jogi és közig. feladatok</t>
  </si>
  <si>
    <t>Városépítészeti feladatok</t>
  </si>
  <si>
    <t>Feladat megnevezése</t>
  </si>
  <si>
    <t>Beruházási célú kiadás</t>
  </si>
  <si>
    <t>Városépítészeti feladatok összesen:</t>
  </si>
  <si>
    <t>Cím  szám</t>
  </si>
  <si>
    <t>Alcím-          szám</t>
  </si>
  <si>
    <t>Sor-                     szám</t>
  </si>
  <si>
    <t>Felújítási cél megnevezése</t>
  </si>
  <si>
    <t>Felújítási célú kiad.</t>
  </si>
  <si>
    <t>Felújítás összesen</t>
  </si>
  <si>
    <t>Dologi kiadások</t>
  </si>
  <si>
    <t>Vásárcsarnok</t>
  </si>
  <si>
    <t>2./2</t>
  </si>
  <si>
    <t>Magánerős ivóvíz bekötések</t>
  </si>
  <si>
    <t xml:space="preserve"> Helyi és helyközi közösségi közlekedés fejlesztése pályázati  támogatással NYDOP -3.2.1/B-12-2013-0001</t>
  </si>
  <si>
    <t>7./1.</t>
  </si>
  <si>
    <t xml:space="preserve"> Buslakpusztai bezárt szilárd hulladéklerakó okozta szennyezés lokalizációja  pályázati támogatással KEOP-2.4.0/B/2F/10-11-2012-0005</t>
  </si>
  <si>
    <t>Egészségügyi és humánigazgatási feladatok</t>
  </si>
  <si>
    <t>Oktatási feladatok</t>
  </si>
  <si>
    <t>Kulturális és ifjúsági feladatok</t>
  </si>
  <si>
    <t>Sport feladatok</t>
  </si>
  <si>
    <t>feladat jellege</t>
  </si>
  <si>
    <t>3./4</t>
  </si>
  <si>
    <t>Önkormányzat</t>
  </si>
  <si>
    <t>Költségvetési szervek</t>
  </si>
  <si>
    <t>Felhalmozási bevételek</t>
  </si>
  <si>
    <t xml:space="preserve">Önkormányzat </t>
  </si>
  <si>
    <t xml:space="preserve">Önkormányzat összesen költségvetési szervek nélkül </t>
  </si>
  <si>
    <t>Költségvetési szerv megnevezése</t>
  </si>
  <si>
    <t>Költségvetési szervek mindösszesen:</t>
  </si>
  <si>
    <t>Ebergényben sportpálya és pihenőpark kialakítása</t>
  </si>
  <si>
    <t xml:space="preserve">Vasútfejlesztés </t>
  </si>
  <si>
    <t>Év közben jelentkező feladatok</t>
  </si>
  <si>
    <t>Belvárosrehabilitáció II.ütemének előkészítő munkái</t>
  </si>
  <si>
    <t>9.a/2</t>
  </si>
  <si>
    <t>Építési telek kialakítása, közművesítése (Flórián u. , Andráshida ) Lakásalap</t>
  </si>
  <si>
    <t>kgy</t>
  </si>
  <si>
    <t>Elővásárlási jog gyakorlásával történő lakóingatlan vásárlása (Lakásalap)</t>
  </si>
  <si>
    <t>841908 Fejezeti és általános tartalékok elszámolása</t>
  </si>
  <si>
    <t>1.a/1.</t>
  </si>
  <si>
    <t>1.a/1</t>
  </si>
  <si>
    <t>Deák Ferenc Megyei és Városi Könyvtár</t>
  </si>
  <si>
    <t>Göcseji Múzeum</t>
  </si>
  <si>
    <t>Városi Sportlétesítmények Gondnoksága</t>
  </si>
  <si>
    <t>Griff Bábszínház</t>
  </si>
  <si>
    <t>6./4</t>
  </si>
  <si>
    <t>6./5</t>
  </si>
  <si>
    <t>Csatornarendszer (szennyvíz-csapadékvíz)</t>
  </si>
  <si>
    <t>I. Működési célú bevételek</t>
  </si>
  <si>
    <t>I. Működési célú kiadások</t>
  </si>
  <si>
    <t>4.) Céltartalékból működésre</t>
  </si>
  <si>
    <t>5.) Általános tartalék</t>
  </si>
  <si>
    <t>6./8</t>
  </si>
  <si>
    <t xml:space="preserve">   Költségvetési műk. kiadásai összesen:</t>
  </si>
  <si>
    <t xml:space="preserve">     Költségvetési műk. bevételei összesen:</t>
  </si>
  <si>
    <t>MŰKÖDÉSI CÉLÚ KIADÁSOK ÖSSZ.:</t>
  </si>
  <si>
    <t>II. Felhalmozási célú kiadások</t>
  </si>
  <si>
    <t xml:space="preserve">          ebből:    - felújítás</t>
  </si>
  <si>
    <t xml:space="preserve">MŰKÖDÉSI CÉLÚ BEVÉTELEK ÖSSZ:                      </t>
  </si>
  <si>
    <t xml:space="preserve">                        - fejlesztés</t>
  </si>
  <si>
    <t>II. Felhalmozási célú bevételek</t>
  </si>
  <si>
    <t>2.) Beruházás</t>
  </si>
  <si>
    <t>3.) Felújítás</t>
  </si>
  <si>
    <t>4.) Céltartalék</t>
  </si>
  <si>
    <t xml:space="preserve">     Költségvetési felhalm. bevételei összesen:</t>
  </si>
  <si>
    <t xml:space="preserve">      Költségvetési felh.célú kiadásai összesen:</t>
  </si>
  <si>
    <t>Hevesi Sándor Színház</t>
  </si>
  <si>
    <t>FELHALMOZÁSI CÉLÚ BEVÉTELEK  ÖSSZESEN:</t>
  </si>
  <si>
    <t>FELHALMOZÁSI CÉLÚ KIADÁSOK ÖSSZESEN:</t>
  </si>
  <si>
    <t>BEVÉTELEK</t>
  </si>
  <si>
    <t>6./9</t>
  </si>
  <si>
    <t>Tartalékok</t>
  </si>
  <si>
    <t>1.a/2</t>
  </si>
  <si>
    <t>1.a/3</t>
  </si>
  <si>
    <t>1.a/4</t>
  </si>
  <si>
    <t>2.a/1</t>
  </si>
  <si>
    <t>4.a/1</t>
  </si>
  <si>
    <t>4.a/2</t>
  </si>
  <si>
    <t>4.a/3</t>
  </si>
  <si>
    <t>4.a/4</t>
  </si>
  <si>
    <t>4.a/5</t>
  </si>
  <si>
    <t>4.a/6</t>
  </si>
  <si>
    <t>4.a/7</t>
  </si>
  <si>
    <t>Előtervezések</t>
  </si>
  <si>
    <t>6.1.a/1</t>
  </si>
  <si>
    <t>6./6</t>
  </si>
  <si>
    <t>6./7</t>
  </si>
  <si>
    <t>6.b/1</t>
  </si>
  <si>
    <t>6.b/2</t>
  </si>
  <si>
    <t>6.b/3</t>
  </si>
  <si>
    <t>6.b/4</t>
  </si>
  <si>
    <t>6.b/5</t>
  </si>
  <si>
    <t>6.b/6</t>
  </si>
  <si>
    <t>Hulladékgazdálkodás</t>
  </si>
  <si>
    <t>Aquapark  fejlesztés</t>
  </si>
  <si>
    <t>9.a/1</t>
  </si>
  <si>
    <t>Önkormányzat tulajdonában lévő lakóépületek (lakások)  teljes vagy részleges  felújítása, korszerűsítése  (Lakásalap)</t>
  </si>
  <si>
    <t>A lakáscélú állami támogatásokról szóló külön jogszabály szerinti pályázati önrész finanszírozása (egycsatornás gyűjtőkémények felújítása) Lakásalapból</t>
  </si>
  <si>
    <t>Jogi és közig.feladatok</t>
  </si>
  <si>
    <t>Magánerős útépítések támogatása</t>
  </si>
  <si>
    <t>Rendezési tervek</t>
  </si>
  <si>
    <t>1.</t>
  </si>
  <si>
    <t>Közvilágítás és egyéb közmű beruházások</t>
  </si>
  <si>
    <t>Parkok, terek, játszóterek</t>
  </si>
  <si>
    <t>Stratégiai tervezés, fejlesztés és területszerzés</t>
  </si>
  <si>
    <t>Széchenyi tér buszmegálló felújítása szigeteléssel együtt, nyilvános WC felúj.</t>
  </si>
  <si>
    <t>Zárda u. - Alsójánkahegyi u. közötti tereplécső felújítása</t>
  </si>
  <si>
    <t>Hitel-, kölcsönfelvétel áht-n kívülről</t>
  </si>
  <si>
    <t>Ola utcai és Rákóczi utcai járda felújítása, zöldfelület rendezése</t>
  </si>
  <si>
    <t>Járdafelújítások Páterdombon</t>
  </si>
  <si>
    <t>4./25</t>
  </si>
  <si>
    <t xml:space="preserve"> Kis utca óvoda vizesblokk felújítás</t>
  </si>
  <si>
    <t xml:space="preserve"> Napsugár úti óvoda felújítása</t>
  </si>
  <si>
    <t>Kosztolányi téri Óvoda felújítása</t>
  </si>
  <si>
    <t xml:space="preserve"> Ady iskolában nagytornatermi 2 db vizesblokk felújítása</t>
  </si>
  <si>
    <t xml:space="preserve"> Petőfi Iskolában vizesblokk felújítás II. üteme</t>
  </si>
  <si>
    <t>1./1/10.</t>
  </si>
  <si>
    <t>1./1/11.</t>
  </si>
  <si>
    <t>1./2/7.</t>
  </si>
  <si>
    <t>1./2/8.</t>
  </si>
  <si>
    <t>1./2/9.</t>
  </si>
  <si>
    <t xml:space="preserve"> - verseny-és élsport</t>
  </si>
  <si>
    <t xml:space="preserve"> - Zala Open Táncbajnokság megrendezéséhez támogatás</t>
  </si>
  <si>
    <t>Általános tartalék</t>
  </si>
  <si>
    <t>4./26</t>
  </si>
  <si>
    <t>4./27</t>
  </si>
  <si>
    <t>4./28</t>
  </si>
  <si>
    <t>4./29</t>
  </si>
  <si>
    <t>4./30</t>
  </si>
  <si>
    <t>4./31</t>
  </si>
  <si>
    <t>4./32</t>
  </si>
  <si>
    <t>4./33</t>
  </si>
  <si>
    <t>4./34</t>
  </si>
  <si>
    <t>4./35</t>
  </si>
  <si>
    <t>4./36</t>
  </si>
  <si>
    <t>4./37</t>
  </si>
  <si>
    <t>4./38</t>
  </si>
  <si>
    <t>4./39</t>
  </si>
  <si>
    <t>4./40</t>
  </si>
  <si>
    <t>4.a./1</t>
  </si>
  <si>
    <t>4.a./2</t>
  </si>
  <si>
    <t>4.a./3</t>
  </si>
  <si>
    <t>4.a./4</t>
  </si>
  <si>
    <t>4.a./5</t>
  </si>
  <si>
    <t>4.a./6</t>
  </si>
  <si>
    <t>4.a./7</t>
  </si>
  <si>
    <t>4.a./8</t>
  </si>
  <si>
    <t>4.a./9</t>
  </si>
  <si>
    <t>4.a./10</t>
  </si>
  <si>
    <t>4.a./11</t>
  </si>
  <si>
    <t>4.a./12</t>
  </si>
  <si>
    <t>Belvárosi zöldfelület és játszótér felújítások</t>
  </si>
  <si>
    <t>Költségvetési szervek felújítási kerete (Vis maior)</t>
  </si>
  <si>
    <t>1.) Költségvetési szervek kiadásai</t>
  </si>
  <si>
    <t>2.) Önkormányzat szakosztályainak  kiadásai</t>
  </si>
  <si>
    <t xml:space="preserve">                        - költségvetési szervek</t>
  </si>
  <si>
    <t xml:space="preserve">         ebből: költségvetési szervek</t>
  </si>
  <si>
    <t>ÖNKORMÁNYZAT ÖSSZESEN:</t>
  </si>
  <si>
    <t>Hozzájárulás jogcíme</t>
  </si>
  <si>
    <t>létszám</t>
  </si>
  <si>
    <t>mutató</t>
  </si>
  <si>
    <t>Normatíva     Ft/fő</t>
  </si>
  <si>
    <t>Hozzájárulás       ezer Ft-ban</t>
  </si>
  <si>
    <t>Módosítás
döntési
hatáskör
szerint *</t>
  </si>
  <si>
    <t>Városüzemelési feladatok összesen:</t>
  </si>
  <si>
    <t>Kiadások összesen</t>
  </si>
  <si>
    <t>Építéshatósági feladatok</t>
  </si>
  <si>
    <t>Polgármesteri Iroda kiadásai</t>
  </si>
  <si>
    <t>1./4</t>
  </si>
  <si>
    <t>1./5</t>
  </si>
  <si>
    <t>4./16</t>
  </si>
  <si>
    <t>4./17</t>
  </si>
  <si>
    <t>4./18</t>
  </si>
  <si>
    <t>4./19</t>
  </si>
  <si>
    <t>4./20</t>
  </si>
  <si>
    <t>4./21</t>
  </si>
  <si>
    <t>4./22</t>
  </si>
  <si>
    <t>4./23</t>
  </si>
  <si>
    <t>4./24</t>
  </si>
  <si>
    <t>1./1</t>
  </si>
  <si>
    <t>1./2</t>
  </si>
  <si>
    <t>1./3</t>
  </si>
  <si>
    <t>2.</t>
  </si>
  <si>
    <t>2./1</t>
  </si>
  <si>
    <t>3.</t>
  </si>
  <si>
    <t>Polgármesteri Iroda működési kiadásai összesen:</t>
  </si>
  <si>
    <t>4.</t>
  </si>
  <si>
    <t>5.</t>
  </si>
  <si>
    <t>6.</t>
  </si>
  <si>
    <t>3./1</t>
  </si>
  <si>
    <t>3./2</t>
  </si>
  <si>
    <t>Út-járda parkoló beruházások</t>
  </si>
  <si>
    <t>4./1</t>
  </si>
  <si>
    <t>4./2</t>
  </si>
  <si>
    <t>4./3</t>
  </si>
  <si>
    <t>4./4</t>
  </si>
  <si>
    <t>4./5</t>
  </si>
  <si>
    <t>4./6</t>
  </si>
  <si>
    <t>4./7</t>
  </si>
  <si>
    <t>számított hozzájárulás</t>
  </si>
  <si>
    <t>1.a) önkormányzati hivatal működésénak támogatása</t>
  </si>
  <si>
    <t>1.a) önkormányzati hivatal működésénak támogatása - beszámítás után</t>
  </si>
  <si>
    <t>1.b) település-üzemeltetéshez kapcsolódó feladataellátás támogatása</t>
  </si>
  <si>
    <t xml:space="preserve">1.b) település-üzemeltetéshez kapcsolódó feladataellátás támogatása - beszámítás után </t>
  </si>
  <si>
    <t xml:space="preserve"> - felszámolással és peres eljárással kapcsolatos fizetési kötelezettség</t>
  </si>
  <si>
    <t>ZTE Kosárlabda Klub Kft. tőketartalék</t>
  </si>
  <si>
    <t>1.c) egyéb kötelező önkormányzati feladatok támogatása</t>
  </si>
  <si>
    <t>1.c) egyéb kötelező önkormányzati feladatok támogatása - beszámítás után</t>
  </si>
  <si>
    <t>III.2. Hozzájárulás a pénzbeli szociális ellátásokhoz ( egyösszegű)</t>
  </si>
  <si>
    <t>III.2. Hozzájárulás a pénzbeli szociális ellátásokhoz ( egyösszegű) beszámítás után</t>
  </si>
  <si>
    <t>Beszámítás összege</t>
  </si>
  <si>
    <t>I.2.Lakossági folyékony hulladék ártalmatlanítás</t>
  </si>
  <si>
    <t xml:space="preserve">  - óvodapedagógusok átlagbérének és közterheinek elismert összege 8 hó</t>
  </si>
  <si>
    <t xml:space="preserve">  - óvodapedagógusok átlagbérének és közterheinek elismert összege 4 hó</t>
  </si>
  <si>
    <t xml:space="preserve">  - pótlólagos tám. 2014. őszi béremeléshez</t>
  </si>
  <si>
    <t xml:space="preserve"> - óvodapedagógusok nevelő munkáját közvetlenük segítők átlagbérének és közterheinek elismert összege 8 hó</t>
  </si>
  <si>
    <t xml:space="preserve"> - óvodapedagógusok nevelő munkáját közvetlenük segítők átlagbérének és közterheinek elismert összege 4 hó</t>
  </si>
  <si>
    <t xml:space="preserve">       Bölcsődei ellátás hátrányos helyzetű gyermek</t>
  </si>
  <si>
    <t>III.5.Gyermekétkeztetés támogatása</t>
  </si>
  <si>
    <t xml:space="preserve"> a) a finanszírozás szempontjából elismert szakmai dolgozók bértámogatása</t>
  </si>
  <si>
    <t>b) Gyermekétkeztetés-üzemeltetési támogatás</t>
  </si>
  <si>
    <t>Hevesi Sándor Színház és Griff Bábszínház állami támogatása</t>
  </si>
  <si>
    <t>4./8</t>
  </si>
  <si>
    <t>4./9</t>
  </si>
  <si>
    <t>4./10</t>
  </si>
  <si>
    <t>4./11</t>
  </si>
  <si>
    <t>4./12</t>
  </si>
  <si>
    <t>4./13</t>
  </si>
  <si>
    <t>4./14</t>
  </si>
  <si>
    <t>4./15</t>
  </si>
  <si>
    <t>5./1</t>
  </si>
  <si>
    <t>5./2</t>
  </si>
  <si>
    <t>5./3</t>
  </si>
  <si>
    <t>5./4</t>
  </si>
  <si>
    <t>3./3</t>
  </si>
  <si>
    <t xml:space="preserve">Céltartalék </t>
  </si>
  <si>
    <t>6./1</t>
  </si>
  <si>
    <t>6./2</t>
  </si>
  <si>
    <t>6./3</t>
  </si>
  <si>
    <t>7.</t>
  </si>
  <si>
    <t>8.</t>
  </si>
  <si>
    <t>Köztemető</t>
  </si>
  <si>
    <t>9.</t>
  </si>
  <si>
    <t>Egyéb feladatok</t>
  </si>
  <si>
    <t>9./1</t>
  </si>
  <si>
    <t>9./2</t>
  </si>
  <si>
    <t>9./3</t>
  </si>
  <si>
    <t>9./4</t>
  </si>
  <si>
    <t>Megnevezés</t>
  </si>
  <si>
    <t>Cím              szám</t>
  </si>
  <si>
    <t>Alcím                    szám</t>
  </si>
  <si>
    <t>Összesen</t>
  </si>
  <si>
    <t>Polgármesteri Hivatal</t>
  </si>
  <si>
    <t>Városüzemelési feladatok</t>
  </si>
  <si>
    <t>Vagyonkezelési feladatok</t>
  </si>
  <si>
    <t>Pénzügyi lebonyolítás</t>
  </si>
  <si>
    <t>Pénzügyi lebonyolítás összesen:</t>
  </si>
  <si>
    <t>Cím szám</t>
  </si>
  <si>
    <t>Alcím szám</t>
  </si>
  <si>
    <t>Ellátottak pénzbeni juttatásai</t>
  </si>
  <si>
    <t>Felújítási kiadások</t>
  </si>
  <si>
    <t>Belvárosi járdák felújítása</t>
  </si>
  <si>
    <t>Göcseji Pataki u. páros oldal parkoló aszfaltozása</t>
  </si>
  <si>
    <t>6.) Hitel felvétel</t>
  </si>
  <si>
    <t>Felújítási kiadások:</t>
  </si>
  <si>
    <t>Szennyvízberuházások és csapadékcsatornák</t>
  </si>
  <si>
    <t xml:space="preserve"> - Nyugdíjasházi adományok</t>
  </si>
  <si>
    <t>pm</t>
  </si>
  <si>
    <t>Járdafelújítások Zalabesenyőben</t>
  </si>
  <si>
    <t>Helyi építészeti értékek védelme</t>
  </si>
  <si>
    <t>Felhalmozási célú céltartalék</t>
  </si>
  <si>
    <t xml:space="preserve"> - "Zalaegerszeg elővárosi közlekedési rendszereinek fejlesztése"  projekt KÖZOP-5.5.0-09-11-2012-0016 </t>
  </si>
  <si>
    <t xml:space="preserve"> - "Zalaegerszeg intermodális közösségi közlekedési csomópont létesítése" projekt KÖZOP-5.5.0-09-11-2012-0019 </t>
  </si>
  <si>
    <t>421100 Út, autópálya építés</t>
  </si>
  <si>
    <t>4./61</t>
  </si>
  <si>
    <t xml:space="preserve"> - lakásfenntartási támogatás normatív alapon</t>
  </si>
  <si>
    <t>3./9.</t>
  </si>
  <si>
    <t>Lakossági közműfejlesztési hozzájárulá (állami)</t>
  </si>
  <si>
    <t>"Ivóvízminőség javítása" KEOP pályázathoz Önerő alap támogatás átadása</t>
  </si>
  <si>
    <t xml:space="preserve"> - kiegészítő gyermekvédelmi támogatás</t>
  </si>
  <si>
    <t>LÉSZ Kft.részére önk-i tulajdonú ingatlanok utáni felújítási hozzájárulás</t>
  </si>
  <si>
    <t>Településrészi önkorm. tárgyi eszköz beszerzés</t>
  </si>
  <si>
    <t xml:space="preserve"> -Keresztury Dezső emlékév rendezvényei</t>
  </si>
  <si>
    <t>107060 Egyéb szociális pénzbeli ellátások, támogatások</t>
  </si>
  <si>
    <t xml:space="preserve"> - központi támogatások</t>
  </si>
  <si>
    <t xml:space="preserve"> - foglalkoztatást helyettesítő támogatás</t>
  </si>
  <si>
    <t>biz.</t>
  </si>
  <si>
    <t xml:space="preserve"> - Kábítószerügyi Egyeztető Fórum </t>
  </si>
  <si>
    <t xml:space="preserve"> - Egészséges Városok Mozgalom</t>
  </si>
  <si>
    <t xml:space="preserve"> - parkfenntartás</t>
  </si>
  <si>
    <t>Zöldterület kezelés</t>
  </si>
  <si>
    <t xml:space="preserve"> - helyi utak, hidak fenntartása</t>
  </si>
  <si>
    <t xml:space="preserve"> - forgalomtechnikai  és közlekedési feladatok</t>
  </si>
  <si>
    <t>Városépítészeti feladatok működési kiadásai:</t>
  </si>
  <si>
    <t xml:space="preserve"> - ÁFA befizetés</t>
  </si>
  <si>
    <t xml:space="preserve"> - Rendezvények, kommunikáció, reprezentáció</t>
  </si>
  <si>
    <t xml:space="preserve"> - Településrészi Önkormányzatok</t>
  </si>
  <si>
    <t>Szociális, Egészségügyi  és Esélyegyenlőségi Bizottság átruházott hatáskörében felosztható keret</t>
  </si>
  <si>
    <t>Zalaegerszegi Gazdasági Ellátó Szervezet</t>
  </si>
  <si>
    <t>Zalaegerszegi Egyesített Bölcsődék</t>
  </si>
  <si>
    <t>Zalaegerszegi Egészségügyi Alapellátás</t>
  </si>
  <si>
    <t>Zalaegerszegi Belvárosi I. számú Óvoda</t>
  </si>
  <si>
    <t>Zalaegerszegi Belvárosi II. számú Óvoda</t>
  </si>
  <si>
    <t>Zalaegerszegi Kertvárosi Óvoda</t>
  </si>
  <si>
    <t>Zalaegerszegi Landorhegyi Óvoda</t>
  </si>
  <si>
    <t>Zalaegerszegi Városrészek Művelődési Központja és Könyvtára</t>
  </si>
  <si>
    <t>Keresztury Dezső VMK</t>
  </si>
  <si>
    <t>Zalaegerszegi Turisztikai Hivatal és Információs Iroda</t>
  </si>
  <si>
    <t>Címszám</t>
  </si>
  <si>
    <t>Költségvetési kiadások</t>
  </si>
  <si>
    <t>Munkaadókat terhelő járulékok és szociális hozzájárulási adó</t>
  </si>
  <si>
    <t>Ellátottak pénzbeli juttatásai</t>
  </si>
  <si>
    <t>Egyéb felhalmozási célú kiadások</t>
  </si>
  <si>
    <t>Finanszírozási kiadások</t>
  </si>
  <si>
    <t>2014. eredeti előirányzat</t>
  </si>
  <si>
    <t>Költségvetési bevételek</t>
  </si>
  <si>
    <t>Finanszírozási bevételek</t>
  </si>
  <si>
    <t>Bevételek összesen</t>
  </si>
  <si>
    <t>Működési célú támogatások áht-n belülről</t>
  </si>
  <si>
    <t>Felhalmozási célú támogatások áht-n belülről</t>
  </si>
  <si>
    <t>Működési bevételek</t>
  </si>
  <si>
    <t>Működési célú átvett pénzeszközök</t>
  </si>
  <si>
    <t>Felhalmozási célú átvett pénzeszközök</t>
  </si>
  <si>
    <t>Maradvány igénybevétele</t>
  </si>
  <si>
    <t>Központi, irányító szervi támogatás</t>
  </si>
  <si>
    <t>Egyéb finanszírozási bevétel</t>
  </si>
  <si>
    <t>Önkormányzat által nyújtott lakástámogatás első lakáshoz jutók részére  (Lakásalapból)</t>
  </si>
  <si>
    <t>Kamatmentes kölcsön az ideiglenesen nehéz helyzetbe került zeg-i polgárok számára (Lakásalapból)</t>
  </si>
  <si>
    <t>Szociális és igazgatási feladatok össszesen:</t>
  </si>
  <si>
    <t>1./2.</t>
  </si>
  <si>
    <t xml:space="preserve">             Általános iskolák</t>
  </si>
  <si>
    <t>1./2/1.</t>
  </si>
  <si>
    <t>Izsák I. Általános Iskola eszközfejlesztés</t>
  </si>
  <si>
    <t xml:space="preserve">2. </t>
  </si>
  <si>
    <t>"Art" mozihálózat digitális fejlesztése pályázati támogatással</t>
  </si>
  <si>
    <t>Hevesi Sándor Színház tűzjelző rendszer</t>
  </si>
  <si>
    <t>Zsinagóga önálló fűtési rendszer kialakítása</t>
  </si>
  <si>
    <t xml:space="preserve">4. </t>
  </si>
  <si>
    <t>Sportfeladatok</t>
  </si>
  <si>
    <t>4./1.</t>
  </si>
  <si>
    <t>4./2.</t>
  </si>
  <si>
    <t>4./3.</t>
  </si>
  <si>
    <t xml:space="preserve">Nehézatlétikai pálya kialakítása Városi Sportcentrum területén </t>
  </si>
  <si>
    <t>4./4.</t>
  </si>
  <si>
    <t>Városi Sportcentrum atlétikai pálya kivilágítása</t>
  </si>
  <si>
    <t>4./5.</t>
  </si>
  <si>
    <t>Andráshidai LSC sportfejlesztési program támogatása</t>
  </si>
  <si>
    <t>2013. évről áthúzódó feladatok</t>
  </si>
  <si>
    <t>5.a/1</t>
  </si>
  <si>
    <t>Páterdombi LSC sportpálya igényének megoldása</t>
  </si>
  <si>
    <t>5.a/2</t>
  </si>
  <si>
    <t>5.a/3</t>
  </si>
  <si>
    <t>5.a/4</t>
  </si>
  <si>
    <t>5.a/5</t>
  </si>
  <si>
    <t>Göcseji Múzeum részére  pe. átadás kiállítóterem fejlesztéséhez pályázati támogatással</t>
  </si>
  <si>
    <t>Zala utcai árvízkapu építése</t>
  </si>
  <si>
    <t>Bazitai u. 80. sz. előtti terület csapadékvízelvezetése</t>
  </si>
  <si>
    <t>Vízelvezetési problémák megoldása Páterdombon</t>
  </si>
  <si>
    <t>Köztársaság u. 76-82. mögötti belső tér (Bóbita alatt) csapadékvízelvezetés megoldása, aszfaltozás</t>
  </si>
  <si>
    <t>Szent-István u. csapadékvízelvezetése</t>
  </si>
  <si>
    <t>Pintér M. u. nyugati oldal Lörincz b. u. és Püspöki G. u. közötti szakaszának csapadékvízelvezetése</t>
  </si>
  <si>
    <t>1./9</t>
  </si>
  <si>
    <t>Önkormányzati tulajdonú ingatlanok szennyvízbekötései</t>
  </si>
  <si>
    <t>Zalaegerszeg szennyvíz-elvezetés és tisztítás fejlesztése</t>
  </si>
  <si>
    <t>KEOP vízvezeték építéshez pályázatban nem támogatott munkák</t>
  </si>
  <si>
    <t>Ivóvízminőség javítása KEOP pályázathoz önrész Önerőalapból (KEOP-7.1.3.0/09-201-0017 )</t>
  </si>
  <si>
    <t>Szent L. u.-i közösségi ház közműhálózat leválasztása</t>
  </si>
  <si>
    <t>Közvilágítás kiépítése ellátatlan területen</t>
  </si>
  <si>
    <t>Avashegyi közvilágítás kiépítése</t>
  </si>
  <si>
    <t>Ola u. és Platán sor  kereszteződésénél lévő 10 emeletes épület  NY-i, bejárati oldala előtti (posta, boltok, zöldséges,stb.) „sötét” járda megvilágítása</t>
  </si>
  <si>
    <t>Alkotmány utcai garázssor lámpatestek létesítése</t>
  </si>
  <si>
    <t>Csácsi hegyi kápolna díszkivilágítása</t>
  </si>
  <si>
    <t>Közvilágítás fejlesztése a Csács-bozsoki városrészben</t>
  </si>
  <si>
    <t>3.a/1</t>
  </si>
  <si>
    <t>Bánya utca aszfaltozása, csapadék víz elvezetéssel</t>
  </si>
  <si>
    <t xml:space="preserve">Babits u. 5. szám előtti parkoló bővítése </t>
  </si>
  <si>
    <t>Biológuspark útcsatlakozás kialakítása</t>
  </si>
  <si>
    <t>Mártírok úton autóbuszváró létesítése</t>
  </si>
  <si>
    <t>Csány - Zrínyi iskolák közötti belső sétány építése</t>
  </si>
  <si>
    <t>Tervek készítése, műszaki ellenőrzések és egyéb hatósági díjak</t>
  </si>
  <si>
    <t>Becsali u. gyalogos átkelőhely létesítése</t>
  </si>
  <si>
    <t>Buszváró létesítése Kaszaházán</t>
  </si>
  <si>
    <t>Berek u. zöldterület rendbetétele, játszótér kialakítása</t>
  </si>
  <si>
    <t>Szent András park és játszótér fejlesztésének folytatása</t>
  </si>
  <si>
    <t>Szent András park játszóeszköz telepítése</t>
  </si>
  <si>
    <t>Gébárti tó Ny-i oldal parkosítása</t>
  </si>
  <si>
    <t>5./5</t>
  </si>
  <si>
    <t>Szenterzsébethegy virágosítási munkák</t>
  </si>
  <si>
    <t>5./6</t>
  </si>
  <si>
    <t>Pózva játszótér fejlesztése</t>
  </si>
  <si>
    <t>5./7</t>
  </si>
  <si>
    <t>Ságodi játszótér fejlesztése</t>
  </si>
  <si>
    <t>5./8</t>
  </si>
  <si>
    <t>Idősek Otthona mögötti tömbbelső parkoló-zöldsáv megújítás</t>
  </si>
  <si>
    <t>5./9</t>
  </si>
  <si>
    <t>Játszóterek, zöldfelületek fejlesztése Páterdombon</t>
  </si>
  <si>
    <t>5./10</t>
  </si>
  <si>
    <t>Botfai sporpályához padok telepítése</t>
  </si>
  <si>
    <t>5./11</t>
  </si>
  <si>
    <t>József Attila Játszótér felújítása (növényzettel, játszóeszközökkel és térbútorokkal)</t>
  </si>
  <si>
    <t>5./12</t>
  </si>
  <si>
    <t>Landorhegyi köztéri padok beszerzése</t>
  </si>
  <si>
    <t>5./13</t>
  </si>
  <si>
    <t>Városi Középiskolai Kollégium Kaffka Margit Tagkollégium udvari pavilon építés és udvarrendezés</t>
  </si>
  <si>
    <t>5./14</t>
  </si>
  <si>
    <t>Csillagközi óvoda udvar parkosítás, füvesítés</t>
  </si>
  <si>
    <t>5./15</t>
  </si>
  <si>
    <t>Nemzetőr u. vége (Cinke park alatti) rendezetlen tér parkosítása</t>
  </si>
  <si>
    <t>5./16</t>
  </si>
  <si>
    <t>Izsák Általános Iskola melletti sportlétesítmények és környezetének fejlesztése, parkosítás</t>
  </si>
  <si>
    <t>5./17</t>
  </si>
  <si>
    <t>Berzsenyi utcai tízemeletesek közötti parkfejlesztés illetve egyéb beruházás</t>
  </si>
  <si>
    <t>5./18</t>
  </si>
  <si>
    <t>Önkormányzati erdő telepítése</t>
  </si>
  <si>
    <t>5./19</t>
  </si>
  <si>
    <t>Köztemető fenntartási feladatok ellátásához anyageszközigény biztosítása</t>
  </si>
  <si>
    <t>5./20</t>
  </si>
  <si>
    <t>Gyepmesteri feladatok ellátásához anyag -eszközigény biztosítása</t>
  </si>
  <si>
    <t>Kinizsi u. tömbbelsőben játszótér eszközbővítés</t>
  </si>
  <si>
    <t>Göcseji úti köztemető közkútjának szennyvízhálózatra való rácsatlakozása</t>
  </si>
  <si>
    <t>Zalaegerszegi Televízió Kft.felhalmozási célú pénzeszköz átadás</t>
  </si>
  <si>
    <t>Temetői fejlesztések</t>
  </si>
  <si>
    <t>Lukahegyi horhos burkolatemelés</t>
  </si>
  <si>
    <t>Bozsoki horhos partfal stabilizációk</t>
  </si>
  <si>
    <t>Szenterzsébethegyi Közösségi tér fejlesztése</t>
  </si>
  <si>
    <t>Erzsébethegy Közösségi tér kialakítás</t>
  </si>
  <si>
    <t>9.a/3</t>
  </si>
  <si>
    <t>Vis maior pályázat árvízvédelem és partfalomlás helyreállítás</t>
  </si>
  <si>
    <t>9.a/4</t>
  </si>
  <si>
    <t>Buslakpuszta bezárt szilárd hulladék-lerakó szennyezés lokalizációja</t>
  </si>
  <si>
    <t xml:space="preserve"> - lakásalappal kapcsolatos kiadások</t>
  </si>
  <si>
    <t xml:space="preserve">       eü. és szociális ágazat pályázati kerete</t>
  </si>
  <si>
    <t xml:space="preserve">        egyéb szociális szolgáltatás</t>
  </si>
  <si>
    <t>biz</t>
  </si>
  <si>
    <t>063020 Víztermelés, -kezelés, -ellátás</t>
  </si>
  <si>
    <t xml:space="preserve"> -Ivóvízminőség javítása KEOP pályázathoz önrész (KEOP-7.1.3.0/09-201-0017 )</t>
  </si>
  <si>
    <t>6.) Egyéb finanszírozási kiadás</t>
  </si>
  <si>
    <t xml:space="preserve"> - lakásalap előző évek tartalékának hasznosításából</t>
  </si>
  <si>
    <t xml:space="preserve"> - előző évek tartalékának hasznosításából</t>
  </si>
  <si>
    <t xml:space="preserve"> - előző évek pénzmaradványának igénybevétele</t>
  </si>
  <si>
    <t xml:space="preserve"> - Fejlesztési célú hitel felvétel  áthúzódó feladatokhoz kapcsolódó hitelkeretekből</t>
  </si>
  <si>
    <t xml:space="preserve">pm </t>
  </si>
  <si>
    <t xml:space="preserve"> - országos DO. zalaegerszegi rendezvényei</t>
  </si>
  <si>
    <t xml:space="preserve"> - Zalaegerszegi Kábítószerügyi Egyeztető Fórum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</si>
</sst>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0.0"/>
    <numFmt numFmtId="165" formatCode="#,##0.0000"/>
    <numFmt numFmtId="166" formatCode="mmm\ d/"/>
  </numFmts>
  <fonts count="77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MS Sans Serif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name val="Arial CE"/>
      <family val="2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charset val="238"/>
    </font>
    <font>
      <b/>
      <i/>
      <sz val="9"/>
      <name val="Arial CE"/>
      <charset val="238"/>
    </font>
    <font>
      <i/>
      <sz val="9"/>
      <name val="Arial CE"/>
      <family val="2"/>
      <charset val="238"/>
    </font>
    <font>
      <sz val="8"/>
      <name val="Times New Roman CE"/>
      <charset val="238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52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63"/>
      <name val="Arial"/>
      <family val="2"/>
      <charset val="238"/>
    </font>
    <font>
      <i/>
      <sz val="11"/>
      <color indexed="23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20"/>
      <name val="Arial"/>
      <family val="2"/>
      <charset val="238"/>
    </font>
    <font>
      <sz val="11"/>
      <color indexed="60"/>
      <name val="Arial"/>
      <family val="2"/>
      <charset val="238"/>
    </font>
    <font>
      <b/>
      <sz val="11"/>
      <color indexed="52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CE"/>
      <family val="2"/>
      <charset val="238"/>
    </font>
    <font>
      <sz val="8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1"/>
    </font>
    <font>
      <sz val="8"/>
      <name val="Arial"/>
      <charset val="238"/>
    </font>
    <font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1"/>
    </font>
    <font>
      <i/>
      <sz val="9"/>
      <name val="Times New Roman CE"/>
      <family val="1"/>
      <charset val="238"/>
    </font>
    <font>
      <b/>
      <i/>
      <sz val="10"/>
      <color indexed="10"/>
      <name val="Times New Roman"/>
      <family val="1"/>
      <charset val="238"/>
    </font>
    <font>
      <sz val="10"/>
      <color indexed="10"/>
      <name val="MS Sans Serif"/>
      <family val="2"/>
      <charset val="238"/>
    </font>
    <font>
      <sz val="9"/>
      <color indexed="10"/>
      <name val="Times New Roman"/>
      <family val="1"/>
      <charset val="238"/>
    </font>
    <font>
      <sz val="10"/>
      <name val="Times New Roman CE"/>
      <charset val="238"/>
    </font>
    <font>
      <i/>
      <sz val="8"/>
      <name val="Times New Roman"/>
      <family val="1"/>
      <charset val="238"/>
    </font>
    <font>
      <sz val="9"/>
      <color indexed="17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42" fillId="12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43" fillId="3" borderId="0" applyNumberFormat="0" applyBorder="0" applyAlignment="0" applyProtection="0"/>
    <xf numFmtId="0" fontId="24" fillId="7" borderId="1" applyNumberFormat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2" applyNumberFormat="0" applyAlignment="0" applyProtection="0"/>
    <xf numFmtId="0" fontId="4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7" fillId="4" borderId="0" applyNumberFormat="0" applyBorder="0" applyAlignment="0" applyProtection="0"/>
    <xf numFmtId="0" fontId="48" fillId="0" borderId="3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51" fillId="7" borderId="1" applyNumberFormat="0" applyAlignment="0" applyProtection="0"/>
    <xf numFmtId="0" fontId="3" fillId="22" borderId="7" applyNumberFormat="0" applyFont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32" fillId="4" borderId="0" applyNumberFormat="0" applyBorder="0" applyAlignment="0" applyProtection="0"/>
    <xf numFmtId="0" fontId="33" fillId="20" borderId="8" applyNumberFormat="0" applyAlignment="0" applyProtection="0"/>
    <xf numFmtId="0" fontId="52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54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3" fillId="0" borderId="0"/>
    <xf numFmtId="0" fontId="54" fillId="0" borderId="0"/>
    <xf numFmtId="0" fontId="54" fillId="0" borderId="0"/>
    <xf numFmtId="0" fontId="62" fillId="0" borderId="0"/>
    <xf numFmtId="0" fontId="62" fillId="0" borderId="0"/>
    <xf numFmtId="0" fontId="4" fillId="0" borderId="0"/>
    <xf numFmtId="0" fontId="63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62" fillId="0" borderId="0"/>
    <xf numFmtId="0" fontId="5" fillId="0" borderId="0"/>
    <xf numFmtId="0" fontId="41" fillId="22" borderId="7" applyNumberFormat="0" applyFont="0" applyAlignment="0" applyProtection="0"/>
    <xf numFmtId="0" fontId="55" fillId="20" borderId="8" applyNumberFormat="0" applyAlignment="0" applyProtection="0"/>
    <xf numFmtId="0" fontId="35" fillId="0" borderId="9" applyNumberFormat="0" applyFill="0" applyAlignment="0" applyProtection="0"/>
    <xf numFmtId="0" fontId="36" fillId="3" borderId="0" applyNumberFormat="0" applyBorder="0" applyAlignment="0" applyProtection="0"/>
    <xf numFmtId="0" fontId="37" fillId="23" borderId="0" applyNumberFormat="0" applyBorder="0" applyAlignment="0" applyProtection="0"/>
    <xf numFmtId="0" fontId="38" fillId="20" borderId="1" applyNumberFormat="0" applyAlignment="0" applyProtection="0"/>
    <xf numFmtId="0" fontId="56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8" fillId="0" borderId="0" applyNumberFormat="0" applyFill="0" applyBorder="0" applyAlignment="0" applyProtection="0"/>
  </cellStyleXfs>
  <cellXfs count="836">
    <xf numFmtId="0" fontId="0" fillId="0" borderId="0" xfId="0"/>
    <xf numFmtId="0" fontId="10" fillId="24" borderId="10" xfId="94" applyFont="1" applyFill="1" applyBorder="1" applyAlignment="1">
      <alignment vertical="center"/>
    </xf>
    <xf numFmtId="0" fontId="10" fillId="24" borderId="11" xfId="94" applyFont="1" applyFill="1" applyBorder="1" applyAlignment="1">
      <alignment vertical="center"/>
    </xf>
    <xf numFmtId="0" fontId="5" fillId="0" borderId="0" xfId="80" applyAlignment="1">
      <alignment vertical="center"/>
    </xf>
    <xf numFmtId="0" fontId="5" fillId="0" borderId="0" xfId="80"/>
    <xf numFmtId="0" fontId="9" fillId="24" borderId="11" xfId="94" applyFont="1" applyFill="1" applyBorder="1" applyAlignment="1">
      <alignment vertical="center"/>
    </xf>
    <xf numFmtId="0" fontId="8" fillId="0" borderId="0" xfId="80" applyFont="1"/>
    <xf numFmtId="0" fontId="9" fillId="24" borderId="12" xfId="94" applyFont="1" applyFill="1" applyBorder="1" applyAlignment="1">
      <alignment horizontal="center" vertical="center" wrapText="1"/>
    </xf>
    <xf numFmtId="0" fontId="9" fillId="24" borderId="13" xfId="94" applyFont="1" applyFill="1" applyBorder="1" applyAlignment="1">
      <alignment horizontal="center" vertical="center" wrapText="1"/>
    </xf>
    <xf numFmtId="0" fontId="8" fillId="0" borderId="14" xfId="94" applyFont="1" applyBorder="1" applyAlignment="1">
      <alignment horizontal="center" vertical="center"/>
    </xf>
    <xf numFmtId="0" fontId="9" fillId="24" borderId="14" xfId="94" applyFont="1" applyFill="1" applyBorder="1" applyAlignment="1">
      <alignment horizontal="center" vertical="center"/>
    </xf>
    <xf numFmtId="0" fontId="8" fillId="24" borderId="14" xfId="94" applyFont="1" applyFill="1" applyBorder="1" applyAlignment="1">
      <alignment horizontal="center" vertical="center"/>
    </xf>
    <xf numFmtId="0" fontId="9" fillId="24" borderId="13" xfId="94" applyFont="1" applyFill="1" applyBorder="1" applyAlignment="1">
      <alignment horizontal="center" vertical="center"/>
    </xf>
    <xf numFmtId="0" fontId="9" fillId="0" borderId="14" xfId="94" applyFont="1" applyBorder="1" applyAlignment="1">
      <alignment vertical="center"/>
    </xf>
    <xf numFmtId="3" fontId="8" fillId="0" borderId="14" xfId="94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2" fillId="0" borderId="14" xfId="98" applyNumberFormat="1" applyFont="1" applyFill="1" applyBorder="1" applyAlignment="1">
      <alignment horizontal="center" vertical="center" wrapText="1"/>
    </xf>
    <xf numFmtId="3" fontId="11" fillId="0" borderId="15" xfId="98" applyNumberFormat="1" applyFont="1" applyFill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3" fontId="11" fillId="0" borderId="14" xfId="98" applyNumberFormat="1" applyFont="1" applyFill="1" applyBorder="1" applyAlignment="1">
      <alignment horizontal="center" vertical="center" wrapText="1"/>
    </xf>
    <xf numFmtId="3" fontId="12" fillId="0" borderId="14" xfId="98" applyNumberFormat="1" applyFont="1" applyBorder="1" applyAlignment="1">
      <alignment horizontal="center" vertical="center"/>
    </xf>
    <xf numFmtId="3" fontId="12" fillId="0" borderId="14" xfId="98" applyNumberFormat="1" applyFont="1" applyBorder="1" applyAlignment="1">
      <alignment horizontal="right" vertical="center"/>
    </xf>
    <xf numFmtId="3" fontId="12" fillId="0" borderId="14" xfId="98" applyNumberFormat="1" applyFont="1" applyBorder="1" applyAlignment="1">
      <alignment vertical="center"/>
    </xf>
    <xf numFmtId="3" fontId="12" fillId="0" borderId="14" xfId="98" applyNumberFormat="1" applyFont="1" applyFill="1" applyBorder="1" applyAlignment="1">
      <alignment horizontal="center" vertical="center"/>
    </xf>
    <xf numFmtId="3" fontId="12" fillId="0" borderId="14" xfId="98" applyNumberFormat="1" applyFont="1" applyFill="1" applyBorder="1" applyAlignment="1">
      <alignment vertical="center"/>
    </xf>
    <xf numFmtId="3" fontId="11" fillId="24" borderId="14" xfId="98" applyNumberFormat="1" applyFont="1" applyFill="1" applyBorder="1" applyAlignment="1">
      <alignment horizontal="right" vertical="center"/>
    </xf>
    <xf numFmtId="3" fontId="11" fillId="0" borderId="14" xfId="98" applyNumberFormat="1" applyFont="1" applyFill="1" applyBorder="1" applyAlignment="1">
      <alignment horizontal="center" vertical="center"/>
    </xf>
    <xf numFmtId="3" fontId="12" fillId="0" borderId="17" xfId="98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vertical="center"/>
    </xf>
    <xf numFmtId="3" fontId="12" fillId="0" borderId="17" xfId="0" applyNumberFormat="1" applyFont="1" applyFill="1" applyBorder="1" applyAlignment="1">
      <alignment vertical="center"/>
    </xf>
    <xf numFmtId="3" fontId="11" fillId="24" borderId="14" xfId="0" applyNumberFormat="1" applyFont="1" applyFill="1" applyBorder="1" applyAlignment="1">
      <alignment horizontal="center" vertical="center"/>
    </xf>
    <xf numFmtId="3" fontId="11" fillId="24" borderId="17" xfId="0" applyNumberFormat="1" applyFont="1" applyFill="1" applyBorder="1" applyAlignment="1">
      <alignment vertical="center"/>
    </xf>
    <xf numFmtId="3" fontId="11" fillId="24" borderId="14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7" xfId="0" applyNumberFormat="1" applyFont="1" applyFill="1" applyBorder="1" applyAlignment="1">
      <alignment vertical="center"/>
    </xf>
    <xf numFmtId="3" fontId="11" fillId="0" borderId="18" xfId="0" applyNumberFormat="1" applyFont="1" applyFill="1" applyBorder="1" applyAlignment="1">
      <alignment vertical="center"/>
    </xf>
    <xf numFmtId="3" fontId="12" fillId="0" borderId="14" xfId="0" applyNumberFormat="1" applyFont="1" applyBorder="1" applyAlignment="1">
      <alignment horizontal="center" vertical="center"/>
    </xf>
    <xf numFmtId="3" fontId="12" fillId="0" borderId="17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/>
    <xf numFmtId="3" fontId="6" fillId="0" borderId="0" xfId="0" applyNumberFormat="1" applyFont="1" applyBorder="1" applyAlignment="1">
      <alignment vertical="center"/>
    </xf>
    <xf numFmtId="0" fontId="5" fillId="0" borderId="0" xfId="76" applyAlignment="1">
      <alignment vertical="center"/>
    </xf>
    <xf numFmtId="0" fontId="5" fillId="0" borderId="0" xfId="76" applyAlignment="1">
      <alignment vertical="top"/>
    </xf>
    <xf numFmtId="0" fontId="17" fillId="0" borderId="0" xfId="76" applyFont="1" applyAlignment="1">
      <alignment vertical="center"/>
    </xf>
    <xf numFmtId="3" fontId="5" fillId="0" borderId="0" xfId="76" applyNumberFormat="1" applyAlignment="1">
      <alignment vertical="center"/>
    </xf>
    <xf numFmtId="0" fontId="4" fillId="0" borderId="0" xfId="92"/>
    <xf numFmtId="0" fontId="4" fillId="0" borderId="0" xfId="92" applyAlignment="1">
      <alignment vertical="center"/>
    </xf>
    <xf numFmtId="0" fontId="4" fillId="0" borderId="0" xfId="92" applyAlignment="1">
      <alignment horizontal="center" vertical="center"/>
    </xf>
    <xf numFmtId="0" fontId="4" fillId="0" borderId="0" xfId="92" applyAlignment="1">
      <alignment horizontal="center"/>
    </xf>
    <xf numFmtId="0" fontId="12" fillId="0" borderId="14" xfId="76" applyFont="1" applyBorder="1" applyAlignment="1">
      <alignment vertical="center"/>
    </xf>
    <xf numFmtId="0" fontId="12" fillId="0" borderId="14" xfId="76" applyFont="1" applyBorder="1" applyAlignment="1">
      <alignment horizontal="center" vertical="center"/>
    </xf>
    <xf numFmtId="3" fontId="12" fillId="0" borderId="14" xfId="76" applyNumberFormat="1" applyFont="1" applyBorder="1" applyAlignment="1">
      <alignment vertical="center"/>
    </xf>
    <xf numFmtId="0" fontId="11" fillId="24" borderId="14" xfId="76" applyFont="1" applyFill="1" applyBorder="1" applyAlignment="1">
      <alignment horizontal="center" vertical="center"/>
    </xf>
    <xf numFmtId="0" fontId="11" fillId="24" borderId="14" xfId="76" applyFont="1" applyFill="1" applyBorder="1" applyAlignment="1">
      <alignment vertical="center"/>
    </xf>
    <xf numFmtId="0" fontId="8" fillId="0" borderId="14" xfId="76" applyFont="1" applyBorder="1" applyAlignment="1">
      <alignment horizontal="center" vertical="center"/>
    </xf>
    <xf numFmtId="0" fontId="8" fillId="24" borderId="14" xfId="92" applyFont="1" applyFill="1" applyBorder="1" applyAlignment="1">
      <alignment horizontal="center" vertical="center"/>
    </xf>
    <xf numFmtId="0" fontId="9" fillId="24" borderId="14" xfId="92" applyFont="1" applyFill="1" applyBorder="1" applyAlignment="1">
      <alignment vertical="center"/>
    </xf>
    <xf numFmtId="3" fontId="9" fillId="24" borderId="14" xfId="92" applyNumberFormat="1" applyFont="1" applyFill="1" applyBorder="1" applyAlignment="1">
      <alignment horizontal="right" vertical="center"/>
    </xf>
    <xf numFmtId="3" fontId="8" fillId="25" borderId="14" xfId="94" applyNumberFormat="1" applyFont="1" applyFill="1" applyBorder="1" applyAlignment="1">
      <alignment vertical="center"/>
    </xf>
    <xf numFmtId="0" fontId="18" fillId="0" borderId="0" xfId="0" applyFont="1"/>
    <xf numFmtId="3" fontId="19" fillId="0" borderId="0" xfId="98" applyNumberFormat="1" applyFont="1" applyFill="1" applyAlignment="1">
      <alignment vertical="center"/>
    </xf>
    <xf numFmtId="3" fontId="6" fillId="0" borderId="0" xfId="98" applyNumberFormat="1" applyFont="1" applyAlignment="1">
      <alignment vertical="center"/>
    </xf>
    <xf numFmtId="3" fontId="6" fillId="0" borderId="0" xfId="98" applyNumberFormat="1" applyFont="1" applyAlignment="1">
      <alignment horizontal="right" vertical="center"/>
    </xf>
    <xf numFmtId="3" fontId="6" fillId="0" borderId="0" xfId="98" applyNumberFormat="1" applyFont="1" applyFill="1" applyBorder="1" applyAlignment="1">
      <alignment vertical="center"/>
    </xf>
    <xf numFmtId="0" fontId="6" fillId="0" borderId="0" xfId="0" applyFont="1" applyBorder="1"/>
    <xf numFmtId="3" fontId="11" fillId="24" borderId="12" xfId="98" applyNumberFormat="1" applyFont="1" applyFill="1" applyBorder="1" applyAlignment="1">
      <alignment horizontal="center" vertical="top" wrapText="1"/>
    </xf>
    <xf numFmtId="3" fontId="11" fillId="24" borderId="13" xfId="98" applyNumberFormat="1" applyFont="1" applyFill="1" applyBorder="1" applyAlignment="1">
      <alignment horizontal="center" vertical="top" wrapText="1"/>
    </xf>
    <xf numFmtId="3" fontId="12" fillId="0" borderId="14" xfId="98" applyNumberFormat="1" applyFont="1" applyBorder="1" applyAlignment="1">
      <alignment horizontal="left" vertical="center" wrapText="1"/>
    </xf>
    <xf numFmtId="3" fontId="12" fillId="0" borderId="14" xfId="98" applyNumberFormat="1" applyFont="1" applyBorder="1" applyAlignment="1">
      <alignment horizontal="left" vertical="center"/>
    </xf>
    <xf numFmtId="3" fontId="12" fillId="24" borderId="14" xfId="98" applyNumberFormat="1" applyFont="1" applyFill="1" applyBorder="1" applyAlignment="1">
      <alignment horizontal="center" vertical="center"/>
    </xf>
    <xf numFmtId="0" fontId="8" fillId="0" borderId="14" xfId="94" applyFont="1" applyFill="1" applyBorder="1" applyAlignment="1">
      <alignment vertical="center"/>
    </xf>
    <xf numFmtId="0" fontId="11" fillId="24" borderId="17" xfId="81" applyFont="1" applyFill="1" applyBorder="1" applyAlignment="1">
      <alignment vertical="center"/>
    </xf>
    <xf numFmtId="0" fontId="9" fillId="0" borderId="14" xfId="94" applyFont="1" applyFill="1" applyBorder="1" applyAlignment="1">
      <alignment horizontal="center" vertical="center"/>
    </xf>
    <xf numFmtId="3" fontId="11" fillId="24" borderId="19" xfId="0" applyNumberFormat="1" applyFont="1" applyFill="1" applyBorder="1" applyAlignment="1">
      <alignment horizontal="center" vertical="center" wrapText="1"/>
    </xf>
    <xf numFmtId="3" fontId="11" fillId="24" borderId="20" xfId="0" applyNumberFormat="1" applyFont="1" applyFill="1" applyBorder="1" applyAlignment="1">
      <alignment horizontal="center" vertical="center" wrapText="1"/>
    </xf>
    <xf numFmtId="3" fontId="11" fillId="24" borderId="21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vertical="center" wrapText="1"/>
    </xf>
    <xf numFmtId="0" fontId="6" fillId="0" borderId="0" xfId="0" applyFont="1" applyFill="1"/>
    <xf numFmtId="3" fontId="11" fillId="0" borderId="14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0" fontId="7" fillId="0" borderId="0" xfId="0" applyFont="1"/>
    <xf numFmtId="3" fontId="12" fillId="0" borderId="14" xfId="0" applyNumberFormat="1" applyFont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 wrapText="1"/>
    </xf>
    <xf numFmtId="3" fontId="12" fillId="0" borderId="14" xfId="0" applyNumberFormat="1" applyFont="1" applyFill="1" applyBorder="1" applyAlignment="1">
      <alignment vertical="center" wrapText="1"/>
    </xf>
    <xf numFmtId="3" fontId="11" fillId="24" borderId="14" xfId="0" applyNumberFormat="1" applyFont="1" applyFill="1" applyBorder="1" applyAlignment="1">
      <alignment vertical="center" wrapText="1"/>
    </xf>
    <xf numFmtId="3" fontId="11" fillId="24" borderId="22" xfId="0" applyNumberFormat="1" applyFont="1" applyFill="1" applyBorder="1" applyAlignment="1">
      <alignment horizontal="left" vertical="center" wrapText="1"/>
    </xf>
    <xf numFmtId="3" fontId="11" fillId="24" borderId="23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 wrapText="1"/>
    </xf>
    <xf numFmtId="3" fontId="9" fillId="24" borderId="19" xfId="0" applyNumberFormat="1" applyFont="1" applyFill="1" applyBorder="1" applyAlignment="1">
      <alignment horizontal="center" vertical="center" wrapText="1"/>
    </xf>
    <xf numFmtId="3" fontId="9" fillId="24" borderId="24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horizontal="center" vertical="center" wrapText="1"/>
    </xf>
    <xf numFmtId="3" fontId="9" fillId="0" borderId="14" xfId="0" applyNumberFormat="1" applyFont="1" applyFill="1" applyBorder="1" applyAlignment="1">
      <alignment vertical="center" wrapText="1"/>
    </xf>
    <xf numFmtId="0" fontId="7" fillId="0" borderId="0" xfId="0" applyFont="1" applyFill="1"/>
    <xf numFmtId="3" fontId="8" fillId="0" borderId="14" xfId="0" applyNumberFormat="1" applyFont="1" applyFill="1" applyBorder="1" applyAlignment="1">
      <alignment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3" fontId="9" fillId="24" borderId="14" xfId="0" applyNumberFormat="1" applyFont="1" applyFill="1" applyBorder="1" applyAlignment="1">
      <alignment horizontal="center" vertical="center" wrapText="1"/>
    </xf>
    <xf numFmtId="3" fontId="9" fillId="24" borderId="14" xfId="0" applyNumberFormat="1" applyFont="1" applyFill="1" applyBorder="1" applyAlignment="1">
      <alignment vertical="center" wrapText="1"/>
    </xf>
    <xf numFmtId="3" fontId="8" fillId="24" borderId="14" xfId="0" applyNumberFormat="1" applyFont="1" applyFill="1" applyBorder="1" applyAlignment="1">
      <alignment horizontal="center" vertical="center" wrapText="1"/>
    </xf>
    <xf numFmtId="3" fontId="8" fillId="0" borderId="25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23" xfId="76" applyFont="1" applyBorder="1" applyAlignment="1">
      <alignment vertical="center"/>
    </xf>
    <xf numFmtId="3" fontId="11" fillId="24" borderId="14" xfId="76" applyNumberFormat="1" applyFont="1" applyFill="1" applyBorder="1" applyAlignment="1">
      <alignment vertical="center"/>
    </xf>
    <xf numFmtId="3" fontId="11" fillId="24" borderId="14" xfId="98" applyNumberFormat="1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8" fillId="0" borderId="14" xfId="94" applyFont="1" applyFill="1" applyBorder="1" applyAlignment="1">
      <alignment horizontal="center" vertical="center"/>
    </xf>
    <xf numFmtId="3" fontId="11" fillId="0" borderId="18" xfId="0" applyNumberFormat="1" applyFont="1" applyBorder="1" applyAlignment="1">
      <alignment vertical="center" wrapText="1"/>
    </xf>
    <xf numFmtId="0" fontId="11" fillId="24" borderId="14" xfId="76" applyFont="1" applyFill="1" applyBorder="1" applyAlignment="1">
      <alignment vertical="center" wrapText="1"/>
    </xf>
    <xf numFmtId="0" fontId="8" fillId="0" borderId="14" xfId="92" applyFont="1" applyFill="1" applyBorder="1" applyAlignment="1">
      <alignment vertical="center"/>
    </xf>
    <xf numFmtId="3" fontId="12" fillId="0" borderId="14" xfId="0" applyNumberFormat="1" applyFont="1" applyFill="1" applyBorder="1" applyAlignment="1">
      <alignment horizontal="right" vertical="center"/>
    </xf>
    <xf numFmtId="3" fontId="6" fillId="0" borderId="0" xfId="86" applyNumberFormat="1" applyFont="1" applyAlignment="1">
      <alignment vertical="center"/>
    </xf>
    <xf numFmtId="0" fontId="6" fillId="0" borderId="0" xfId="86" applyFont="1" applyAlignment="1">
      <alignment vertical="center"/>
    </xf>
    <xf numFmtId="3" fontId="6" fillId="0" borderId="0" xfId="86" applyNumberFormat="1" applyFont="1" applyBorder="1" applyAlignment="1">
      <alignment vertical="center"/>
    </xf>
    <xf numFmtId="0" fontId="6" fillId="0" borderId="0" xfId="86" applyFont="1" applyBorder="1" applyAlignment="1">
      <alignment vertical="center"/>
    </xf>
    <xf numFmtId="0" fontId="11" fillId="0" borderId="0" xfId="86" applyFont="1" applyFill="1" applyBorder="1" applyAlignment="1">
      <alignment vertical="center"/>
    </xf>
    <xf numFmtId="0" fontId="6" fillId="0" borderId="0" xfId="86" applyFont="1" applyFill="1" applyBorder="1" applyAlignment="1">
      <alignment vertical="center" wrapText="1"/>
    </xf>
    <xf numFmtId="0" fontId="6" fillId="0" borderId="0" xfId="86" applyFont="1" applyBorder="1" applyAlignment="1">
      <alignment vertical="center" wrapText="1"/>
    </xf>
    <xf numFmtId="3" fontId="8" fillId="0" borderId="14" xfId="92" applyNumberFormat="1" applyFont="1" applyFill="1" applyBorder="1" applyAlignment="1">
      <alignment horizontal="right" vertical="center" wrapText="1"/>
    </xf>
    <xf numFmtId="3" fontId="8" fillId="0" borderId="0" xfId="80" applyNumberFormat="1" applyFont="1"/>
    <xf numFmtId="3" fontId="8" fillId="0" borderId="14" xfId="92" applyNumberFormat="1" applyFont="1" applyFill="1" applyBorder="1" applyAlignment="1">
      <alignment horizontal="right" vertical="center"/>
    </xf>
    <xf numFmtId="3" fontId="11" fillId="0" borderId="0" xfId="86" applyNumberFormat="1" applyFont="1" applyFill="1" applyBorder="1" applyAlignment="1">
      <alignment vertical="center"/>
    </xf>
    <xf numFmtId="3" fontId="6" fillId="0" borderId="0" xfId="86" applyNumberFormat="1" applyFont="1" applyBorder="1" applyAlignment="1">
      <alignment vertical="center" wrapText="1"/>
    </xf>
    <xf numFmtId="3" fontId="9" fillId="26" borderId="24" xfId="98" applyNumberFormat="1" applyFont="1" applyFill="1" applyBorder="1" applyAlignment="1">
      <alignment horizontal="center" vertical="center" wrapText="1"/>
    </xf>
    <xf numFmtId="3" fontId="19" fillId="0" borderId="0" xfId="98" applyNumberFormat="1" applyFont="1" applyAlignment="1">
      <alignment vertical="center"/>
    </xf>
    <xf numFmtId="3" fontId="9" fillId="0" borderId="14" xfId="98" applyNumberFormat="1" applyFont="1" applyFill="1" applyBorder="1" applyAlignment="1">
      <alignment horizontal="left" vertical="center" wrapText="1"/>
    </xf>
    <xf numFmtId="3" fontId="8" fillId="0" borderId="14" xfId="98" applyNumberFormat="1" applyFont="1" applyFill="1" applyBorder="1" applyAlignment="1">
      <alignment horizontal="center" vertical="center" wrapText="1"/>
    </xf>
    <xf numFmtId="3" fontId="8" fillId="0" borderId="14" xfId="98" applyNumberFormat="1" applyFont="1" applyFill="1" applyBorder="1" applyAlignment="1">
      <alignment horizontal="left" vertical="center" wrapText="1"/>
    </xf>
    <xf numFmtId="3" fontId="8" fillId="0" borderId="14" xfId="98" applyNumberFormat="1" applyFont="1" applyFill="1" applyBorder="1" applyAlignment="1">
      <alignment vertical="center" wrapText="1"/>
    </xf>
    <xf numFmtId="3" fontId="6" fillId="0" borderId="0" xfId="98" applyNumberFormat="1" applyFont="1" applyFill="1" applyAlignment="1">
      <alignment vertical="center"/>
    </xf>
    <xf numFmtId="3" fontId="8" fillId="0" borderId="14" xfId="98" applyNumberFormat="1" applyFont="1" applyBorder="1" applyAlignment="1">
      <alignment horizontal="left" vertical="center" wrapText="1"/>
    </xf>
    <xf numFmtId="3" fontId="8" fillId="0" borderId="14" xfId="98" applyNumberFormat="1" applyFont="1" applyBorder="1" applyAlignment="1">
      <alignment vertical="center"/>
    </xf>
    <xf numFmtId="3" fontId="8" fillId="0" borderId="14" xfId="98" applyNumberFormat="1" applyFont="1" applyBorder="1" applyAlignment="1">
      <alignment horizontal="left" vertical="center"/>
    </xf>
    <xf numFmtId="3" fontId="8" fillId="0" borderId="14" xfId="98" applyNumberFormat="1" applyFont="1" applyFill="1" applyBorder="1" applyAlignment="1">
      <alignment vertical="center"/>
    </xf>
    <xf numFmtId="3" fontId="9" fillId="0" borderId="14" xfId="98" applyNumberFormat="1" applyFont="1" applyBorder="1" applyAlignment="1">
      <alignment vertical="center"/>
    </xf>
    <xf numFmtId="3" fontId="9" fillId="0" borderId="14" xfId="98" applyNumberFormat="1" applyFont="1" applyBorder="1" applyAlignment="1">
      <alignment horizontal="left" vertical="center" wrapText="1"/>
    </xf>
    <xf numFmtId="3" fontId="8" fillId="0" borderId="14" xfId="98" applyNumberFormat="1" applyFont="1" applyBorder="1" applyAlignment="1">
      <alignment horizontal="center" vertical="center"/>
    </xf>
    <xf numFmtId="3" fontId="9" fillId="0" borderId="14" xfId="98" applyNumberFormat="1" applyFont="1" applyFill="1" applyBorder="1" applyAlignment="1">
      <alignment vertical="center"/>
    </xf>
    <xf numFmtId="3" fontId="8" fillId="24" borderId="14" xfId="98" applyNumberFormat="1" applyFont="1" applyFill="1" applyBorder="1" applyAlignment="1">
      <alignment horizontal="center" vertical="center"/>
    </xf>
    <xf numFmtId="3" fontId="9" fillId="24" borderId="14" xfId="98" applyNumberFormat="1" applyFont="1" applyFill="1" applyBorder="1" applyAlignment="1">
      <alignment horizontal="left" vertical="center" wrapText="1"/>
    </xf>
    <xf numFmtId="3" fontId="9" fillId="24" borderId="14" xfId="98" applyNumberFormat="1" applyFont="1" applyFill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/>
    <xf numFmtId="0" fontId="8" fillId="0" borderId="14" xfId="0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right" vertical="center" wrapText="1"/>
    </xf>
    <xf numFmtId="3" fontId="8" fillId="0" borderId="14" xfId="94" applyNumberFormat="1" applyFont="1" applyFill="1" applyBorder="1" applyAlignment="1">
      <alignment horizontal="right" vertical="center"/>
    </xf>
    <xf numFmtId="0" fontId="12" fillId="0" borderId="23" xfId="76" applyFont="1" applyBorder="1" applyAlignment="1">
      <alignment horizontal="center" vertical="center"/>
    </xf>
    <xf numFmtId="3" fontId="11" fillId="24" borderId="13" xfId="98" applyNumberFormat="1" applyFont="1" applyFill="1" applyBorder="1" applyAlignment="1">
      <alignment horizontal="center" vertical="center" wrapText="1"/>
    </xf>
    <xf numFmtId="3" fontId="11" fillId="24" borderId="26" xfId="98" applyNumberFormat="1" applyFont="1" applyFill="1" applyBorder="1" applyAlignment="1">
      <alignment horizontal="center" vertical="center" wrapText="1"/>
    </xf>
    <xf numFmtId="0" fontId="12" fillId="0" borderId="14" xfId="77" applyFont="1" applyBorder="1" applyAlignment="1">
      <alignment vertical="center"/>
    </xf>
    <xf numFmtId="3" fontId="12" fillId="0" borderId="15" xfId="98" applyNumberFormat="1" applyFont="1" applyFill="1" applyBorder="1" applyAlignment="1">
      <alignment vertical="center"/>
    </xf>
    <xf numFmtId="0" fontId="11" fillId="24" borderId="14" xfId="77" applyFont="1" applyFill="1" applyBorder="1" applyAlignment="1">
      <alignment vertical="center" wrapText="1"/>
    </xf>
    <xf numFmtId="0" fontId="12" fillId="0" borderId="14" xfId="77" applyFont="1" applyFill="1" applyBorder="1" applyAlignment="1">
      <alignment vertical="center"/>
    </xf>
    <xf numFmtId="3" fontId="12" fillId="0" borderId="14" xfId="98" applyNumberFormat="1" applyFont="1" applyFill="1" applyBorder="1" applyAlignment="1">
      <alignment horizontal="right" vertical="center" wrapText="1"/>
    </xf>
    <xf numFmtId="3" fontId="12" fillId="24" borderId="14" xfId="98" applyNumberFormat="1" applyFont="1" applyFill="1" applyBorder="1" applyAlignment="1">
      <alignment horizontal="center" vertical="center" wrapText="1"/>
    </xf>
    <xf numFmtId="3" fontId="12" fillId="24" borderId="16" xfId="0" applyNumberFormat="1" applyFont="1" applyFill="1" applyBorder="1" applyAlignment="1">
      <alignment vertical="center"/>
    </xf>
    <xf numFmtId="3" fontId="11" fillId="24" borderId="14" xfId="98" applyNumberFormat="1" applyFont="1" applyFill="1" applyBorder="1" applyAlignment="1">
      <alignment horizontal="center" vertical="center" wrapText="1"/>
    </xf>
    <xf numFmtId="3" fontId="11" fillId="24" borderId="14" xfId="98" applyNumberFormat="1" applyFont="1" applyFill="1" applyBorder="1" applyAlignment="1">
      <alignment horizontal="right" vertical="center" wrapText="1"/>
    </xf>
    <xf numFmtId="3" fontId="12" fillId="24" borderId="14" xfId="0" applyNumberFormat="1" applyFont="1" applyFill="1" applyBorder="1" applyAlignment="1">
      <alignment horizontal="center" vertical="center"/>
    </xf>
    <xf numFmtId="3" fontId="11" fillId="0" borderId="14" xfId="98" applyNumberFormat="1" applyFont="1" applyFill="1" applyBorder="1" applyAlignment="1">
      <alignment horizontal="right" vertical="center" wrapText="1"/>
    </xf>
    <xf numFmtId="0" fontId="8" fillId="0" borderId="14" xfId="81" applyFont="1" applyFill="1" applyBorder="1" applyAlignment="1">
      <alignment horizontal="center"/>
    </xf>
    <xf numFmtId="3" fontId="11" fillId="24" borderId="15" xfId="98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3" fontId="11" fillId="24" borderId="16" xfId="0" applyNumberFormat="1" applyFont="1" applyFill="1" applyBorder="1" applyAlignment="1">
      <alignment vertical="center"/>
    </xf>
    <xf numFmtId="0" fontId="11" fillId="24" borderId="17" xfId="76" applyFont="1" applyFill="1" applyBorder="1" applyAlignment="1">
      <alignment vertical="center"/>
    </xf>
    <xf numFmtId="3" fontId="12" fillId="0" borderId="16" xfId="0" applyNumberFormat="1" applyFont="1" applyFill="1" applyBorder="1" applyAlignment="1">
      <alignment vertical="center"/>
    </xf>
    <xf numFmtId="3" fontId="14" fillId="0" borderId="14" xfId="98" applyNumberFormat="1" applyFont="1" applyFill="1" applyBorder="1" applyAlignment="1">
      <alignment horizontal="right" vertical="center" wrapText="1"/>
    </xf>
    <xf numFmtId="0" fontId="9" fillId="24" borderId="14" xfId="81" applyFont="1" applyFill="1" applyBorder="1" applyAlignment="1">
      <alignment horizontal="center"/>
    </xf>
    <xf numFmtId="0" fontId="61" fillId="24" borderId="16" xfId="0" applyFont="1" applyFill="1" applyBorder="1" applyAlignment="1">
      <alignment vertical="center"/>
    </xf>
    <xf numFmtId="3" fontId="12" fillId="0" borderId="17" xfId="0" applyNumberFormat="1" applyFont="1" applyFill="1" applyBorder="1" applyAlignment="1">
      <alignment horizontal="left" vertical="center"/>
    </xf>
    <xf numFmtId="3" fontId="15" fillId="0" borderId="17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horizontal="left" vertical="center"/>
    </xf>
    <xf numFmtId="3" fontId="12" fillId="0" borderId="15" xfId="0" applyNumberFormat="1" applyFont="1" applyFill="1" applyBorder="1" applyAlignment="1">
      <alignment vertical="center"/>
    </xf>
    <xf numFmtId="3" fontId="12" fillId="27" borderId="17" xfId="0" applyNumberFormat="1" applyFont="1" applyFill="1" applyBorder="1" applyAlignment="1">
      <alignment vertical="center"/>
    </xf>
    <xf numFmtId="3" fontId="12" fillId="27" borderId="18" xfId="0" applyNumberFormat="1" applyFont="1" applyFill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8" xfId="0" applyFont="1" applyFill="1" applyBorder="1" applyAlignment="1">
      <alignment horizontal="left" vertical="center"/>
    </xf>
    <xf numFmtId="3" fontId="12" fillId="0" borderId="15" xfId="0" applyNumberFormat="1" applyFont="1" applyFill="1" applyBorder="1" applyAlignment="1">
      <alignment horizontal="left" vertical="center"/>
    </xf>
    <xf numFmtId="3" fontId="59" fillId="0" borderId="0" xfId="0" applyNumberFormat="1" applyFont="1" applyBorder="1" applyAlignment="1">
      <alignment vertical="center"/>
    </xf>
    <xf numFmtId="3" fontId="9" fillId="0" borderId="14" xfId="94" applyNumberFormat="1" applyFont="1" applyBorder="1" applyAlignment="1">
      <alignment vertical="center"/>
    </xf>
    <xf numFmtId="3" fontId="8" fillId="0" borderId="14" xfId="54" applyNumberFormat="1" applyFont="1" applyBorder="1" applyAlignment="1">
      <alignment vertical="center"/>
    </xf>
    <xf numFmtId="3" fontId="8" fillId="25" borderId="14" xfId="54" applyNumberFormat="1" applyFont="1" applyFill="1" applyBorder="1" applyAlignment="1">
      <alignment vertical="center"/>
    </xf>
    <xf numFmtId="3" fontId="9" fillId="24" borderId="14" xfId="94" applyNumberFormat="1" applyFont="1" applyFill="1" applyBorder="1" applyAlignment="1">
      <alignment vertical="center"/>
    </xf>
    <xf numFmtId="3" fontId="9" fillId="24" borderId="14" xfId="54" applyNumberFormat="1" applyFont="1" applyFill="1" applyBorder="1" applyAlignment="1">
      <alignment vertical="center"/>
    </xf>
    <xf numFmtId="3" fontId="8" fillId="0" borderId="17" xfId="94" applyNumberFormat="1" applyFont="1" applyBorder="1" applyAlignment="1">
      <alignment vertical="center" wrapText="1"/>
    </xf>
    <xf numFmtId="3" fontId="8" fillId="0" borderId="14" xfId="94" applyNumberFormat="1" applyFont="1" applyBorder="1" applyAlignment="1">
      <alignment vertical="center" wrapText="1"/>
    </xf>
    <xf numFmtId="3" fontId="8" fillId="0" borderId="18" xfId="54" applyNumberFormat="1" applyFont="1" applyBorder="1" applyAlignment="1">
      <alignment vertical="center"/>
    </xf>
    <xf numFmtId="3" fontId="8" fillId="0" borderId="14" xfId="94" applyNumberFormat="1" applyFont="1" applyFill="1" applyBorder="1" applyAlignment="1">
      <alignment vertical="center" wrapText="1"/>
    </xf>
    <xf numFmtId="3" fontId="9" fillId="0" borderId="14" xfId="94" applyNumberFormat="1" applyFont="1" applyFill="1" applyBorder="1" applyAlignment="1">
      <alignment vertical="center"/>
    </xf>
    <xf numFmtId="3" fontId="9" fillId="0" borderId="14" xfId="54" applyNumberFormat="1" applyFont="1" applyFill="1" applyBorder="1" applyAlignment="1">
      <alignment vertical="center"/>
    </xf>
    <xf numFmtId="3" fontId="8" fillId="0" borderId="14" xfId="94" applyNumberFormat="1" applyFont="1" applyFill="1" applyBorder="1" applyAlignment="1">
      <alignment vertical="center"/>
    </xf>
    <xf numFmtId="3" fontId="8" fillId="0" borderId="14" xfId="54" applyNumberFormat="1" applyFont="1" applyFill="1" applyBorder="1" applyAlignment="1">
      <alignment vertical="center"/>
    </xf>
    <xf numFmtId="3" fontId="9" fillId="24" borderId="14" xfId="76" applyNumberFormat="1" applyFont="1" applyFill="1" applyBorder="1" applyAlignment="1">
      <alignment vertical="center" wrapText="1"/>
    </xf>
    <xf numFmtId="0" fontId="8" fillId="0" borderId="14" xfId="94" applyFont="1" applyFill="1" applyBorder="1" applyAlignment="1">
      <alignment vertical="center" wrapText="1"/>
    </xf>
    <xf numFmtId="3" fontId="8" fillId="0" borderId="14" xfId="0" applyNumberFormat="1" applyFont="1" applyFill="1" applyBorder="1" applyAlignment="1">
      <alignment vertical="center"/>
    </xf>
    <xf numFmtId="0" fontId="8" fillId="0" borderId="14" xfId="92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2" fillId="0" borderId="18" xfId="0" applyFont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0" fontId="12" fillId="27" borderId="18" xfId="0" applyFont="1" applyFill="1" applyBorder="1" applyAlignment="1">
      <alignment horizontal="center" vertical="center"/>
    </xf>
    <xf numFmtId="3" fontId="12" fillId="27" borderId="18" xfId="0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39" fillId="24" borderId="14" xfId="92" applyFont="1" applyFill="1" applyBorder="1" applyAlignment="1">
      <alignment horizontal="center" vertical="center" wrapText="1"/>
    </xf>
    <xf numFmtId="3" fontId="8" fillId="0" borderId="14" xfId="92" applyNumberFormat="1" applyFont="1" applyBorder="1" applyAlignment="1">
      <alignment horizontal="right" vertical="center" wrapText="1"/>
    </xf>
    <xf numFmtId="3" fontId="8" fillId="0" borderId="14" xfId="92" applyNumberFormat="1" applyFont="1" applyBorder="1" applyAlignment="1">
      <alignment horizontal="right"/>
    </xf>
    <xf numFmtId="0" fontId="21" fillId="0" borderId="0" xfId="85"/>
    <xf numFmtId="0" fontId="9" fillId="28" borderId="27" xfId="85" applyFont="1" applyFill="1" applyBorder="1" applyAlignment="1">
      <alignment horizontal="center" vertical="center" wrapText="1"/>
    </xf>
    <xf numFmtId="0" fontId="8" fillId="0" borderId="28" xfId="85" applyFont="1" applyFill="1" applyBorder="1" applyAlignment="1">
      <alignment horizontal="center" vertical="top" wrapText="1"/>
    </xf>
    <xf numFmtId="0" fontId="8" fillId="0" borderId="28" xfId="85" applyFont="1" applyFill="1" applyBorder="1" applyAlignment="1">
      <alignment vertical="top" wrapText="1"/>
    </xf>
    <xf numFmtId="0" fontId="9" fillId="0" borderId="29" xfId="85" applyFont="1" applyFill="1" applyBorder="1" applyAlignment="1">
      <alignment horizontal="left" vertical="top"/>
    </xf>
    <xf numFmtId="3" fontId="8" fillId="0" borderId="28" xfId="85" applyNumberFormat="1" applyFont="1" applyFill="1" applyBorder="1" applyAlignment="1">
      <alignment vertical="center"/>
    </xf>
    <xf numFmtId="3" fontId="12" fillId="0" borderId="28" xfId="99" applyNumberFormat="1" applyFont="1" applyFill="1" applyBorder="1" applyAlignment="1">
      <alignment horizontal="center" vertical="center"/>
    </xf>
    <xf numFmtId="0" fontId="12" fillId="0" borderId="28" xfId="79" applyFont="1" applyBorder="1" applyAlignment="1">
      <alignment vertical="center"/>
    </xf>
    <xf numFmtId="0" fontId="12" fillId="0" borderId="30" xfId="79" applyFont="1" applyBorder="1" applyAlignment="1">
      <alignment vertical="center"/>
    </xf>
    <xf numFmtId="3" fontId="12" fillId="0" borderId="30" xfId="87" applyNumberFormat="1" applyFont="1" applyFill="1" applyBorder="1" applyAlignment="1">
      <alignment vertical="center" wrapText="1"/>
    </xf>
    <xf numFmtId="3" fontId="12" fillId="0" borderId="31" xfId="93" applyNumberFormat="1" applyFont="1" applyFill="1" applyBorder="1" applyAlignment="1">
      <alignment horizontal="left" vertical="center"/>
    </xf>
    <xf numFmtId="3" fontId="8" fillId="0" borderId="28" xfId="85" applyNumberFormat="1" applyFont="1" applyFill="1" applyBorder="1" applyAlignment="1">
      <alignment horizontal="right" vertical="center" wrapText="1"/>
    </xf>
    <xf numFmtId="3" fontId="12" fillId="0" borderId="32" xfId="87" applyNumberFormat="1" applyFont="1" applyFill="1" applyBorder="1" applyAlignment="1">
      <alignment vertical="center" wrapText="1"/>
    </xf>
    <xf numFmtId="0" fontId="63" fillId="0" borderId="33" xfId="93" applyFill="1" applyBorder="1" applyAlignment="1">
      <alignment vertical="center"/>
    </xf>
    <xf numFmtId="0" fontId="8" fillId="28" borderId="28" xfId="85" applyFont="1" applyFill="1" applyBorder="1" applyAlignment="1">
      <alignment horizontal="center" vertical="top" wrapText="1"/>
    </xf>
    <xf numFmtId="0" fontId="8" fillId="28" borderId="28" xfId="85" applyFont="1" applyFill="1" applyBorder="1" applyAlignment="1">
      <alignment vertical="top" wrapText="1"/>
    </xf>
    <xf numFmtId="0" fontId="9" fillId="28" borderId="30" xfId="85" applyFont="1" applyFill="1" applyBorder="1" applyAlignment="1">
      <alignment horizontal="left" vertical="top"/>
    </xf>
    <xf numFmtId="0" fontId="9" fillId="28" borderId="29" xfId="85" applyFont="1" applyFill="1" applyBorder="1" applyAlignment="1">
      <alignment horizontal="left" vertical="top"/>
    </xf>
    <xf numFmtId="0" fontId="8" fillId="29" borderId="28" xfId="85" applyFont="1" applyFill="1" applyBorder="1" applyAlignment="1">
      <alignment horizontal="center"/>
    </xf>
    <xf numFmtId="0" fontId="8" fillId="29" borderId="28" xfId="85" applyFont="1" applyFill="1" applyBorder="1" applyAlignment="1">
      <alignment horizontal="center" vertical="center"/>
    </xf>
    <xf numFmtId="0" fontId="8" fillId="0" borderId="30" xfId="79" applyFont="1" applyBorder="1" applyAlignment="1">
      <alignment vertical="center"/>
    </xf>
    <xf numFmtId="0" fontId="9" fillId="29" borderId="29" xfId="85" applyFont="1" applyFill="1" applyBorder="1" applyAlignment="1">
      <alignment vertical="center"/>
    </xf>
    <xf numFmtId="3" fontId="8" fillId="29" borderId="28" xfId="85" applyNumberFormat="1" applyFont="1" applyFill="1" applyBorder="1" applyAlignment="1">
      <alignment vertical="center"/>
    </xf>
    <xf numFmtId="0" fontId="8" fillId="29" borderId="34" xfId="85" applyFont="1" applyFill="1" applyBorder="1" applyAlignment="1">
      <alignment horizontal="center"/>
    </xf>
    <xf numFmtId="0" fontId="8" fillId="29" borderId="35" xfId="85" applyFont="1" applyFill="1" applyBorder="1" applyAlignment="1">
      <alignment horizontal="center"/>
    </xf>
    <xf numFmtId="0" fontId="14" fillId="0" borderId="28" xfId="97" applyFont="1" applyFill="1" applyBorder="1" applyAlignment="1">
      <alignment horizontal="center" vertical="center"/>
    </xf>
    <xf numFmtId="0" fontId="14" fillId="0" borderId="30" xfId="79" applyFont="1" applyBorder="1" applyAlignment="1">
      <alignment vertical="center"/>
    </xf>
    <xf numFmtId="166" fontId="14" fillId="0" borderId="28" xfId="97" applyNumberFormat="1" applyFont="1" applyFill="1" applyBorder="1" applyAlignment="1">
      <alignment horizontal="center" vertical="center"/>
    </xf>
    <xf numFmtId="3" fontId="14" fillId="0" borderId="30" xfId="89" applyNumberFormat="1" applyFont="1" applyBorder="1" applyAlignment="1">
      <alignment vertical="top" wrapText="1"/>
    </xf>
    <xf numFmtId="166" fontId="12" fillId="0" borderId="28" xfId="97" applyNumberFormat="1" applyFont="1" applyFill="1" applyBorder="1" applyAlignment="1">
      <alignment horizontal="center" vertical="center"/>
    </xf>
    <xf numFmtId="49" fontId="12" fillId="0" borderId="30" xfId="89" applyNumberFormat="1" applyFont="1" applyBorder="1" applyAlignment="1">
      <alignment horizontal="left" vertical="center" wrapText="1"/>
    </xf>
    <xf numFmtId="0" fontId="8" fillId="0" borderId="29" xfId="93" applyFont="1" applyFill="1" applyBorder="1" applyAlignment="1">
      <alignment horizontal="left" vertical="center" wrapText="1"/>
    </xf>
    <xf numFmtId="3" fontId="11" fillId="0" borderId="28" xfId="97" applyNumberFormat="1" applyFont="1" applyFill="1" applyBorder="1" applyAlignment="1">
      <alignment vertical="center"/>
    </xf>
    <xf numFmtId="49" fontId="70" fillId="0" borderId="31" xfId="89" applyNumberFormat="1" applyFont="1" applyBorder="1" applyAlignment="1">
      <alignment horizontal="left" vertical="top" wrapText="1"/>
    </xf>
    <xf numFmtId="0" fontId="8" fillId="0" borderId="36" xfId="93" applyFont="1" applyFill="1" applyBorder="1" applyAlignment="1">
      <alignment horizontal="left" vertical="center" wrapText="1"/>
    </xf>
    <xf numFmtId="0" fontId="8" fillId="0" borderId="30" xfId="85" applyFont="1" applyBorder="1" applyAlignment="1">
      <alignment vertical="center"/>
    </xf>
    <xf numFmtId="49" fontId="8" fillId="29" borderId="30" xfId="93" applyNumberFormat="1" applyFont="1" applyFill="1" applyBorder="1" applyAlignment="1">
      <alignment horizontal="left" vertical="top" wrapText="1"/>
    </xf>
    <xf numFmtId="0" fontId="8" fillId="29" borderId="37" xfId="97" applyFont="1" applyFill="1" applyBorder="1" applyAlignment="1">
      <alignment vertical="top" wrapText="1"/>
    </xf>
    <xf numFmtId="0" fontId="39" fillId="29" borderId="37" xfId="97" applyFont="1" applyFill="1" applyBorder="1" applyAlignment="1">
      <alignment vertical="top" wrapText="1"/>
    </xf>
    <xf numFmtId="49" fontId="64" fillId="0" borderId="37" xfId="89" applyNumberFormat="1" applyFont="1" applyFill="1" applyBorder="1" applyAlignment="1">
      <alignment horizontal="left" vertical="center" wrapText="1"/>
    </xf>
    <xf numFmtId="0" fontId="39" fillId="0" borderId="30" xfId="97" applyFont="1" applyBorder="1" applyAlignment="1">
      <alignment vertical="center"/>
    </xf>
    <xf numFmtId="0" fontId="8" fillId="0" borderId="28" xfId="85" applyFont="1" applyBorder="1" applyAlignment="1">
      <alignment horizontal="center" vertical="center"/>
    </xf>
    <xf numFmtId="49" fontId="63" fillId="0" borderId="37" xfId="89" applyNumberFormat="1" applyFont="1" applyFill="1" applyBorder="1" applyAlignment="1">
      <alignment horizontal="left" vertical="center" wrapText="1"/>
    </xf>
    <xf numFmtId="3" fontId="68" fillId="0" borderId="29" xfId="93" applyNumberFormat="1" applyFont="1" applyFill="1" applyBorder="1" applyAlignment="1">
      <alignment horizontal="left" vertical="center" wrapText="1"/>
    </xf>
    <xf numFmtId="0" fontId="8" fillId="0" borderId="30" xfId="85" applyFont="1" applyBorder="1" applyAlignment="1">
      <alignment vertical="center" wrapText="1"/>
    </xf>
    <xf numFmtId="3" fontId="68" fillId="0" borderId="38" xfId="93" applyNumberFormat="1" applyFont="1" applyFill="1" applyBorder="1" applyAlignment="1">
      <alignment horizontal="left" vertical="center" wrapText="1"/>
    </xf>
    <xf numFmtId="49" fontId="64" fillId="0" borderId="30" xfId="89" applyNumberFormat="1" applyFont="1" applyBorder="1" applyAlignment="1">
      <alignment horizontal="left" vertical="center" wrapText="1"/>
    </xf>
    <xf numFmtId="0" fontId="68" fillId="0" borderId="29" xfId="93" applyFont="1" applyFill="1" applyBorder="1" applyAlignment="1">
      <alignment horizontal="left" vertical="center" wrapText="1"/>
    </xf>
    <xf numFmtId="0" fontId="8" fillId="28" borderId="34" xfId="85" applyFont="1" applyFill="1" applyBorder="1" applyAlignment="1"/>
    <xf numFmtId="0" fontId="8" fillId="28" borderId="35" xfId="85" applyFont="1" applyFill="1" applyBorder="1" applyAlignment="1"/>
    <xf numFmtId="0" fontId="8" fillId="28" borderId="28" xfId="85" applyFont="1" applyFill="1" applyBorder="1" applyAlignment="1">
      <alignment horizontal="center" vertical="center"/>
    </xf>
    <xf numFmtId="0" fontId="9" fillId="28" borderId="30" xfId="85" applyFont="1" applyFill="1" applyBorder="1" applyAlignment="1">
      <alignment vertical="center"/>
    </xf>
    <xf numFmtId="0" fontId="71" fillId="28" borderId="29" xfId="85" applyFont="1" applyFill="1" applyBorder="1" applyAlignment="1">
      <alignment vertical="center"/>
    </xf>
    <xf numFmtId="3" fontId="9" fillId="28" borderId="28" xfId="85" applyNumberFormat="1" applyFont="1" applyFill="1" applyBorder="1" applyAlignment="1">
      <alignment horizontal="right" vertical="center"/>
    </xf>
    <xf numFmtId="0" fontId="8" fillId="0" borderId="34" xfId="85" applyFont="1" applyFill="1" applyBorder="1" applyAlignment="1"/>
    <xf numFmtId="0" fontId="8" fillId="0" borderId="35" xfId="85" applyFont="1" applyFill="1" applyBorder="1" applyAlignment="1"/>
    <xf numFmtId="0" fontId="8" fillId="0" borderId="28" xfId="85" applyFont="1" applyFill="1" applyBorder="1" applyAlignment="1">
      <alignment horizontal="center" vertical="center"/>
    </xf>
    <xf numFmtId="0" fontId="9" fillId="0" borderId="30" xfId="85" applyFont="1" applyFill="1" applyBorder="1" applyAlignment="1">
      <alignment horizontal="left" vertical="center"/>
    </xf>
    <xf numFmtId="0" fontId="71" fillId="0" borderId="29" xfId="85" applyFont="1" applyFill="1" applyBorder="1" applyAlignment="1">
      <alignment horizontal="left" vertical="center"/>
    </xf>
    <xf numFmtId="3" fontId="9" fillId="0" borderId="28" xfId="85" applyNumberFormat="1" applyFont="1" applyFill="1" applyBorder="1" applyAlignment="1">
      <alignment horizontal="right" vertical="center"/>
    </xf>
    <xf numFmtId="0" fontId="9" fillId="0" borderId="28" xfId="85" applyFont="1" applyFill="1" applyBorder="1" applyAlignment="1">
      <alignment horizontal="center" vertical="center"/>
    </xf>
    <xf numFmtId="3" fontId="8" fillId="0" borderId="28" xfId="85" applyNumberFormat="1" applyFont="1" applyFill="1" applyBorder="1" applyAlignment="1">
      <alignment horizontal="right" vertical="center"/>
    </xf>
    <xf numFmtId="0" fontId="8" fillId="0" borderId="28" xfId="85" applyFont="1" applyFill="1" applyBorder="1" applyAlignment="1"/>
    <xf numFmtId="0" fontId="8" fillId="0" borderId="29" xfId="85" applyFont="1" applyFill="1" applyBorder="1" applyAlignment="1"/>
    <xf numFmtId="0" fontId="8" fillId="29" borderId="30" xfId="93" applyFont="1" applyFill="1" applyBorder="1" applyAlignment="1">
      <alignment vertical="top" wrapText="1"/>
    </xf>
    <xf numFmtId="0" fontId="8" fillId="0" borderId="30" xfId="97" applyFont="1" applyBorder="1" applyAlignment="1">
      <alignment vertical="center"/>
    </xf>
    <xf numFmtId="49" fontId="64" fillId="0" borderId="30" xfId="93" applyNumberFormat="1" applyFont="1" applyFill="1" applyBorder="1" applyAlignment="1">
      <alignment horizontal="left" vertical="center" wrapText="1"/>
    </xf>
    <xf numFmtId="0" fontId="71" fillId="0" borderId="29" xfId="97" applyFont="1" applyFill="1" applyBorder="1" applyAlignment="1">
      <alignment vertical="center"/>
    </xf>
    <xf numFmtId="0" fontId="9" fillId="0" borderId="28" xfId="85" applyFont="1" applyBorder="1" applyAlignment="1">
      <alignment horizontal="center" vertical="center"/>
    </xf>
    <xf numFmtId="0" fontId="9" fillId="0" borderId="30" xfId="85" applyFont="1" applyBorder="1" applyAlignment="1">
      <alignment vertical="center"/>
    </xf>
    <xf numFmtId="49" fontId="12" fillId="0" borderId="30" xfId="93" applyNumberFormat="1" applyFont="1" applyFill="1" applyBorder="1" applyAlignment="1">
      <alignment horizontal="left" vertical="center" wrapText="1"/>
    </xf>
    <xf numFmtId="0" fontId="8" fillId="0" borderId="37" xfId="93" applyFont="1" applyFill="1" applyBorder="1" applyAlignment="1">
      <alignment vertical="top" wrapText="1"/>
    </xf>
    <xf numFmtId="0" fontId="9" fillId="29" borderId="28" xfId="85" applyFont="1" applyFill="1" applyBorder="1" applyAlignment="1">
      <alignment horizontal="center" vertical="top" wrapText="1"/>
    </xf>
    <xf numFmtId="0" fontId="9" fillId="29" borderId="30" xfId="85" applyFont="1" applyFill="1" applyBorder="1" applyAlignment="1">
      <alignment vertical="top"/>
    </xf>
    <xf numFmtId="0" fontId="8" fillId="29" borderId="30" xfId="88" applyFont="1" applyFill="1" applyBorder="1" applyAlignment="1">
      <alignment vertical="top" wrapText="1"/>
    </xf>
    <xf numFmtId="0" fontId="71" fillId="0" borderId="29" xfId="85" applyFont="1" applyBorder="1" applyAlignment="1">
      <alignment vertical="center"/>
    </xf>
    <xf numFmtId="3" fontId="8" fillId="0" borderId="28" xfId="85" applyNumberFormat="1" applyFont="1" applyBorder="1" applyAlignment="1">
      <alignment vertical="center"/>
    </xf>
    <xf numFmtId="0" fontId="8" fillId="29" borderId="37" xfId="88" applyFont="1" applyFill="1" applyBorder="1" applyAlignment="1">
      <alignment vertical="top" wrapText="1"/>
    </xf>
    <xf numFmtId="0" fontId="8" fillId="29" borderId="28" xfId="85" applyFont="1" applyFill="1" applyBorder="1" applyAlignment="1">
      <alignment horizontal="center" vertical="top" wrapText="1"/>
    </xf>
    <xf numFmtId="0" fontId="64" fillId="0" borderId="30" xfId="88" applyFont="1" applyBorder="1" applyAlignment="1">
      <alignment vertical="center" wrapText="1"/>
    </xf>
    <xf numFmtId="0" fontId="9" fillId="0" borderId="30" xfId="85" applyFont="1" applyFill="1" applyBorder="1" applyAlignment="1">
      <alignment vertical="top"/>
    </xf>
    <xf numFmtId="49" fontId="12" fillId="0" borderId="30" xfId="93" applyNumberFormat="1" applyFont="1" applyBorder="1" applyAlignment="1">
      <alignment horizontal="left" vertical="center" wrapText="1"/>
    </xf>
    <xf numFmtId="3" fontId="12" fillId="0" borderId="30" xfId="93" applyNumberFormat="1" applyFont="1" applyFill="1" applyBorder="1" applyAlignment="1">
      <alignment horizontal="left" vertical="center" wrapText="1"/>
    </xf>
    <xf numFmtId="49" fontId="64" fillId="0" borderId="30" xfId="93" applyNumberFormat="1" applyFont="1" applyFill="1" applyBorder="1" applyAlignment="1">
      <alignment vertical="center" wrapText="1"/>
    </xf>
    <xf numFmtId="49" fontId="64" fillId="0" borderId="30" xfId="93" applyNumberFormat="1" applyFont="1" applyBorder="1" applyAlignment="1">
      <alignment vertical="center" wrapText="1"/>
    </xf>
    <xf numFmtId="49" fontId="8" fillId="0" borderId="30" xfId="93" applyNumberFormat="1" applyFont="1" applyBorder="1" applyAlignment="1">
      <alignment horizontal="left" vertical="top" wrapText="1"/>
    </xf>
    <xf numFmtId="49" fontId="8" fillId="0" borderId="0" xfId="93" applyNumberFormat="1" applyFont="1" applyBorder="1" applyAlignment="1">
      <alignment horizontal="left" vertical="top" wrapText="1"/>
    </xf>
    <xf numFmtId="0" fontId="8" fillId="29" borderId="37" xfId="93" applyFont="1" applyFill="1" applyBorder="1" applyAlignment="1">
      <alignment vertical="top" wrapText="1"/>
    </xf>
    <xf numFmtId="49" fontId="8" fillId="29" borderId="30" xfId="93" applyNumberFormat="1" applyFont="1" applyFill="1" applyBorder="1" applyAlignment="1">
      <alignment vertical="top" wrapText="1"/>
    </xf>
    <xf numFmtId="0" fontId="8" fillId="29" borderId="30" xfId="93" applyFont="1" applyFill="1" applyBorder="1" applyAlignment="1">
      <alignment horizontal="left" vertical="top" wrapText="1"/>
    </xf>
    <xf numFmtId="3" fontId="12" fillId="29" borderId="30" xfId="93" applyNumberFormat="1" applyFont="1" applyFill="1" applyBorder="1" applyAlignment="1">
      <alignment horizontal="left" vertical="center" wrapText="1"/>
    </xf>
    <xf numFmtId="49" fontId="64" fillId="0" borderId="30" xfId="89" applyNumberFormat="1" applyFont="1" applyFill="1" applyBorder="1" applyAlignment="1">
      <alignment horizontal="left" vertical="center" wrapText="1"/>
    </xf>
    <xf numFmtId="49" fontId="8" fillId="0" borderId="37" xfId="90" applyNumberFormat="1" applyFont="1" applyBorder="1" applyAlignment="1">
      <alignment horizontal="left" vertical="top" wrapText="1"/>
    </xf>
    <xf numFmtId="0" fontId="8" fillId="0" borderId="30" xfId="85" applyFont="1" applyFill="1" applyBorder="1" applyAlignment="1">
      <alignment vertical="top"/>
    </xf>
    <xf numFmtId="3" fontId="12" fillId="0" borderId="32" xfId="89" applyNumberFormat="1" applyFont="1" applyBorder="1" applyAlignment="1">
      <alignment vertical="top" wrapText="1"/>
    </xf>
    <xf numFmtId="0" fontId="71" fillId="0" borderId="39" xfId="85" applyFont="1" applyFill="1" applyBorder="1" applyAlignment="1">
      <alignment horizontal="left" vertical="center"/>
    </xf>
    <xf numFmtId="3" fontId="8" fillId="0" borderId="30" xfId="89" applyNumberFormat="1" applyFont="1" applyBorder="1" applyAlignment="1">
      <alignment vertical="center" wrapText="1"/>
    </xf>
    <xf numFmtId="0" fontId="8" fillId="0" borderId="30" xfId="93" applyFont="1" applyFill="1" applyBorder="1"/>
    <xf numFmtId="49" fontId="63" fillId="0" borderId="30" xfId="93" applyNumberFormat="1" applyFont="1" applyBorder="1" applyAlignment="1">
      <alignment vertical="center" wrapText="1"/>
    </xf>
    <xf numFmtId="49" fontId="63" fillId="0" borderId="30" xfId="89" applyNumberFormat="1" applyFont="1" applyFill="1" applyBorder="1" applyAlignment="1">
      <alignment horizontal="left" vertical="center" wrapText="1"/>
    </xf>
    <xf numFmtId="0" fontId="8" fillId="0" borderId="30" xfId="83" applyFont="1" applyFill="1" applyBorder="1" applyAlignment="1">
      <alignment vertical="top" wrapText="1"/>
    </xf>
    <xf numFmtId="0" fontId="9" fillId="28" borderId="30" xfId="85" applyFont="1" applyFill="1" applyBorder="1" applyAlignment="1">
      <alignment horizontal="left" vertical="center"/>
    </xf>
    <xf numFmtId="0" fontId="71" fillId="28" borderId="29" xfId="85" applyFont="1" applyFill="1" applyBorder="1" applyAlignment="1">
      <alignment horizontal="left" vertical="center"/>
    </xf>
    <xf numFmtId="0" fontId="9" fillId="29" borderId="30" xfId="85" applyFont="1" applyFill="1" applyBorder="1" applyAlignment="1">
      <alignment horizontal="left" vertical="center"/>
    </xf>
    <xf numFmtId="0" fontId="71" fillId="29" borderId="29" xfId="85" applyFont="1" applyFill="1" applyBorder="1" applyAlignment="1">
      <alignment horizontal="left" vertical="center"/>
    </xf>
    <xf numFmtId="3" fontId="9" fillId="29" borderId="28" xfId="85" applyNumberFormat="1" applyFont="1" applyFill="1" applyBorder="1" applyAlignment="1">
      <alignment vertical="center"/>
    </xf>
    <xf numFmtId="3" fontId="9" fillId="0" borderId="28" xfId="85" applyNumberFormat="1" applyFont="1" applyFill="1" applyBorder="1" applyAlignment="1">
      <alignment vertical="center"/>
    </xf>
    <xf numFmtId="0" fontId="12" fillId="0" borderId="30" xfId="93" applyFont="1" applyBorder="1" applyAlignment="1">
      <alignment horizontal="left" vertical="top" wrapText="1"/>
    </xf>
    <xf numFmtId="0" fontId="12" fillId="0" borderId="30" xfId="93" applyFont="1" applyBorder="1" applyAlignment="1">
      <alignment wrapText="1"/>
    </xf>
    <xf numFmtId="49" fontId="8" fillId="0" borderId="30" xfId="93" applyNumberFormat="1" applyFont="1" applyFill="1" applyBorder="1" applyAlignment="1">
      <alignment horizontal="left" vertical="top" wrapText="1"/>
    </xf>
    <xf numFmtId="49" fontId="8" fillId="29" borderId="37" xfId="93" applyNumberFormat="1" applyFont="1" applyFill="1" applyBorder="1" applyAlignment="1">
      <alignment horizontal="left" vertical="top" wrapText="1"/>
    </xf>
    <xf numFmtId="0" fontId="11" fillId="0" borderId="29" xfId="97" applyFont="1" applyFill="1" applyBorder="1" applyAlignment="1">
      <alignment vertical="center"/>
    </xf>
    <xf numFmtId="49" fontId="64" fillId="0" borderId="30" xfId="89" applyNumberFormat="1" applyFont="1" applyFill="1" applyBorder="1" applyAlignment="1">
      <alignment vertical="center" wrapText="1"/>
    </xf>
    <xf numFmtId="0" fontId="68" fillId="0" borderId="29" xfId="85" applyFont="1" applyFill="1" applyBorder="1" applyAlignment="1">
      <alignment vertical="center"/>
    </xf>
    <xf numFmtId="49" fontId="64" fillId="0" borderId="30" xfId="93" applyNumberFormat="1" applyFont="1" applyFill="1" applyBorder="1" applyAlignment="1">
      <alignment horizontal="left" vertical="top" wrapText="1"/>
    </xf>
    <xf numFmtId="0" fontId="72" fillId="0" borderId="0" xfId="85" applyFont="1" applyBorder="1"/>
    <xf numFmtId="3" fontId="8" fillId="0" borderId="28" xfId="85" applyNumberFormat="1" applyFont="1" applyBorder="1"/>
    <xf numFmtId="0" fontId="8" fillId="0" borderId="28" xfId="85" applyFont="1" applyBorder="1" applyAlignment="1"/>
    <xf numFmtId="0" fontId="12" fillId="0" borderId="30" xfId="93" applyFont="1" applyFill="1" applyBorder="1" applyAlignment="1">
      <alignment horizontal="left" vertical="top" wrapText="1"/>
    </xf>
    <xf numFmtId="0" fontId="12" fillId="0" borderId="30" xfId="93" applyFont="1" applyBorder="1"/>
    <xf numFmtId="0" fontId="8" fillId="0" borderId="30" xfId="82" applyFont="1" applyFill="1" applyBorder="1" applyAlignment="1">
      <alignment horizontal="left" vertical="center" wrapText="1"/>
    </xf>
    <xf numFmtId="0" fontId="8" fillId="29" borderId="30" xfId="82" applyFont="1" applyFill="1" applyBorder="1" applyAlignment="1">
      <alignment vertical="top" wrapText="1"/>
    </xf>
    <xf numFmtId="0" fontId="9" fillId="0" borderId="29" xfId="85" applyFont="1" applyBorder="1" applyAlignment="1">
      <alignment vertical="center"/>
    </xf>
    <xf numFmtId="3" fontId="8" fillId="29" borderId="28" xfId="85" applyNumberFormat="1" applyFont="1" applyFill="1" applyBorder="1" applyAlignment="1">
      <alignment horizontal="right" vertical="center" wrapText="1"/>
    </xf>
    <xf numFmtId="0" fontId="71" fillId="29" borderId="29" xfId="85" applyFont="1" applyFill="1" applyBorder="1" applyAlignment="1">
      <alignment vertical="top"/>
    </xf>
    <xf numFmtId="166" fontId="8" fillId="29" borderId="28" xfId="85" applyNumberFormat="1" applyFont="1" applyFill="1" applyBorder="1" applyAlignment="1">
      <alignment horizontal="center" vertical="top" wrapText="1"/>
    </xf>
    <xf numFmtId="49" fontId="8" fillId="0" borderId="30" xfId="93" applyNumberFormat="1" applyFont="1" applyBorder="1" applyAlignment="1">
      <alignment horizontal="left" vertical="center" wrapText="1"/>
    </xf>
    <xf numFmtId="0" fontId="8" fillId="0" borderId="30" xfId="82" applyFont="1" applyFill="1" applyBorder="1" applyAlignment="1">
      <alignment vertical="center" wrapText="1"/>
    </xf>
    <xf numFmtId="0" fontId="8" fillId="0" borderId="30" xfId="82" applyFont="1" applyFill="1" applyBorder="1" applyAlignment="1">
      <alignment vertical="top"/>
    </xf>
    <xf numFmtId="0" fontId="64" fillId="29" borderId="30" xfId="85" applyFont="1" applyFill="1" applyBorder="1" applyAlignment="1">
      <alignment vertical="top" wrapText="1"/>
    </xf>
    <xf numFmtId="0" fontId="68" fillId="29" borderId="29" xfId="85" applyFont="1" applyFill="1" applyBorder="1" applyAlignment="1">
      <alignment horizontal="center" vertical="top"/>
    </xf>
    <xf numFmtId="0" fontId="8" fillId="0" borderId="30" xfId="82" applyFont="1" applyFill="1" applyBorder="1" applyAlignment="1">
      <alignment horizontal="left" vertical="top"/>
    </xf>
    <xf numFmtId="0" fontId="8" fillId="29" borderId="30" xfId="85" applyFont="1" applyFill="1" applyBorder="1" applyAlignment="1">
      <alignment vertical="top"/>
    </xf>
    <xf numFmtId="0" fontId="64" fillId="0" borderId="30" xfId="84" applyFont="1" applyFill="1" applyBorder="1" applyAlignment="1">
      <alignment vertical="top"/>
    </xf>
    <xf numFmtId="0" fontId="8" fillId="0" borderId="30" xfId="84" applyFont="1" applyFill="1" applyBorder="1" applyAlignment="1">
      <alignment vertical="top"/>
    </xf>
    <xf numFmtId="0" fontId="8" fillId="0" borderId="30" xfId="84" applyFont="1" applyFill="1" applyBorder="1" applyAlignment="1">
      <alignment vertical="top" wrapText="1"/>
    </xf>
    <xf numFmtId="0" fontId="8" fillId="0" borderId="30" xfId="85" applyFont="1" applyFill="1" applyBorder="1" applyAlignment="1">
      <alignment vertical="top" wrapText="1"/>
    </xf>
    <xf numFmtId="0" fontId="12" fillId="0" borderId="30" xfId="93" applyFont="1" applyFill="1" applyBorder="1" applyAlignment="1">
      <alignment wrapText="1"/>
    </xf>
    <xf numFmtId="0" fontId="8" fillId="29" borderId="29" xfId="85" applyFont="1" applyFill="1" applyBorder="1" applyAlignment="1">
      <alignment horizontal="center" vertical="top"/>
    </xf>
    <xf numFmtId="0" fontId="12" fillId="0" borderId="30" xfId="93" applyFont="1" applyBorder="1" applyAlignment="1">
      <alignment horizontal="left"/>
    </xf>
    <xf numFmtId="3" fontId="8" fillId="0" borderId="30" xfId="89" applyNumberFormat="1" applyFont="1" applyFill="1" applyBorder="1" applyAlignment="1">
      <alignment vertical="center" wrapText="1"/>
    </xf>
    <xf numFmtId="0" fontId="8" fillId="0" borderId="37" xfId="83" applyFont="1" applyFill="1" applyBorder="1" applyAlignment="1">
      <alignment vertical="top" wrapText="1"/>
    </xf>
    <xf numFmtId="0" fontId="8" fillId="0" borderId="30" xfId="85" applyFont="1" applyBorder="1"/>
    <xf numFmtId="0" fontId="64" fillId="0" borderId="30" xfId="85" applyFont="1" applyFill="1" applyBorder="1" applyAlignment="1">
      <alignment vertical="top" wrapText="1"/>
    </xf>
    <xf numFmtId="0" fontId="64" fillId="0" borderId="30" xfId="79" applyFont="1" applyFill="1" applyBorder="1" applyAlignment="1">
      <alignment horizontal="left" vertical="center" wrapText="1"/>
    </xf>
    <xf numFmtId="0" fontId="64" fillId="0" borderId="30" xfId="78" applyFont="1" applyFill="1" applyBorder="1" applyAlignment="1">
      <alignment horizontal="left" vertical="center" wrapText="1"/>
    </xf>
    <xf numFmtId="0" fontId="64" fillId="0" borderId="30" xfId="84" applyFont="1" applyFill="1" applyBorder="1" applyAlignment="1">
      <alignment vertical="top" wrapText="1"/>
    </xf>
    <xf numFmtId="0" fontId="64" fillId="29" borderId="30" xfId="85" applyFont="1" applyFill="1" applyBorder="1" applyAlignment="1">
      <alignment horizontal="left" vertical="top" wrapText="1"/>
    </xf>
    <xf numFmtId="3" fontId="64" fillId="0" borderId="30" xfId="93" applyNumberFormat="1" applyFont="1" applyFill="1" applyBorder="1" applyAlignment="1">
      <alignment vertical="center" wrapText="1"/>
    </xf>
    <xf numFmtId="49" fontId="64" fillId="0" borderId="30" xfId="89" applyNumberFormat="1" applyFont="1" applyFill="1" applyBorder="1" applyAlignment="1">
      <alignment horizontal="left" vertical="center"/>
    </xf>
    <xf numFmtId="0" fontId="21" fillId="0" borderId="29" xfId="85" applyBorder="1"/>
    <xf numFmtId="49" fontId="63" fillId="0" borderId="30" xfId="93" applyNumberFormat="1" applyFont="1" applyBorder="1" applyAlignment="1">
      <alignment horizontal="left" vertical="center" wrapText="1"/>
    </xf>
    <xf numFmtId="0" fontId="68" fillId="29" borderId="29" xfId="85" applyFont="1" applyFill="1" applyBorder="1" applyAlignment="1">
      <alignment vertical="top"/>
    </xf>
    <xf numFmtId="0" fontId="12" fillId="0" borderId="30" xfId="82" applyFont="1" applyFill="1" applyBorder="1" applyAlignment="1">
      <alignment vertical="top" wrapText="1"/>
    </xf>
    <xf numFmtId="0" fontId="8" fillId="28" borderId="28" xfId="85" applyFont="1" applyFill="1" applyBorder="1" applyAlignment="1"/>
    <xf numFmtId="3" fontId="9" fillId="28" borderId="28" xfId="85" applyNumberFormat="1" applyFont="1" applyFill="1" applyBorder="1" applyAlignment="1">
      <alignment vertical="center"/>
    </xf>
    <xf numFmtId="0" fontId="8" fillId="0" borderId="28" xfId="85" applyFont="1" applyFill="1" applyBorder="1" applyAlignment="1">
      <alignment horizontal="center"/>
    </xf>
    <xf numFmtId="0" fontId="9" fillId="0" borderId="30" xfId="85" applyFont="1" applyFill="1" applyBorder="1" applyAlignment="1">
      <alignment vertical="center"/>
    </xf>
    <xf numFmtId="0" fontId="71" fillId="0" borderId="29" xfId="85" applyFont="1" applyFill="1" applyBorder="1" applyAlignment="1">
      <alignment vertical="center"/>
    </xf>
    <xf numFmtId="0" fontId="8" fillId="0" borderId="30" xfId="85" applyFont="1" applyFill="1" applyBorder="1" applyAlignment="1">
      <alignment vertical="center"/>
    </xf>
    <xf numFmtId="0" fontId="8" fillId="29" borderId="30" xfId="85" applyFont="1" applyFill="1" applyBorder="1" applyAlignment="1">
      <alignment vertical="top" wrapText="1"/>
    </xf>
    <xf numFmtId="0" fontId="64" fillId="0" borderId="30" xfId="93" applyFont="1" applyFill="1" applyBorder="1" applyAlignment="1">
      <alignment vertical="center" wrapText="1"/>
    </xf>
    <xf numFmtId="0" fontId="9" fillId="29" borderId="30" xfId="85" applyFont="1" applyFill="1" applyBorder="1" applyAlignment="1">
      <alignment vertical="center"/>
    </xf>
    <xf numFmtId="0" fontId="71" fillId="29" borderId="29" xfId="85" applyFont="1" applyFill="1" applyBorder="1" applyAlignment="1">
      <alignment vertical="center"/>
    </xf>
    <xf numFmtId="0" fontId="8" fillId="28" borderId="28" xfId="85" applyFont="1" applyFill="1" applyBorder="1" applyAlignment="1">
      <alignment horizontal="center"/>
    </xf>
    <xf numFmtId="0" fontId="64" fillId="29" borderId="30" xfId="79" applyFont="1" applyFill="1" applyBorder="1" applyAlignment="1">
      <alignment horizontal="left" vertical="center" wrapText="1"/>
    </xf>
    <xf numFmtId="0" fontId="64" fillId="0" borderId="30" xfId="85" applyFont="1" applyFill="1" applyBorder="1" applyAlignment="1">
      <alignment vertical="center" wrapText="1"/>
    </xf>
    <xf numFmtId="0" fontId="8" fillId="0" borderId="28" xfId="85" applyFont="1" applyBorder="1" applyAlignment="1">
      <alignment horizontal="center"/>
    </xf>
    <xf numFmtId="0" fontId="68" fillId="0" borderId="30" xfId="84" applyFont="1" applyFill="1" applyBorder="1" applyAlignment="1">
      <alignment vertical="center"/>
    </xf>
    <xf numFmtId="0" fontId="8" fillId="28" borderId="28" xfId="85" applyFont="1" applyFill="1" applyBorder="1"/>
    <xf numFmtId="0" fontId="9" fillId="28" borderId="30" xfId="85" applyFont="1" applyFill="1" applyBorder="1"/>
    <xf numFmtId="0" fontId="9" fillId="28" borderId="29" xfId="85" applyFont="1" applyFill="1" applyBorder="1"/>
    <xf numFmtId="3" fontId="9" fillId="28" borderId="28" xfId="85" applyNumberFormat="1" applyFont="1" applyFill="1" applyBorder="1"/>
    <xf numFmtId="0" fontId="9" fillId="28" borderId="28" xfId="85" applyFont="1" applyFill="1" applyBorder="1"/>
    <xf numFmtId="0" fontId="9" fillId="28" borderId="28" xfId="85" applyFont="1" applyFill="1" applyBorder="1" applyAlignment="1">
      <alignment horizontal="center"/>
    </xf>
    <xf numFmtId="0" fontId="9" fillId="28" borderId="30" xfId="79" applyFont="1" applyFill="1" applyBorder="1" applyAlignment="1">
      <alignment vertical="center" wrapText="1"/>
    </xf>
    <xf numFmtId="3" fontId="8" fillId="0" borderId="28" xfId="85" applyNumberFormat="1" applyFont="1" applyBorder="1" applyAlignment="1">
      <alignment horizontal="center"/>
    </xf>
    <xf numFmtId="0" fontId="8" fillId="0" borderId="28" xfId="85" applyFont="1" applyBorder="1"/>
    <xf numFmtId="166" fontId="8" fillId="0" borderId="28" xfId="85" applyNumberFormat="1" applyFont="1" applyBorder="1" applyAlignment="1">
      <alignment horizontal="center"/>
    </xf>
    <xf numFmtId="0" fontId="8" fillId="0" borderId="29" xfId="85" applyFont="1" applyBorder="1"/>
    <xf numFmtId="0" fontId="8" fillId="0" borderId="0" xfId="85" applyFont="1" applyAlignment="1">
      <alignment horizontal="left"/>
    </xf>
    <xf numFmtId="0" fontId="8" fillId="0" borderId="0" xfId="85" applyFont="1"/>
    <xf numFmtId="0" fontId="9" fillId="0" borderId="0" xfId="85" applyFont="1"/>
    <xf numFmtId="0" fontId="8" fillId="0" borderId="40" xfId="85" applyFont="1" applyFill="1" applyBorder="1" applyAlignment="1">
      <alignment vertical="top" wrapText="1"/>
    </xf>
    <xf numFmtId="0" fontId="9" fillId="0" borderId="32" xfId="85" applyFont="1" applyFill="1" applyBorder="1" applyAlignment="1">
      <alignment horizontal="left" vertical="top"/>
    </xf>
    <xf numFmtId="0" fontId="9" fillId="0" borderId="33" xfId="85" applyFont="1" applyFill="1" applyBorder="1" applyAlignment="1">
      <alignment horizontal="left" vertical="top"/>
    </xf>
    <xf numFmtId="0" fontId="69" fillId="28" borderId="27" xfId="85" applyFont="1" applyFill="1" applyBorder="1" applyAlignment="1">
      <alignment horizontal="center" vertical="center" wrapText="1"/>
    </xf>
    <xf numFmtId="0" fontId="8" fillId="0" borderId="36" xfId="85" applyFont="1" applyBorder="1"/>
    <xf numFmtId="3" fontId="8" fillId="0" borderId="33" xfId="85" applyNumberFormat="1" applyFont="1" applyFill="1" applyBorder="1" applyAlignment="1">
      <alignment horizontal="left" vertical="center" wrapText="1"/>
    </xf>
    <xf numFmtId="3" fontId="8" fillId="0" borderId="40" xfId="85" applyNumberFormat="1" applyFont="1" applyFill="1" applyBorder="1" applyAlignment="1">
      <alignment horizontal="left" vertical="center" wrapText="1"/>
    </xf>
    <xf numFmtId="3" fontId="8" fillId="0" borderId="40" xfId="85" applyNumberFormat="1" applyFont="1" applyBorder="1"/>
    <xf numFmtId="3" fontId="8" fillId="0" borderId="29" xfId="85" applyNumberFormat="1" applyFont="1" applyFill="1" applyBorder="1" applyAlignment="1">
      <alignment horizontal="left" vertical="center" wrapText="1"/>
    </xf>
    <xf numFmtId="3" fontId="8" fillId="0" borderId="28" xfId="85" applyNumberFormat="1" applyFont="1" applyFill="1" applyBorder="1" applyAlignment="1">
      <alignment horizontal="left" vertical="center" wrapText="1"/>
    </xf>
    <xf numFmtId="3" fontId="9" fillId="28" borderId="29" xfId="85" applyNumberFormat="1" applyFont="1" applyFill="1" applyBorder="1" applyAlignment="1">
      <alignment horizontal="left" vertical="center" wrapText="1"/>
    </xf>
    <xf numFmtId="3" fontId="9" fillId="28" borderId="28" xfId="85" applyNumberFormat="1" applyFont="1" applyFill="1" applyBorder="1" applyAlignment="1">
      <alignment horizontal="right" vertical="center" wrapText="1"/>
    </xf>
    <xf numFmtId="0" fontId="11" fillId="28" borderId="41" xfId="97" applyFont="1" applyFill="1" applyBorder="1" applyAlignment="1">
      <alignment horizontal="center" vertical="center"/>
    </xf>
    <xf numFmtId="0" fontId="11" fillId="28" borderId="42" xfId="97" applyFont="1" applyFill="1" applyBorder="1" applyAlignment="1">
      <alignment horizontal="center" vertical="center"/>
    </xf>
    <xf numFmtId="0" fontId="11" fillId="28" borderId="43" xfId="97" applyFont="1" applyFill="1" applyBorder="1" applyAlignment="1">
      <alignment horizontal="center" vertical="center"/>
    </xf>
    <xf numFmtId="0" fontId="11" fillId="28" borderId="44" xfId="97" applyFont="1" applyFill="1" applyBorder="1" applyAlignment="1">
      <alignment horizontal="center" vertical="center"/>
    </xf>
    <xf numFmtId="0" fontId="7" fillId="0" borderId="0" xfId="97" applyFont="1" applyAlignment="1">
      <alignment vertical="center"/>
    </xf>
    <xf numFmtId="0" fontId="11" fillId="28" borderId="45" xfId="97" applyFont="1" applyFill="1" applyBorder="1" applyAlignment="1">
      <alignment horizontal="center" vertical="top" wrapText="1"/>
    </xf>
    <xf numFmtId="0" fontId="11" fillId="28" borderId="46" xfId="97" applyFont="1" applyFill="1" applyBorder="1" applyAlignment="1">
      <alignment horizontal="center" vertical="top" wrapText="1"/>
    </xf>
    <xf numFmtId="0" fontId="11" fillId="28" borderId="47" xfId="97" applyFont="1" applyFill="1" applyBorder="1" applyAlignment="1">
      <alignment horizontal="center" vertical="top"/>
    </xf>
    <xf numFmtId="0" fontId="11" fillId="28" borderId="27" xfId="97" applyFont="1" applyFill="1" applyBorder="1" applyAlignment="1">
      <alignment horizontal="center" vertical="top"/>
    </xf>
    <xf numFmtId="0" fontId="12" fillId="0" borderId="28" xfId="97" applyFont="1" applyBorder="1" applyAlignment="1">
      <alignment horizontal="center" vertical="center"/>
    </xf>
    <xf numFmtId="0" fontId="9" fillId="0" borderId="30" xfId="97" applyFont="1" applyBorder="1" applyAlignment="1">
      <alignment vertical="center"/>
    </xf>
    <xf numFmtId="0" fontId="11" fillId="0" borderId="48" xfId="97" applyFont="1" applyBorder="1" applyAlignment="1">
      <alignment vertical="center"/>
    </xf>
    <xf numFmtId="0" fontId="12" fillId="0" borderId="28" xfId="97" applyFont="1" applyBorder="1" applyAlignment="1">
      <alignment vertical="center"/>
    </xf>
    <xf numFmtId="0" fontId="6" fillId="0" borderId="0" xfId="97" applyFont="1" applyAlignment="1">
      <alignment vertical="center"/>
    </xf>
    <xf numFmtId="0" fontId="12" fillId="0" borderId="28" xfId="97" applyFont="1" applyFill="1" applyBorder="1" applyAlignment="1">
      <alignment horizontal="center" vertical="center"/>
    </xf>
    <xf numFmtId="0" fontId="14" fillId="0" borderId="49" xfId="79" applyFont="1" applyBorder="1" applyAlignment="1">
      <alignment vertical="center"/>
    </xf>
    <xf numFmtId="0" fontId="11" fillId="0" borderId="35" xfId="97" applyFont="1" applyFill="1" applyBorder="1" applyAlignment="1">
      <alignment vertical="center"/>
    </xf>
    <xf numFmtId="0" fontId="14" fillId="0" borderId="50" xfId="79" applyFont="1" applyBorder="1" applyAlignment="1">
      <alignment vertical="center"/>
    </xf>
    <xf numFmtId="0" fontId="12" fillId="0" borderId="28" xfId="97" applyNumberFormat="1" applyFont="1" applyFill="1" applyBorder="1" applyAlignment="1">
      <alignment horizontal="center" vertical="center"/>
    </xf>
    <xf numFmtId="3" fontId="8" fillId="0" borderId="47" xfId="89" applyNumberFormat="1" applyFont="1" applyBorder="1" applyAlignment="1">
      <alignment vertical="top" wrapText="1"/>
    </xf>
    <xf numFmtId="3" fontId="12" fillId="0" borderId="30" xfId="89" applyNumberFormat="1" applyFont="1" applyBorder="1" applyAlignment="1">
      <alignment vertical="top" wrapText="1"/>
    </xf>
    <xf numFmtId="3" fontId="12" fillId="0" borderId="37" xfId="89" applyNumberFormat="1" applyFont="1" applyBorder="1" applyAlignment="1">
      <alignment vertical="top" wrapText="1"/>
    </xf>
    <xf numFmtId="3" fontId="8" fillId="0" borderId="32" xfId="89" applyNumberFormat="1" applyFont="1" applyBorder="1" applyAlignment="1">
      <alignment vertical="top" wrapText="1"/>
    </xf>
    <xf numFmtId="0" fontId="11" fillId="0" borderId="39" xfId="97" applyFont="1" applyFill="1" applyBorder="1" applyAlignment="1">
      <alignment vertical="center"/>
    </xf>
    <xf numFmtId="3" fontId="8" fillId="0" borderId="50" xfId="89" applyNumberFormat="1" applyFont="1" applyBorder="1" applyAlignment="1">
      <alignment vertical="top" wrapText="1"/>
    </xf>
    <xf numFmtId="49" fontId="65" fillId="0" borderId="50" xfId="89" applyNumberFormat="1" applyFont="1" applyBorder="1" applyAlignment="1">
      <alignment horizontal="left" vertical="top" wrapText="1"/>
    </xf>
    <xf numFmtId="49" fontId="65" fillId="0" borderId="32" xfId="89" applyNumberFormat="1" applyFont="1" applyBorder="1" applyAlignment="1">
      <alignment horizontal="left" vertical="top" wrapText="1"/>
    </xf>
    <xf numFmtId="0" fontId="9" fillId="0" borderId="29" xfId="85" applyFont="1" applyFill="1" applyBorder="1" applyAlignment="1">
      <alignment horizontal="left" vertical="center"/>
    </xf>
    <xf numFmtId="49" fontId="70" fillId="0" borderId="32" xfId="89" applyNumberFormat="1" applyFont="1" applyBorder="1" applyAlignment="1">
      <alignment horizontal="left" vertical="top" wrapText="1"/>
    </xf>
    <xf numFmtId="0" fontId="14" fillId="0" borderId="28" xfId="97" applyNumberFormat="1" applyFont="1" applyFill="1" applyBorder="1" applyAlignment="1">
      <alignment horizontal="center" vertical="center"/>
    </xf>
    <xf numFmtId="3" fontId="12" fillId="0" borderId="47" xfId="93" applyNumberFormat="1" applyFont="1" applyBorder="1" applyAlignment="1">
      <alignment vertical="center"/>
    </xf>
    <xf numFmtId="3" fontId="12" fillId="0" borderId="29" xfId="93" applyNumberFormat="1" applyFont="1" applyBorder="1" applyAlignment="1">
      <alignment vertical="center"/>
    </xf>
    <xf numFmtId="0" fontId="12" fillId="0" borderId="37" xfId="97" applyFont="1" applyFill="1" applyBorder="1" applyAlignment="1">
      <alignment vertical="center"/>
    </xf>
    <xf numFmtId="3" fontId="8" fillId="0" borderId="30" xfId="89" applyNumberFormat="1" applyFont="1" applyBorder="1" applyAlignment="1">
      <alignment vertical="top" wrapText="1"/>
    </xf>
    <xf numFmtId="49" fontId="65" fillId="0" borderId="37" xfId="89" applyNumberFormat="1" applyFont="1" applyFill="1" applyBorder="1" applyAlignment="1">
      <alignment horizontal="left" vertical="center" wrapText="1"/>
    </xf>
    <xf numFmtId="0" fontId="73" fillId="0" borderId="29" xfId="93" applyFont="1" applyFill="1" applyBorder="1" applyAlignment="1">
      <alignment horizontal="left" vertical="center" wrapText="1"/>
    </xf>
    <xf numFmtId="3" fontId="73" fillId="0" borderId="29" xfId="93" applyNumberFormat="1" applyFont="1" applyFill="1" applyBorder="1" applyAlignment="1">
      <alignment horizontal="left" vertical="center" wrapText="1"/>
    </xf>
    <xf numFmtId="0" fontId="12" fillId="0" borderId="30" xfId="88" applyFont="1" applyFill="1" applyBorder="1" applyAlignment="1">
      <alignment vertical="center" wrapText="1"/>
    </xf>
    <xf numFmtId="0" fontId="12" fillId="28" borderId="28" xfId="97" applyFont="1" applyFill="1" applyBorder="1" applyAlignment="1">
      <alignment horizontal="center" vertical="center"/>
    </xf>
    <xf numFmtId="0" fontId="11" fillId="28" borderId="30" xfId="97" applyFont="1" applyFill="1" applyBorder="1" applyAlignment="1">
      <alignment vertical="center"/>
    </xf>
    <xf numFmtId="0" fontId="11" fillId="28" borderId="29" xfId="97" applyFont="1" applyFill="1" applyBorder="1" applyAlignment="1">
      <alignment vertical="center"/>
    </xf>
    <xf numFmtId="3" fontId="11" fillId="28" borderId="28" xfId="97" applyNumberFormat="1" applyFont="1" applyFill="1" applyBorder="1" applyAlignment="1">
      <alignment vertical="center"/>
    </xf>
    <xf numFmtId="0" fontId="11" fillId="0" borderId="28" xfId="97" applyFont="1" applyFill="1" applyBorder="1" applyAlignment="1">
      <alignment horizontal="center" vertical="center"/>
    </xf>
    <xf numFmtId="0" fontId="11" fillId="0" borderId="28" xfId="97" applyFont="1" applyBorder="1" applyAlignment="1">
      <alignment horizontal="center" vertical="center"/>
    </xf>
    <xf numFmtId="3" fontId="8" fillId="29" borderId="30" xfId="93" applyNumberFormat="1" applyFont="1" applyFill="1" applyBorder="1" applyAlignment="1">
      <alignment horizontal="left" vertical="top" wrapText="1"/>
    </xf>
    <xf numFmtId="0" fontId="66" fillId="0" borderId="30" xfId="97" applyFont="1" applyFill="1" applyBorder="1" applyAlignment="1">
      <alignment vertical="center"/>
    </xf>
    <xf numFmtId="166" fontId="12" fillId="0" borderId="28" xfId="97" applyNumberFormat="1" applyFont="1" applyBorder="1" applyAlignment="1">
      <alignment horizontal="center" vertical="center"/>
    </xf>
    <xf numFmtId="49" fontId="66" fillId="0" borderId="30" xfId="93" applyNumberFormat="1" applyFont="1" applyFill="1" applyBorder="1" applyAlignment="1">
      <alignment horizontal="left" vertical="center" wrapText="1"/>
    </xf>
    <xf numFmtId="49" fontId="66" fillId="0" borderId="30" xfId="91" applyNumberFormat="1" applyFont="1" applyBorder="1" applyAlignment="1">
      <alignment horizontal="left" vertical="center" wrapText="1"/>
    </xf>
    <xf numFmtId="0" fontId="12" fillId="29" borderId="28" xfId="97" applyFont="1" applyFill="1" applyBorder="1" applyAlignment="1">
      <alignment horizontal="center" vertical="center"/>
    </xf>
    <xf numFmtId="0" fontId="9" fillId="0" borderId="30" xfId="97" applyFont="1" applyFill="1" applyBorder="1" applyAlignment="1">
      <alignment vertical="center"/>
    </xf>
    <xf numFmtId="0" fontId="12" fillId="0" borderId="29" xfId="97" applyFont="1" applyFill="1" applyBorder="1" applyAlignment="1">
      <alignment vertical="center"/>
    </xf>
    <xf numFmtId="3" fontId="12" fillId="0" borderId="30" xfId="93" applyNumberFormat="1" applyFont="1" applyBorder="1" applyAlignment="1">
      <alignment horizontal="left" vertical="center" wrapText="1"/>
    </xf>
    <xf numFmtId="49" fontId="65" fillId="0" borderId="30" xfId="93" applyNumberFormat="1" applyFont="1" applyFill="1" applyBorder="1" applyAlignment="1">
      <alignment vertical="center" wrapText="1"/>
    </xf>
    <xf numFmtId="49" fontId="12" fillId="0" borderId="32" xfId="93" applyNumberFormat="1" applyFont="1" applyBorder="1" applyAlignment="1">
      <alignment horizontal="left" vertical="center" wrapText="1"/>
    </xf>
    <xf numFmtId="49" fontId="12" fillId="0" borderId="37" xfId="93" applyNumberFormat="1" applyFont="1" applyBorder="1" applyAlignment="1">
      <alignment horizontal="left" vertical="center" wrapText="1"/>
    </xf>
    <xf numFmtId="0" fontId="12" fillId="0" borderId="30" xfId="97" applyFont="1" applyFill="1" applyBorder="1" applyAlignment="1">
      <alignment vertical="center"/>
    </xf>
    <xf numFmtId="3" fontId="65" fillId="0" borderId="30" xfId="93" applyNumberFormat="1" applyFont="1" applyFill="1" applyBorder="1" applyAlignment="1">
      <alignment vertical="center" wrapText="1"/>
    </xf>
    <xf numFmtId="3" fontId="12" fillId="0" borderId="30" xfId="91" applyNumberFormat="1" applyFont="1" applyFill="1" applyBorder="1" applyAlignment="1">
      <alignment horizontal="left" vertical="center" wrapText="1"/>
    </xf>
    <xf numFmtId="49" fontId="12" fillId="0" borderId="30" xfId="91" applyNumberFormat="1" applyFont="1" applyFill="1" applyBorder="1" applyAlignment="1">
      <alignment vertical="center" wrapText="1"/>
    </xf>
    <xf numFmtId="49" fontId="12" fillId="0" borderId="30" xfId="91" applyNumberFormat="1" applyFont="1" applyBorder="1" applyAlignment="1">
      <alignment horizontal="left" vertical="center" wrapText="1"/>
    </xf>
    <xf numFmtId="0" fontId="12" fillId="0" borderId="30" xfId="93" applyFont="1" applyBorder="1" applyAlignment="1">
      <alignment horizontal="left" wrapText="1"/>
    </xf>
    <xf numFmtId="0" fontId="8" fillId="29" borderId="37" xfId="93" applyFont="1" applyFill="1" applyBorder="1" applyAlignment="1">
      <alignment horizontal="left" vertical="top" wrapText="1"/>
    </xf>
    <xf numFmtId="0" fontId="12" fillId="0" borderId="30" xfId="93" applyFont="1" applyFill="1" applyBorder="1"/>
    <xf numFmtId="166" fontId="11" fillId="0" borderId="28" xfId="97" applyNumberFormat="1" applyFont="1" applyBorder="1" applyAlignment="1">
      <alignment horizontal="center" vertical="center"/>
    </xf>
    <xf numFmtId="0" fontId="9" fillId="0" borderId="30" xfId="97" applyFont="1" applyFill="1" applyBorder="1" applyAlignment="1">
      <alignment vertical="center" wrapText="1"/>
    </xf>
    <xf numFmtId="49" fontId="8" fillId="29" borderId="47" xfId="93" applyNumberFormat="1" applyFont="1" applyFill="1" applyBorder="1" applyAlignment="1">
      <alignment horizontal="left" vertical="top" wrapText="1"/>
    </xf>
    <xf numFmtId="0" fontId="8" fillId="0" borderId="30" xfId="93" applyFont="1" applyBorder="1" applyAlignment="1">
      <alignment vertical="top" wrapText="1"/>
    </xf>
    <xf numFmtId="49" fontId="65" fillId="0" borderId="30" xfId="89" applyNumberFormat="1" applyFont="1" applyFill="1" applyBorder="1" applyAlignment="1">
      <alignment horizontal="left" vertical="center" wrapText="1"/>
    </xf>
    <xf numFmtId="0" fontId="11" fillId="28" borderId="28" xfId="97" applyFont="1" applyFill="1" applyBorder="1" applyAlignment="1">
      <alignment horizontal="center" vertical="center"/>
    </xf>
    <xf numFmtId="0" fontId="11" fillId="29" borderId="30" xfId="97" applyFont="1" applyFill="1" applyBorder="1" applyAlignment="1">
      <alignment vertical="center"/>
    </xf>
    <xf numFmtId="0" fontId="11" fillId="29" borderId="29" xfId="97" applyFont="1" applyFill="1" applyBorder="1" applyAlignment="1">
      <alignment vertical="center"/>
    </xf>
    <xf numFmtId="3" fontId="12" fillId="29" borderId="28" xfId="97" applyNumberFormat="1" applyFont="1" applyFill="1" applyBorder="1" applyAlignment="1">
      <alignment vertical="center"/>
    </xf>
    <xf numFmtId="3" fontId="12" fillId="0" borderId="30" xfId="89" applyNumberFormat="1" applyFont="1" applyFill="1" applyBorder="1" applyAlignment="1">
      <alignment vertical="center" wrapText="1"/>
    </xf>
    <xf numFmtId="0" fontId="8" fillId="0" borderId="30" xfId="97" applyFont="1" applyFill="1" applyBorder="1" applyAlignment="1">
      <alignment vertical="center" wrapText="1"/>
    </xf>
    <xf numFmtId="0" fontId="11" fillId="28" borderId="28" xfId="97" applyFont="1" applyFill="1" applyBorder="1" applyAlignment="1">
      <alignment horizontal="center" vertical="center" wrapText="1"/>
    </xf>
    <xf numFmtId="0" fontId="9" fillId="28" borderId="30" xfId="97" applyFont="1" applyFill="1" applyBorder="1" applyAlignment="1">
      <alignment vertical="center" wrapText="1"/>
    </xf>
    <xf numFmtId="0" fontId="9" fillId="28" borderId="29" xfId="97" applyFont="1" applyFill="1" applyBorder="1" applyAlignment="1">
      <alignment vertical="center" wrapText="1"/>
    </xf>
    <xf numFmtId="3" fontId="11" fillId="28" borderId="28" xfId="97" applyNumberFormat="1" applyFont="1" applyFill="1" applyBorder="1" applyAlignment="1">
      <alignment vertical="center" wrapText="1"/>
    </xf>
    <xf numFmtId="0" fontId="11" fillId="0" borderId="28" xfId="97" applyFont="1" applyFill="1" applyBorder="1" applyAlignment="1">
      <alignment horizontal="center" vertical="center" wrapText="1"/>
    </xf>
    <xf numFmtId="0" fontId="9" fillId="0" borderId="29" xfId="97" applyFont="1" applyFill="1" applyBorder="1" applyAlignment="1">
      <alignment vertical="center" wrapText="1"/>
    </xf>
    <xf numFmtId="3" fontId="11" fillId="0" borderId="28" xfId="97" applyNumberFormat="1" applyFont="1" applyFill="1" applyBorder="1" applyAlignment="1">
      <alignment vertical="center" wrapText="1"/>
    </xf>
    <xf numFmtId="0" fontId="12" fillId="0" borderId="28" xfId="97" applyFont="1" applyFill="1" applyBorder="1" applyAlignment="1">
      <alignment horizontal="center" vertical="center" wrapText="1"/>
    </xf>
    <xf numFmtId="0" fontId="12" fillId="0" borderId="30" xfId="97" applyFont="1" applyFill="1" applyBorder="1" applyAlignment="1">
      <alignment vertical="center" wrapText="1"/>
    </xf>
    <xf numFmtId="0" fontId="8" fillId="0" borderId="29" xfId="97" applyFont="1" applyFill="1" applyBorder="1" applyAlignment="1">
      <alignment vertical="center" wrapText="1"/>
    </xf>
    <xf numFmtId="0" fontId="9" fillId="0" borderId="30" xfId="97" applyFont="1" applyFill="1" applyBorder="1" applyAlignment="1">
      <alignment horizontal="left" vertical="center"/>
    </xf>
    <xf numFmtId="0" fontId="12" fillId="0" borderId="30" xfId="97" applyFont="1" applyFill="1" applyBorder="1" applyAlignment="1">
      <alignment horizontal="left" vertical="center"/>
    </xf>
    <xf numFmtId="0" fontId="9" fillId="0" borderId="29" xfId="97" applyFont="1" applyBorder="1" applyAlignment="1">
      <alignment vertical="center"/>
    </xf>
    <xf numFmtId="3" fontId="12" fillId="0" borderId="28" xfId="97" applyNumberFormat="1" applyFont="1" applyBorder="1" applyAlignment="1">
      <alignment vertical="center"/>
    </xf>
    <xf numFmtId="0" fontId="12" fillId="0" borderId="30" xfId="97" applyFont="1" applyBorder="1" applyAlignment="1">
      <alignment vertical="center"/>
    </xf>
    <xf numFmtId="0" fontId="8" fillId="0" borderId="29" xfId="97" applyFont="1" applyBorder="1" applyAlignment="1">
      <alignment vertical="center"/>
    </xf>
    <xf numFmtId="0" fontId="8" fillId="28" borderId="28" xfId="97" applyFont="1" applyFill="1" applyBorder="1" applyAlignment="1">
      <alignment horizontal="center" vertical="center"/>
    </xf>
    <xf numFmtId="0" fontId="9" fillId="28" borderId="30" xfId="97" applyFont="1" applyFill="1" applyBorder="1" applyAlignment="1">
      <alignment vertical="center"/>
    </xf>
    <xf numFmtId="0" fontId="9" fillId="28" borderId="29" xfId="97" applyFont="1" applyFill="1" applyBorder="1" applyAlignment="1">
      <alignment vertical="center"/>
    </xf>
    <xf numFmtId="3" fontId="9" fillId="28" borderId="28" xfId="97" applyNumberFormat="1" applyFont="1" applyFill="1" applyBorder="1" applyAlignment="1">
      <alignment vertical="center"/>
    </xf>
    <xf numFmtId="0" fontId="8" fillId="29" borderId="28" xfId="97" applyNumberFormat="1" applyFont="1" applyFill="1" applyBorder="1" applyAlignment="1">
      <alignment horizontal="center" vertical="center"/>
    </xf>
    <xf numFmtId="0" fontId="8" fillId="29" borderId="28" xfId="97" applyFont="1" applyFill="1" applyBorder="1" applyAlignment="1">
      <alignment horizontal="center" vertical="center"/>
    </xf>
    <xf numFmtId="0" fontId="8" fillId="29" borderId="29" xfId="97" applyFont="1" applyFill="1" applyBorder="1" applyAlignment="1">
      <alignment vertical="center"/>
    </xf>
    <xf numFmtId="3" fontId="9" fillId="29" borderId="28" xfId="97" applyNumberFormat="1" applyFont="1" applyFill="1" applyBorder="1" applyAlignment="1">
      <alignment vertical="center"/>
    </xf>
    <xf numFmtId="0" fontId="11" fillId="28" borderId="28" xfId="97" applyFont="1" applyFill="1" applyBorder="1" applyAlignment="1">
      <alignment vertical="center"/>
    </xf>
    <xf numFmtId="0" fontId="6" fillId="29" borderId="0" xfId="97" applyFont="1" applyFill="1" applyBorder="1" applyAlignment="1">
      <alignment vertical="center"/>
    </xf>
    <xf numFmtId="0" fontId="7" fillId="29" borderId="0" xfId="97" applyFont="1" applyFill="1" applyBorder="1" applyAlignment="1">
      <alignment vertical="center"/>
    </xf>
    <xf numFmtId="3" fontId="7" fillId="29" borderId="0" xfId="97" applyNumberFormat="1" applyFont="1" applyFill="1" applyBorder="1" applyAlignment="1">
      <alignment vertical="center"/>
    </xf>
    <xf numFmtId="3" fontId="6" fillId="29" borderId="0" xfId="97" applyNumberFormat="1" applyFont="1" applyFill="1" applyBorder="1" applyAlignment="1">
      <alignment vertical="center"/>
    </xf>
    <xf numFmtId="0" fontId="6" fillId="0" borderId="0" xfId="97" applyFont="1" applyAlignment="1">
      <alignment horizontal="left" vertical="center"/>
    </xf>
    <xf numFmtId="0" fontId="6" fillId="0" borderId="0" xfId="97" applyFont="1" applyAlignment="1">
      <alignment horizontal="center" vertical="center"/>
    </xf>
    <xf numFmtId="0" fontId="9" fillId="24" borderId="14" xfId="0" applyFont="1" applyFill="1" applyBorder="1" applyAlignment="1">
      <alignment horizontal="center" vertical="center" wrapText="1"/>
    </xf>
    <xf numFmtId="0" fontId="8" fillId="0" borderId="23" xfId="94" applyFont="1" applyBorder="1" applyAlignment="1">
      <alignment vertical="center"/>
    </xf>
    <xf numFmtId="3" fontId="8" fillId="25" borderId="23" xfId="94" applyNumberFormat="1" applyFont="1" applyFill="1" applyBorder="1" applyAlignment="1">
      <alignment vertical="center"/>
    </xf>
    <xf numFmtId="0" fontId="39" fillId="24" borderId="14" xfId="94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 wrapText="1"/>
    </xf>
    <xf numFmtId="3" fontId="12" fillId="0" borderId="23" xfId="98" applyNumberFormat="1" applyFont="1" applyFill="1" applyBorder="1" applyAlignment="1">
      <alignment horizontal="center" vertical="center" wrapText="1"/>
    </xf>
    <xf numFmtId="3" fontId="11" fillId="0" borderId="16" xfId="98" applyNumberFormat="1" applyFont="1" applyFill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3" fontId="11" fillId="0" borderId="23" xfId="98" applyNumberFormat="1" applyFont="1" applyFill="1" applyBorder="1" applyAlignment="1">
      <alignment horizontal="center" vertical="center" wrapText="1"/>
    </xf>
    <xf numFmtId="3" fontId="12" fillId="0" borderId="51" xfId="98" applyNumberFormat="1" applyFont="1" applyFill="1" applyBorder="1" applyAlignment="1">
      <alignment vertical="center"/>
    </xf>
    <xf numFmtId="3" fontId="12" fillId="0" borderId="52" xfId="0" applyNumberFormat="1" applyFont="1" applyBorder="1" applyAlignment="1">
      <alignment vertical="center"/>
    </xf>
    <xf numFmtId="3" fontId="12" fillId="0" borderId="53" xfId="0" applyNumberFormat="1" applyFont="1" applyBorder="1" applyAlignment="1">
      <alignment vertical="center"/>
    </xf>
    <xf numFmtId="3" fontId="12" fillId="24" borderId="53" xfId="0" applyNumberFormat="1" applyFont="1" applyFill="1" applyBorder="1" applyAlignment="1">
      <alignment vertical="center"/>
    </xf>
    <xf numFmtId="3" fontId="12" fillId="0" borderId="53" xfId="0" applyNumberFormat="1" applyFont="1" applyFill="1" applyBorder="1" applyAlignment="1">
      <alignment vertical="center"/>
    </xf>
    <xf numFmtId="3" fontId="11" fillId="24" borderId="53" xfId="0" applyNumberFormat="1" applyFont="1" applyFill="1" applyBorder="1" applyAlignment="1">
      <alignment vertical="center"/>
    </xf>
    <xf numFmtId="3" fontId="11" fillId="0" borderId="53" xfId="0" applyNumberFormat="1" applyFont="1" applyFill="1" applyBorder="1" applyAlignment="1">
      <alignment vertical="center"/>
    </xf>
    <xf numFmtId="3" fontId="12" fillId="0" borderId="53" xfId="0" applyNumberFormat="1" applyFont="1" applyFill="1" applyBorder="1" applyAlignment="1">
      <alignment horizontal="left" vertical="center"/>
    </xf>
    <xf numFmtId="3" fontId="16" fillId="24" borderId="14" xfId="98" applyNumberFormat="1" applyFont="1" applyFill="1" applyBorder="1" applyAlignment="1">
      <alignment horizontal="center" vertical="center" wrapText="1"/>
    </xf>
    <xf numFmtId="3" fontId="11" fillId="24" borderId="54" xfId="0" applyNumberFormat="1" applyFont="1" applyFill="1" applyBorder="1" applyAlignment="1">
      <alignment vertical="center" wrapText="1"/>
    </xf>
    <xf numFmtId="3" fontId="11" fillId="24" borderId="55" xfId="0" applyNumberFormat="1" applyFont="1" applyFill="1" applyBorder="1" applyAlignment="1">
      <alignment vertical="center"/>
    </xf>
    <xf numFmtId="3" fontId="11" fillId="24" borderId="55" xfId="0" applyNumberFormat="1" applyFont="1" applyFill="1" applyBorder="1" applyAlignment="1">
      <alignment vertical="center" wrapText="1"/>
    </xf>
    <xf numFmtId="3" fontId="11" fillId="24" borderId="56" xfId="0" applyNumberFormat="1" applyFont="1" applyFill="1" applyBorder="1" applyAlignment="1">
      <alignment vertical="center" wrapText="1"/>
    </xf>
    <xf numFmtId="3" fontId="11" fillId="24" borderId="57" xfId="0" applyNumberFormat="1" applyFont="1" applyFill="1" applyBorder="1" applyAlignment="1">
      <alignment vertical="center"/>
    </xf>
    <xf numFmtId="3" fontId="11" fillId="24" borderId="57" xfId="0" applyNumberFormat="1" applyFont="1" applyFill="1" applyBorder="1" applyAlignment="1">
      <alignment vertical="center" wrapText="1"/>
    </xf>
    <xf numFmtId="0" fontId="11" fillId="0" borderId="14" xfId="0" applyFont="1" applyFill="1" applyBorder="1"/>
    <xf numFmtId="0" fontId="12" fillId="0" borderId="14" xfId="0" applyFont="1" applyFill="1" applyBorder="1"/>
    <xf numFmtId="3" fontId="8" fillId="0" borderId="14" xfId="0" applyNumberFormat="1" applyFont="1" applyFill="1" applyBorder="1" applyAlignment="1">
      <alignment horizontal="left" vertical="center" wrapText="1"/>
    </xf>
    <xf numFmtId="3" fontId="12" fillId="0" borderId="14" xfId="0" applyNumberFormat="1" applyFont="1" applyFill="1" applyBorder="1"/>
    <xf numFmtId="3" fontId="8" fillId="0" borderId="25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center" vertical="center" wrapText="1"/>
    </xf>
    <xf numFmtId="3" fontId="8" fillId="24" borderId="14" xfId="0" applyNumberFormat="1" applyFont="1" applyFill="1" applyBorder="1" applyAlignment="1">
      <alignment vertical="center" wrapText="1"/>
    </xf>
    <xf numFmtId="3" fontId="9" fillId="0" borderId="22" xfId="98" applyNumberFormat="1" applyFont="1" applyFill="1" applyBorder="1" applyAlignment="1">
      <alignment horizontal="center" vertical="center" wrapText="1"/>
    </xf>
    <xf numFmtId="3" fontId="9" fillId="0" borderId="22" xfId="98" applyNumberFormat="1" applyFont="1" applyFill="1" applyBorder="1" applyAlignment="1">
      <alignment horizontal="left" vertical="center" wrapText="1"/>
    </xf>
    <xf numFmtId="3" fontId="14" fillId="0" borderId="14" xfId="98" applyNumberFormat="1" applyFont="1" applyBorder="1" applyAlignment="1">
      <alignment vertical="center"/>
    </xf>
    <xf numFmtId="3" fontId="39" fillId="24" borderId="14" xfId="98" applyNumberFormat="1" applyFont="1" applyFill="1" applyBorder="1" applyAlignment="1">
      <alignment horizontal="center" vertical="center" wrapText="1"/>
    </xf>
    <xf numFmtId="3" fontId="39" fillId="24" borderId="18" xfId="98" applyNumberFormat="1" applyFont="1" applyFill="1" applyBorder="1" applyAlignment="1">
      <alignment horizontal="center" vertical="center" wrapText="1"/>
    </xf>
    <xf numFmtId="3" fontId="11" fillId="0" borderId="14" xfId="98" applyNumberFormat="1" applyFont="1" applyBorder="1" applyAlignment="1">
      <alignment vertical="center"/>
    </xf>
    <xf numFmtId="0" fontId="12" fillId="28" borderId="58" xfId="86" applyFont="1" applyFill="1" applyBorder="1" applyAlignment="1">
      <alignment vertical="center"/>
    </xf>
    <xf numFmtId="0" fontId="11" fillId="28" borderId="45" xfId="86" applyFont="1" applyFill="1" applyBorder="1" applyAlignment="1">
      <alignment horizontal="center" vertical="top"/>
    </xf>
    <xf numFmtId="3" fontId="11" fillId="28" borderId="27" xfId="86" applyNumberFormat="1" applyFont="1" applyFill="1" applyBorder="1" applyAlignment="1">
      <alignment horizontal="center" vertical="center" wrapText="1"/>
    </xf>
    <xf numFmtId="3" fontId="11" fillId="28" borderId="46" xfId="86" applyNumberFormat="1" applyFont="1" applyFill="1" applyBorder="1" applyAlignment="1">
      <alignment horizontal="center" vertical="center" wrapText="1"/>
    </xf>
    <xf numFmtId="0" fontId="15" fillId="0" borderId="28" xfId="86" applyFont="1" applyBorder="1" applyAlignment="1">
      <alignment vertical="center"/>
    </xf>
    <xf numFmtId="0" fontId="12" fillId="0" borderId="28" xfId="86" applyFont="1" applyBorder="1" applyAlignment="1">
      <alignment vertical="center"/>
    </xf>
    <xf numFmtId="0" fontId="12" fillId="0" borderId="28" xfId="86" applyFont="1" applyBorder="1" applyAlignment="1">
      <alignment vertical="center" wrapText="1"/>
    </xf>
    <xf numFmtId="49" fontId="12" fillId="0" borderId="28" xfId="86" applyNumberFormat="1" applyFont="1" applyBorder="1" applyAlignment="1">
      <alignment vertical="center" wrapText="1"/>
    </xf>
    <xf numFmtId="3" fontId="12" fillId="0" borderId="28" xfId="86" applyNumberFormat="1" applyFont="1" applyBorder="1" applyAlignment="1">
      <alignment vertical="center"/>
    </xf>
    <xf numFmtId="3" fontId="12" fillId="0" borderId="28" xfId="86" applyNumberFormat="1" applyFont="1" applyFill="1" applyBorder="1" applyAlignment="1">
      <alignment vertical="center"/>
    </xf>
    <xf numFmtId="0" fontId="12" fillId="0" borderId="40" xfId="86" applyFont="1" applyBorder="1" applyAlignment="1">
      <alignment vertical="center"/>
    </xf>
    <xf numFmtId="0" fontId="15" fillId="0" borderId="28" xfId="86" applyFont="1" applyBorder="1" applyAlignment="1">
      <alignment vertical="center" wrapText="1"/>
    </xf>
    <xf numFmtId="0" fontId="12" fillId="0" borderId="28" xfId="86" applyFont="1" applyFill="1" applyBorder="1" applyAlignment="1">
      <alignment vertical="center"/>
    </xf>
    <xf numFmtId="0" fontId="15" fillId="0" borderId="28" xfId="86" applyFont="1" applyFill="1" applyBorder="1" applyAlignment="1">
      <alignment vertical="center"/>
    </xf>
    <xf numFmtId="0" fontId="11" fillId="28" borderId="28" xfId="86" applyFont="1" applyFill="1" applyBorder="1" applyAlignment="1">
      <alignment vertical="center"/>
    </xf>
    <xf numFmtId="3" fontId="11" fillId="28" borderId="28" xfId="86" applyNumberFormat="1" applyFont="1" applyFill="1" applyBorder="1" applyAlignment="1">
      <alignment vertical="center"/>
    </xf>
    <xf numFmtId="3" fontId="11" fillId="28" borderId="59" xfId="86" applyNumberFormat="1" applyFont="1" applyFill="1" applyBorder="1" applyAlignment="1">
      <alignment horizontal="center" vertical="center" wrapText="1"/>
    </xf>
    <xf numFmtId="3" fontId="11" fillId="28" borderId="30" xfId="86" applyNumberFormat="1" applyFont="1" applyFill="1" applyBorder="1" applyAlignment="1">
      <alignment vertical="center"/>
    </xf>
    <xf numFmtId="3" fontId="11" fillId="28" borderId="14" xfId="86" applyNumberFormat="1" applyFont="1" applyFill="1" applyBorder="1" applyAlignment="1">
      <alignment horizontal="center" vertical="center" wrapText="1"/>
    </xf>
    <xf numFmtId="3" fontId="12" fillId="0" borderId="30" xfId="86" applyNumberFormat="1" applyFont="1" applyFill="1" applyBorder="1" applyAlignment="1">
      <alignment vertical="center"/>
    </xf>
    <xf numFmtId="4" fontId="12" fillId="0" borderId="28" xfId="86" applyNumberFormat="1" applyFont="1" applyFill="1" applyBorder="1" applyAlignment="1">
      <alignment vertical="center"/>
    </xf>
    <xf numFmtId="164" fontId="12" fillId="0" borderId="28" xfId="86" applyNumberFormat="1" applyFont="1" applyFill="1" applyBorder="1" applyAlignment="1">
      <alignment vertical="center"/>
    </xf>
    <xf numFmtId="3" fontId="73" fillId="0" borderId="28" xfId="86" applyNumberFormat="1" applyFont="1" applyFill="1" applyBorder="1" applyAlignment="1">
      <alignment vertical="center"/>
    </xf>
    <xf numFmtId="165" fontId="12" fillId="0" borderId="28" xfId="86" applyNumberFormat="1" applyFont="1" applyFill="1" applyBorder="1" applyAlignment="1">
      <alignment vertical="center"/>
    </xf>
    <xf numFmtId="3" fontId="12" fillId="0" borderId="28" xfId="86" applyNumberFormat="1" applyFont="1" applyBorder="1" applyAlignment="1">
      <alignment horizontal="right" vertical="center"/>
    </xf>
    <xf numFmtId="164" fontId="12" fillId="0" borderId="28" xfId="86" applyNumberFormat="1" applyFont="1" applyBorder="1" applyAlignment="1">
      <alignment vertical="center"/>
    </xf>
    <xf numFmtId="0" fontId="15" fillId="0" borderId="40" xfId="86" applyFont="1" applyBorder="1" applyAlignment="1">
      <alignment vertical="center"/>
    </xf>
    <xf numFmtId="3" fontId="12" fillId="0" borderId="28" xfId="86" applyNumberFormat="1" applyFont="1" applyFill="1" applyBorder="1" applyAlignment="1">
      <alignment horizontal="right" vertical="center"/>
    </xf>
    <xf numFmtId="3" fontId="76" fillId="0" borderId="28" xfId="86" applyNumberFormat="1" applyFont="1" applyBorder="1" applyAlignment="1">
      <alignment vertical="center"/>
    </xf>
    <xf numFmtId="3" fontId="12" fillId="0" borderId="17" xfId="0" applyNumberFormat="1" applyFont="1" applyFill="1" applyBorder="1" applyAlignment="1">
      <alignment vertical="center" wrapText="1"/>
    </xf>
    <xf numFmtId="0" fontId="12" fillId="0" borderId="17" xfId="94" applyFont="1" applyBorder="1" applyAlignment="1">
      <alignment vertical="center" wrapText="1"/>
    </xf>
    <xf numFmtId="0" fontId="8" fillId="0" borderId="17" xfId="75" applyFont="1" applyFill="1" applyBorder="1" applyAlignment="1">
      <alignment vertical="center" wrapText="1"/>
    </xf>
    <xf numFmtId="49" fontId="12" fillId="0" borderId="31" xfId="89" applyNumberFormat="1" applyFont="1" applyBorder="1" applyAlignment="1">
      <alignment horizontal="left" vertical="center" wrapText="1"/>
    </xf>
    <xf numFmtId="0" fontId="8" fillId="0" borderId="17" xfId="82" applyFont="1" applyFill="1" applyBorder="1" applyAlignment="1">
      <alignment vertical="center" wrapText="1"/>
    </xf>
    <xf numFmtId="0" fontId="8" fillId="0" borderId="37" xfId="88" applyFont="1" applyFill="1" applyBorder="1" applyAlignment="1">
      <alignment vertical="top" wrapText="1"/>
    </xf>
    <xf numFmtId="49" fontId="8" fillId="0" borderId="30" xfId="93" applyNumberFormat="1" applyFont="1" applyFill="1" applyBorder="1" applyAlignment="1">
      <alignment vertical="top" wrapText="1"/>
    </xf>
    <xf numFmtId="3" fontId="12" fillId="0" borderId="18" xfId="98" applyNumberFormat="1" applyFont="1" applyFill="1" applyBorder="1" applyAlignment="1">
      <alignment vertical="center"/>
    </xf>
    <xf numFmtId="0" fontId="14" fillId="0" borderId="17" xfId="76" applyFont="1" applyBorder="1" applyAlignment="1">
      <alignment vertical="center"/>
    </xf>
    <xf numFmtId="3" fontId="14" fillId="0" borderId="17" xfId="0" applyNumberFormat="1" applyFont="1" applyFill="1" applyBorder="1" applyAlignment="1">
      <alignment vertical="center"/>
    </xf>
    <xf numFmtId="0" fontId="12" fillId="0" borderId="17" xfId="94" applyFont="1" applyFill="1" applyBorder="1" applyAlignment="1">
      <alignment vertical="center" wrapText="1"/>
    </xf>
    <xf numFmtId="0" fontId="12" fillId="0" borderId="18" xfId="94" applyFont="1" applyFill="1" applyBorder="1" applyAlignment="1">
      <alignment vertical="center"/>
    </xf>
    <xf numFmtId="0" fontId="8" fillId="0" borderId="14" xfId="96" applyFont="1" applyFill="1" applyBorder="1" applyAlignment="1">
      <alignment vertical="center" wrapText="1"/>
    </xf>
    <xf numFmtId="3" fontId="8" fillId="0" borderId="18" xfId="94" applyNumberFormat="1" applyFont="1" applyFill="1" applyBorder="1" applyAlignment="1">
      <alignment vertical="center"/>
    </xf>
    <xf numFmtId="0" fontId="8" fillId="0" borderId="14" xfId="94" applyFont="1" applyBorder="1" applyAlignment="1">
      <alignment vertical="center" wrapText="1"/>
    </xf>
    <xf numFmtId="3" fontId="12" fillId="0" borderId="18" xfId="0" applyNumberFormat="1" applyFont="1" applyFill="1" applyBorder="1" applyAlignment="1">
      <alignment horizontal="right" vertical="center" wrapText="1"/>
    </xf>
    <xf numFmtId="3" fontId="8" fillId="0" borderId="17" xfId="0" applyNumberFormat="1" applyFont="1" applyBorder="1" applyAlignment="1">
      <alignment vertical="center" wrapText="1"/>
    </xf>
    <xf numFmtId="0" fontId="12" fillId="0" borderId="14" xfId="94" applyFont="1" applyBorder="1" applyAlignment="1">
      <alignment vertical="center" wrapText="1"/>
    </xf>
    <xf numFmtId="3" fontId="12" fillId="0" borderId="18" xfId="0" applyNumberFormat="1" applyFont="1" applyFill="1" applyBorder="1" applyAlignment="1">
      <alignment vertical="center" wrapText="1"/>
    </xf>
    <xf numFmtId="3" fontId="8" fillId="0" borderId="14" xfId="92" applyNumberFormat="1" applyFont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left" vertical="center"/>
    </xf>
    <xf numFmtId="3" fontId="12" fillId="0" borderId="14" xfId="98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3" fontId="8" fillId="0" borderId="29" xfId="93" applyNumberFormat="1" applyFont="1" applyFill="1" applyBorder="1" applyAlignment="1">
      <alignment horizontal="left" vertical="center" wrapText="1"/>
    </xf>
    <xf numFmtId="0" fontId="8" fillId="0" borderId="29" xfId="85" applyFont="1" applyFill="1" applyBorder="1" applyAlignment="1">
      <alignment vertical="center"/>
    </xf>
    <xf numFmtId="0" fontId="8" fillId="29" borderId="29" xfId="85" applyFont="1" applyFill="1" applyBorder="1" applyAlignment="1">
      <alignment vertical="top"/>
    </xf>
    <xf numFmtId="0" fontId="8" fillId="29" borderId="29" xfId="85" applyFont="1" applyFill="1" applyBorder="1" applyAlignment="1">
      <alignment vertical="center"/>
    </xf>
    <xf numFmtId="0" fontId="8" fillId="28" borderId="29" xfId="85" applyFont="1" applyFill="1" applyBorder="1" applyAlignment="1">
      <alignment vertical="center"/>
    </xf>
    <xf numFmtId="0" fontId="8" fillId="0" borderId="29" xfId="85" applyFont="1" applyFill="1" applyBorder="1" applyAlignment="1">
      <alignment horizontal="left" vertical="center"/>
    </xf>
    <xf numFmtId="0" fontId="8" fillId="0" borderId="29" xfId="97" applyFont="1" applyFill="1" applyBorder="1" applyAlignment="1">
      <alignment vertical="center"/>
    </xf>
    <xf numFmtId="0" fontId="8" fillId="0" borderId="29" xfId="85" applyFont="1" applyBorder="1" applyAlignment="1">
      <alignment vertical="center"/>
    </xf>
    <xf numFmtId="0" fontId="8" fillId="0" borderId="39" xfId="85" applyFont="1" applyFill="1" applyBorder="1" applyAlignment="1">
      <alignment horizontal="left" vertical="center"/>
    </xf>
    <xf numFmtId="0" fontId="8" fillId="28" borderId="29" xfId="85" applyFont="1" applyFill="1" applyBorder="1" applyAlignment="1">
      <alignment horizontal="left" vertical="center"/>
    </xf>
    <xf numFmtId="0" fontId="8" fillId="29" borderId="29" xfId="85" applyFont="1" applyFill="1" applyBorder="1" applyAlignment="1">
      <alignment horizontal="left" vertical="center"/>
    </xf>
    <xf numFmtId="0" fontId="8" fillId="28" borderId="29" xfId="85" applyFont="1" applyFill="1" applyBorder="1"/>
    <xf numFmtId="0" fontId="8" fillId="0" borderId="28" xfId="93" applyFont="1" applyFill="1" applyBorder="1" applyAlignment="1">
      <alignment horizontal="left" vertical="center" wrapText="1"/>
    </xf>
    <xf numFmtId="3" fontId="8" fillId="0" borderId="28" xfId="93" applyNumberFormat="1" applyFont="1" applyFill="1" applyBorder="1" applyAlignment="1">
      <alignment horizontal="left" vertical="center" wrapText="1"/>
    </xf>
    <xf numFmtId="0" fontId="21" fillId="0" borderId="28" xfId="85" applyFont="1" applyBorder="1"/>
    <xf numFmtId="0" fontId="12" fillId="0" borderId="14" xfId="94" applyFont="1" applyFill="1" applyBorder="1" applyAlignment="1">
      <alignment vertical="center" wrapText="1"/>
    </xf>
    <xf numFmtId="3" fontId="14" fillId="0" borderId="14" xfId="0" applyNumberFormat="1" applyFont="1" applyFill="1" applyBorder="1" applyAlignment="1">
      <alignment horizontal="left" vertical="center" wrapText="1"/>
    </xf>
    <xf numFmtId="3" fontId="12" fillId="0" borderId="15" xfId="0" applyNumberFormat="1" applyFont="1" applyBorder="1" applyAlignment="1">
      <alignment vertical="center"/>
    </xf>
    <xf numFmtId="3" fontId="12" fillId="27" borderId="14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8" xfId="97" applyFont="1" applyFill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3" fontId="12" fillId="0" borderId="60" xfId="86" applyNumberFormat="1" applyFont="1" applyFill="1" applyBorder="1" applyAlignment="1">
      <alignment vertical="center"/>
    </xf>
    <xf numFmtId="3" fontId="12" fillId="0" borderId="28" xfId="93" applyNumberFormat="1" applyFont="1" applyFill="1" applyBorder="1" applyAlignment="1">
      <alignment horizontal="left" vertical="center"/>
    </xf>
    <xf numFmtId="0" fontId="8" fillId="0" borderId="28" xfId="85" applyFont="1" applyFill="1" applyBorder="1" applyAlignment="1">
      <alignment horizontal="left" vertical="center"/>
    </xf>
    <xf numFmtId="3" fontId="12" fillId="0" borderId="23" xfId="0" applyNumberFormat="1" applyFont="1" applyBorder="1" applyAlignment="1">
      <alignment horizontal="center" vertical="center"/>
    </xf>
    <xf numFmtId="3" fontId="12" fillId="24" borderId="23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3" fontId="12" fillId="27" borderId="15" xfId="0" applyNumberFormat="1" applyFont="1" applyFill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3" fontId="11" fillId="24" borderId="15" xfId="0" applyNumberFormat="1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 wrapText="1"/>
    </xf>
    <xf numFmtId="3" fontId="11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61" fillId="24" borderId="14" xfId="0" applyFont="1" applyFill="1" applyBorder="1" applyAlignment="1">
      <alignment horizontal="center" vertical="center"/>
    </xf>
    <xf numFmtId="0" fontId="0" fillId="24" borderId="14" xfId="0" applyFill="1" applyBorder="1" applyAlignment="1">
      <alignment horizontal="center" vertical="center"/>
    </xf>
    <xf numFmtId="49" fontId="8" fillId="0" borderId="14" xfId="94" applyNumberFormat="1" applyFont="1" applyBorder="1" applyAlignment="1">
      <alignment vertical="center" wrapText="1"/>
    </xf>
    <xf numFmtId="0" fontId="11" fillId="28" borderId="34" xfId="97" applyFont="1" applyFill="1" applyBorder="1" applyAlignment="1">
      <alignment horizontal="center" vertical="center" wrapText="1"/>
    </xf>
    <xf numFmtId="0" fontId="11" fillId="28" borderId="37" xfId="97" applyFont="1" applyFill="1" applyBorder="1" applyAlignment="1">
      <alignment horizontal="center" vertical="center" wrapText="1"/>
    </xf>
    <xf numFmtId="0" fontId="11" fillId="28" borderId="61" xfId="97" applyFont="1" applyFill="1" applyBorder="1" applyAlignment="1">
      <alignment horizontal="center" vertical="center" wrapText="1"/>
    </xf>
    <xf numFmtId="0" fontId="12" fillId="0" borderId="0" xfId="97" applyFont="1" applyBorder="1" applyAlignment="1">
      <alignment vertical="center"/>
    </xf>
    <xf numFmtId="0" fontId="11" fillId="0" borderId="28" xfId="97" applyFont="1" applyBorder="1" applyAlignment="1">
      <alignment vertical="center"/>
    </xf>
    <xf numFmtId="0" fontId="11" fillId="0" borderId="28" xfId="97" applyFont="1" applyFill="1" applyBorder="1" applyAlignment="1">
      <alignment vertical="center"/>
    </xf>
    <xf numFmtId="3" fontId="12" fillId="0" borderId="28" xfId="93" applyNumberFormat="1" applyFont="1" applyBorder="1" applyAlignment="1">
      <alignment vertical="center"/>
    </xf>
    <xf numFmtId="0" fontId="73" fillId="0" borderId="28" xfId="93" applyFont="1" applyFill="1" applyBorder="1" applyAlignment="1">
      <alignment horizontal="left" vertical="center" wrapText="1"/>
    </xf>
    <xf numFmtId="3" fontId="73" fillId="0" borderId="28" xfId="93" applyNumberFormat="1" applyFont="1" applyFill="1" applyBorder="1" applyAlignment="1">
      <alignment horizontal="left" vertical="center" wrapText="1"/>
    </xf>
    <xf numFmtId="3" fontId="12" fillId="0" borderId="28" xfId="93" applyNumberFormat="1" applyFont="1" applyFill="1" applyBorder="1" applyAlignment="1">
      <alignment horizontal="left" vertical="center" wrapText="1"/>
    </xf>
    <xf numFmtId="0" fontId="12" fillId="28" borderId="28" xfId="97" applyFont="1" applyFill="1" applyBorder="1" applyAlignment="1">
      <alignment vertical="center"/>
    </xf>
    <xf numFmtId="0" fontId="68" fillId="0" borderId="28" xfId="85" applyFont="1" applyFill="1" applyBorder="1" applyAlignment="1">
      <alignment horizontal="left" vertical="center"/>
    </xf>
    <xf numFmtId="0" fontId="12" fillId="29" borderId="28" xfId="97" applyFont="1" applyFill="1" applyBorder="1" applyAlignment="1">
      <alignment vertical="center"/>
    </xf>
    <xf numFmtId="0" fontId="68" fillId="29" borderId="28" xfId="85" applyFont="1" applyFill="1" applyBorder="1" applyAlignment="1">
      <alignment vertical="top"/>
    </xf>
    <xf numFmtId="0" fontId="8" fillId="28" borderId="28" xfId="97" applyFont="1" applyFill="1" applyBorder="1" applyAlignment="1">
      <alignment vertical="center" wrapText="1"/>
    </xf>
    <xf numFmtId="0" fontId="8" fillId="0" borderId="28" xfId="97" applyFont="1" applyFill="1" applyBorder="1" applyAlignment="1">
      <alignment vertical="center" wrapText="1"/>
    </xf>
    <xf numFmtId="0" fontId="8" fillId="0" borderId="28" xfId="97" applyFont="1" applyBorder="1" applyAlignment="1">
      <alignment vertical="center"/>
    </xf>
    <xf numFmtId="0" fontId="8" fillId="28" borderId="28" xfId="97" applyFont="1" applyFill="1" applyBorder="1" applyAlignment="1">
      <alignment vertical="center"/>
    </xf>
    <xf numFmtId="3" fontId="11" fillId="24" borderId="28" xfId="97" applyNumberFormat="1" applyFont="1" applyFill="1" applyBorder="1" applyAlignment="1">
      <alignment vertical="center"/>
    </xf>
    <xf numFmtId="0" fontId="8" fillId="29" borderId="28" xfId="97" applyFont="1" applyFill="1" applyBorder="1" applyAlignment="1">
      <alignment vertical="center"/>
    </xf>
    <xf numFmtId="0" fontId="11" fillId="24" borderId="10" xfId="0" applyFont="1" applyFill="1" applyBorder="1"/>
    <xf numFmtId="0" fontId="11" fillId="24" borderId="11" xfId="0" applyFont="1" applyFill="1" applyBorder="1"/>
    <xf numFmtId="0" fontId="11" fillId="24" borderId="62" xfId="0" applyFont="1" applyFill="1" applyBorder="1"/>
    <xf numFmtId="0" fontId="8" fillId="0" borderId="17" xfId="94" applyFont="1" applyFill="1" applyBorder="1" applyAlignment="1">
      <alignment vertical="center" wrapText="1"/>
    </xf>
    <xf numFmtId="1" fontId="12" fillId="0" borderId="17" xfId="94" applyNumberFormat="1" applyFont="1" applyFill="1" applyBorder="1" applyAlignment="1">
      <alignment vertical="center" wrapText="1"/>
    </xf>
    <xf numFmtId="0" fontId="8" fillId="0" borderId="23" xfId="94" applyFont="1" applyFill="1" applyBorder="1" applyAlignment="1">
      <alignment vertical="center" wrapText="1"/>
    </xf>
    <xf numFmtId="0" fontId="8" fillId="0" borderId="0" xfId="85" applyFont="1" applyFill="1" applyBorder="1" applyAlignment="1">
      <alignment vertical="center"/>
    </xf>
    <xf numFmtId="3" fontId="12" fillId="0" borderId="17" xfId="98" applyNumberFormat="1" applyFont="1" applyFill="1" applyBorder="1" applyAlignment="1">
      <alignment horizontal="right" vertical="center"/>
    </xf>
    <xf numFmtId="0" fontId="8" fillId="29" borderId="29" xfId="85" applyFont="1" applyFill="1" applyBorder="1" applyAlignment="1">
      <alignment horizontal="center" vertical="center"/>
    </xf>
    <xf numFmtId="0" fontId="8" fillId="0" borderId="25" xfId="80" applyFont="1" applyBorder="1" applyAlignment="1">
      <alignment vertical="center" wrapText="1"/>
    </xf>
    <xf numFmtId="3" fontId="39" fillId="0" borderId="14" xfId="94" applyNumberFormat="1" applyFont="1" applyBorder="1" applyAlignment="1">
      <alignment vertical="center"/>
    </xf>
    <xf numFmtId="0" fontId="9" fillId="0" borderId="14" xfId="94" applyFont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left" vertical="center"/>
    </xf>
    <xf numFmtId="0" fontId="8" fillId="0" borderId="14" xfId="0" applyFont="1" applyFill="1" applyBorder="1" applyAlignment="1">
      <alignment vertical="top" wrapText="1"/>
    </xf>
    <xf numFmtId="3" fontId="12" fillId="0" borderId="18" xfId="0" applyNumberFormat="1" applyFont="1" applyBorder="1" applyAlignment="1">
      <alignment vertical="center"/>
    </xf>
    <xf numFmtId="3" fontId="8" fillId="0" borderId="23" xfId="94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3" fontId="12" fillId="0" borderId="18" xfId="0" applyNumberFormat="1" applyFont="1" applyFill="1" applyBorder="1" applyAlignment="1">
      <alignment horizontal="left" vertical="center"/>
    </xf>
    <xf numFmtId="3" fontId="12" fillId="0" borderId="0" xfId="0" applyNumberFormat="1" applyFont="1" applyFill="1" applyBorder="1" applyAlignment="1">
      <alignment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/>
    </xf>
    <xf numFmtId="0" fontId="12" fillId="25" borderId="17" xfId="76" applyFont="1" applyFill="1" applyBorder="1" applyAlignment="1">
      <alignment horizontal="left" vertical="center" wrapText="1"/>
    </xf>
    <xf numFmtId="0" fontId="11" fillId="0" borderId="67" xfId="97" applyFont="1" applyFill="1" applyBorder="1" applyAlignment="1">
      <alignment vertical="center"/>
    </xf>
    <xf numFmtId="0" fontId="11" fillId="0" borderId="68" xfId="97" applyFont="1" applyFill="1" applyBorder="1" applyAlignment="1">
      <alignment vertical="center"/>
    </xf>
    <xf numFmtId="0" fontId="12" fillId="0" borderId="69" xfId="97" applyFont="1" applyFill="1" applyBorder="1" applyAlignment="1">
      <alignment vertical="center"/>
    </xf>
    <xf numFmtId="0" fontId="8" fillId="0" borderId="67" xfId="85" applyFont="1" applyFill="1" applyBorder="1" applyAlignment="1">
      <alignment horizontal="left" vertical="center"/>
    </xf>
    <xf numFmtId="0" fontId="8" fillId="0" borderId="68" xfId="85" applyFont="1" applyFill="1" applyBorder="1" applyAlignment="1">
      <alignment horizontal="left" vertical="center"/>
    </xf>
    <xf numFmtId="3" fontId="11" fillId="28" borderId="56" xfId="86" applyNumberFormat="1" applyFont="1" applyFill="1" applyBorder="1" applyAlignment="1">
      <alignment horizontal="center" vertical="center"/>
    </xf>
    <xf numFmtId="3" fontId="11" fillId="28" borderId="70" xfId="86" applyNumberFormat="1" applyFont="1" applyFill="1" applyBorder="1" applyAlignment="1">
      <alignment horizontal="center" vertical="center"/>
    </xf>
    <xf numFmtId="3" fontId="11" fillId="28" borderId="14" xfId="86" applyNumberFormat="1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 wrapText="1"/>
    </xf>
    <xf numFmtId="0" fontId="11" fillId="24" borderId="14" xfId="76" applyFont="1" applyFill="1" applyBorder="1" applyAlignment="1">
      <alignment horizontal="center" vertical="center" wrapText="1"/>
    </xf>
    <xf numFmtId="0" fontId="1" fillId="24" borderId="25" xfId="0" applyFont="1" applyFill="1" applyBorder="1" applyAlignment="1">
      <alignment horizontal="center" vertical="center" wrapText="1"/>
    </xf>
    <xf numFmtId="0" fontId="1" fillId="24" borderId="23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center" vertical="center"/>
    </xf>
    <xf numFmtId="3" fontId="16" fillId="24" borderId="71" xfId="0" applyNumberFormat="1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1" fillId="24" borderId="71" xfId="0" applyFont="1" applyFill="1" applyBorder="1" applyAlignment="1">
      <alignment horizontal="center" vertical="center" wrapText="1"/>
    </xf>
    <xf numFmtId="0" fontId="11" fillId="24" borderId="73" xfId="0" applyFont="1" applyFill="1" applyBorder="1" applyAlignment="1">
      <alignment horizontal="center" vertical="center" wrapText="1"/>
    </xf>
    <xf numFmtId="0" fontId="9" fillId="24" borderId="30" xfId="85" applyFont="1" applyFill="1" applyBorder="1" applyAlignment="1">
      <alignment horizontal="center" vertical="center" wrapText="1"/>
    </xf>
    <xf numFmtId="0" fontId="9" fillId="24" borderId="38" xfId="85" applyFont="1" applyFill="1" applyBorder="1" applyAlignment="1">
      <alignment horizontal="center" vertical="center" wrapText="1"/>
    </xf>
    <xf numFmtId="0" fontId="9" fillId="24" borderId="29" xfId="85" applyFont="1" applyFill="1" applyBorder="1" applyAlignment="1">
      <alignment horizontal="center" vertical="center" wrapText="1"/>
    </xf>
    <xf numFmtId="0" fontId="39" fillId="28" borderId="42" xfId="85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wrapText="1"/>
    </xf>
    <xf numFmtId="0" fontId="9" fillId="28" borderId="41" xfId="85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9" fillId="28" borderId="42" xfId="85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3" fontId="12" fillId="0" borderId="17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9" fillId="28" borderId="43" xfId="85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9" fillId="28" borderId="66" xfId="85" applyFont="1" applyFill="1" applyBorder="1" applyAlignment="1">
      <alignment horizontal="center" vertical="center" wrapText="1"/>
    </xf>
    <xf numFmtId="0" fontId="9" fillId="28" borderId="63" xfId="85" applyFont="1" applyFill="1" applyBorder="1" applyAlignment="1">
      <alignment horizontal="center" vertical="center" wrapText="1"/>
    </xf>
    <xf numFmtId="0" fontId="9" fillId="28" borderId="48" xfId="85" applyFont="1" applyFill="1" applyBorder="1" applyAlignment="1">
      <alignment horizontal="center" vertical="center" wrapText="1"/>
    </xf>
    <xf numFmtId="0" fontId="9" fillId="24" borderId="28" xfId="85" applyFont="1" applyFill="1" applyBorder="1" applyAlignment="1">
      <alignment horizontal="center" vertical="center" wrapText="1"/>
    </xf>
    <xf numFmtId="0" fontId="11" fillId="24" borderId="17" xfId="97" applyFont="1" applyFill="1" applyBorder="1" applyAlignment="1">
      <alignment horizontal="center" vertical="center" wrapText="1"/>
    </xf>
    <xf numFmtId="0" fontId="11" fillId="24" borderId="15" xfId="97" applyFont="1" applyFill="1" applyBorder="1" applyAlignment="1">
      <alignment horizontal="center" vertical="center" wrapText="1"/>
    </xf>
    <xf numFmtId="0" fontId="11" fillId="24" borderId="18" xfId="97" applyFont="1" applyFill="1" applyBorder="1" applyAlignment="1">
      <alignment horizontal="center" vertical="center" wrapText="1"/>
    </xf>
    <xf numFmtId="3" fontId="14" fillId="0" borderId="30" xfId="93" applyNumberFormat="1" applyFont="1" applyBorder="1" applyAlignment="1">
      <alignment vertical="center"/>
    </xf>
    <xf numFmtId="3" fontId="14" fillId="0" borderId="29" xfId="93" applyNumberFormat="1" applyFont="1" applyBorder="1" applyAlignment="1">
      <alignment vertical="center"/>
    </xf>
    <xf numFmtId="0" fontId="11" fillId="28" borderId="66" xfId="97" applyFont="1" applyFill="1" applyBorder="1" applyAlignment="1">
      <alignment horizontal="center" vertical="center" wrapText="1"/>
    </xf>
    <xf numFmtId="0" fontId="11" fillId="28" borderId="63" xfId="97" applyFont="1" applyFill="1" applyBorder="1" applyAlignment="1">
      <alignment horizontal="center" vertical="center" wrapText="1"/>
    </xf>
    <xf numFmtId="0" fontId="11" fillId="28" borderId="64" xfId="97" applyFont="1" applyFill="1" applyBorder="1" applyAlignment="1">
      <alignment horizontal="center" vertical="center" wrapText="1"/>
    </xf>
    <xf numFmtId="0" fontId="11" fillId="28" borderId="42" xfId="97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9" fillId="24" borderId="14" xfId="92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24" borderId="14" xfId="0" applyFont="1" applyFill="1" applyBorder="1" applyAlignment="1">
      <alignment horizontal="center" vertical="center" wrapText="1"/>
    </xf>
    <xf numFmtId="0" fontId="9" fillId="24" borderId="25" xfId="92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24" borderId="14" xfId="0" applyFont="1" applyFill="1" applyBorder="1" applyAlignment="1">
      <alignment horizontal="center" wrapText="1"/>
    </xf>
    <xf numFmtId="0" fontId="39" fillId="24" borderId="25" xfId="92" applyFont="1" applyFill="1" applyBorder="1" applyAlignment="1">
      <alignment horizontal="center" vertical="center" wrapText="1"/>
    </xf>
    <xf numFmtId="0" fontId="39" fillId="24" borderId="23" xfId="92" applyFont="1" applyFill="1" applyBorder="1" applyAlignment="1">
      <alignment horizontal="center" vertical="center" wrapText="1"/>
    </xf>
    <xf numFmtId="0" fontId="9" fillId="24" borderId="17" xfId="94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24" borderId="17" xfId="94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9" fillId="24" borderId="25" xfId="94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12" fillId="0" borderId="17" xfId="98" applyNumberFormat="1" applyFont="1" applyFill="1" applyBorder="1" applyAlignment="1">
      <alignment horizontal="left" vertical="center" wrapText="1"/>
    </xf>
    <xf numFmtId="3" fontId="12" fillId="0" borderId="18" xfId="98" applyNumberFormat="1" applyFont="1" applyFill="1" applyBorder="1" applyAlignment="1">
      <alignment horizontal="left" vertical="center" wrapText="1"/>
    </xf>
    <xf numFmtId="3" fontId="12" fillId="0" borderId="17" xfId="0" applyNumberFormat="1" applyFont="1" applyFill="1" applyBorder="1" applyAlignment="1">
      <alignment horizontal="left" vertical="center" wrapText="1"/>
    </xf>
    <xf numFmtId="3" fontId="12" fillId="0" borderId="18" xfId="0" applyNumberFormat="1" applyFont="1" applyFill="1" applyBorder="1" applyAlignment="1">
      <alignment horizontal="left" vertical="center" wrapText="1"/>
    </xf>
    <xf numFmtId="3" fontId="12" fillId="0" borderId="17" xfId="98" applyNumberFormat="1" applyFont="1" applyBorder="1" applyAlignment="1">
      <alignment horizontal="left" vertical="center"/>
    </xf>
    <xf numFmtId="3" fontId="12" fillId="0" borderId="18" xfId="98" applyNumberFormat="1" applyFont="1" applyBorder="1" applyAlignment="1">
      <alignment horizontal="left" vertical="center"/>
    </xf>
    <xf numFmtId="3" fontId="12" fillId="0" borderId="17" xfId="98" applyNumberFormat="1" applyFont="1" applyFill="1" applyBorder="1" applyAlignment="1">
      <alignment vertical="center"/>
    </xf>
    <xf numFmtId="3" fontId="12" fillId="0" borderId="18" xfId="98" applyNumberFormat="1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3" fontId="14" fillId="0" borderId="17" xfId="0" applyNumberFormat="1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left" vertical="center" wrapText="1"/>
    </xf>
    <xf numFmtId="3" fontId="12" fillId="0" borderId="18" xfId="0" applyNumberFormat="1" applyFont="1" applyBorder="1" applyAlignment="1">
      <alignment horizontal="left" vertical="center" wrapText="1"/>
    </xf>
    <xf numFmtId="3" fontId="12" fillId="0" borderId="17" xfId="0" applyNumberFormat="1" applyFont="1" applyBorder="1" applyAlignment="1">
      <alignment horizontal="left" vertical="center"/>
    </xf>
    <xf numFmtId="3" fontId="12" fillId="0" borderId="18" xfId="0" applyNumberFormat="1" applyFont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left" vertical="center"/>
    </xf>
    <xf numFmtId="49" fontId="12" fillId="0" borderId="18" xfId="0" applyNumberFormat="1" applyFont="1" applyFill="1" applyBorder="1" applyAlignment="1">
      <alignment horizontal="left" vertical="center"/>
    </xf>
    <xf numFmtId="3" fontId="12" fillId="0" borderId="51" xfId="87" applyNumberFormat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2" fillId="0" borderId="17" xfId="94" applyFont="1" applyFill="1" applyBorder="1" applyAlignment="1">
      <alignment vertical="center"/>
    </xf>
    <xf numFmtId="0" fontId="12" fillId="0" borderId="15" xfId="94" applyFont="1" applyFill="1" applyBorder="1" applyAlignment="1">
      <alignment vertical="center"/>
    </xf>
    <xf numFmtId="0" fontId="67" fillId="25" borderId="17" xfId="76" applyFont="1" applyFill="1" applyBorder="1" applyAlignment="1">
      <alignment horizontal="left" vertical="center" wrapText="1"/>
    </xf>
    <xf numFmtId="0" fontId="67" fillId="25" borderId="15" xfId="76" applyFont="1" applyFill="1" applyBorder="1" applyAlignment="1">
      <alignment horizontal="left" vertical="center" wrapText="1"/>
    </xf>
    <xf numFmtId="0" fontId="8" fillId="0" borderId="17" xfId="94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3" fontId="12" fillId="0" borderId="17" xfId="0" applyNumberFormat="1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>
      <alignment horizontal="left" vertical="center"/>
    </xf>
    <xf numFmtId="3" fontId="12" fillId="0" borderId="17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3" fontId="12" fillId="0" borderId="1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17" xfId="96" applyFont="1" applyFill="1" applyBorder="1" applyAlignment="1">
      <alignment vertical="center" wrapText="1"/>
    </xf>
    <xf numFmtId="0" fontId="12" fillId="0" borderId="18" xfId="96" applyFont="1" applyFill="1" applyBorder="1" applyAlignment="1">
      <alignment vertical="center" wrapText="1"/>
    </xf>
    <xf numFmtId="3" fontId="12" fillId="0" borderId="18" xfId="0" applyNumberFormat="1" applyFont="1" applyFill="1" applyBorder="1" applyAlignment="1">
      <alignment vertical="center" wrapText="1"/>
    </xf>
    <xf numFmtId="3" fontId="14" fillId="0" borderId="17" xfId="0" applyNumberFormat="1" applyFont="1" applyFill="1" applyBorder="1" applyAlignment="1">
      <alignment vertical="center"/>
    </xf>
    <xf numFmtId="3" fontId="14" fillId="0" borderId="18" xfId="0" applyNumberFormat="1" applyFont="1" applyFill="1" applyBorder="1" applyAlignment="1">
      <alignment vertical="center"/>
    </xf>
    <xf numFmtId="0" fontId="12" fillId="0" borderId="17" xfId="94" applyFont="1" applyBorder="1" applyAlignment="1">
      <alignment vertical="center" wrapText="1"/>
    </xf>
    <xf numFmtId="0" fontId="12" fillId="0" borderId="15" xfId="94" applyFont="1" applyBorder="1" applyAlignment="1">
      <alignment vertical="center" wrapText="1"/>
    </xf>
    <xf numFmtId="3" fontId="12" fillId="0" borderId="17" xfId="95" applyNumberFormat="1" applyFont="1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2" fillId="0" borderId="17" xfId="94" applyFont="1" applyBorder="1" applyAlignment="1">
      <alignment vertical="center"/>
    </xf>
    <xf numFmtId="0" fontId="12" fillId="0" borderId="18" xfId="94" applyFont="1" applyBorder="1" applyAlignment="1">
      <alignment vertical="center"/>
    </xf>
    <xf numFmtId="3" fontId="12" fillId="0" borderId="17" xfId="0" applyNumberFormat="1" applyFont="1" applyBorder="1" applyAlignment="1">
      <alignment vertical="center" wrapText="1"/>
    </xf>
    <xf numFmtId="3" fontId="12" fillId="0" borderId="15" xfId="0" applyNumberFormat="1" applyFont="1" applyBorder="1" applyAlignment="1">
      <alignment vertical="center" wrapText="1"/>
    </xf>
    <xf numFmtId="3" fontId="8" fillId="0" borderId="17" xfId="94" applyNumberFormat="1" applyFont="1" applyFill="1" applyBorder="1" applyAlignment="1">
      <alignment horizontal="left" vertical="center" wrapText="1"/>
    </xf>
    <xf numFmtId="3" fontId="8" fillId="0" borderId="18" xfId="94" applyNumberFormat="1" applyFont="1" applyFill="1" applyBorder="1" applyAlignment="1">
      <alignment horizontal="left" vertical="center" wrapText="1"/>
    </xf>
    <xf numFmtId="3" fontId="16" fillId="24" borderId="10" xfId="98" applyNumberFormat="1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/>
    </xf>
    <xf numFmtId="3" fontId="16" fillId="24" borderId="11" xfId="98" applyNumberFormat="1" applyFont="1" applyFill="1" applyBorder="1" applyAlignment="1">
      <alignment horizontal="center" vertical="center" wrapText="1"/>
    </xf>
    <xf numFmtId="3" fontId="16" fillId="24" borderId="75" xfId="98" applyNumberFormat="1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1" fillId="24" borderId="17" xfId="76" applyFont="1" applyFill="1" applyBorder="1" applyAlignment="1">
      <alignment vertical="center" wrapText="1"/>
    </xf>
    <xf numFmtId="3" fontId="12" fillId="0" borderId="17" xfId="0" applyNumberFormat="1" applyFont="1" applyFill="1" applyBorder="1" applyAlignment="1">
      <alignment vertical="center"/>
    </xf>
    <xf numFmtId="3" fontId="12" fillId="0" borderId="18" xfId="0" applyNumberFormat="1" applyFont="1" applyFill="1" applyBorder="1" applyAlignment="1">
      <alignment vertical="center"/>
    </xf>
    <xf numFmtId="3" fontId="12" fillId="0" borderId="15" xfId="98" applyNumberFormat="1" applyFont="1" applyFill="1" applyBorder="1" applyAlignment="1">
      <alignment horizontal="left" vertical="center" wrapText="1"/>
    </xf>
    <xf numFmtId="3" fontId="15" fillId="0" borderId="17" xfId="0" applyNumberFormat="1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7" xfId="94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3" fontId="12" fillId="0" borderId="15" xfId="0" applyNumberFormat="1" applyFont="1" applyBorder="1" applyAlignment="1">
      <alignment vertical="center"/>
    </xf>
    <xf numFmtId="3" fontId="11" fillId="0" borderId="78" xfId="0" applyNumberFormat="1" applyFont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12" fillId="0" borderId="17" xfId="81" applyFont="1" applyFill="1" applyBorder="1" applyAlignment="1">
      <alignment vertical="center"/>
    </xf>
    <xf numFmtId="0" fontId="40" fillId="0" borderId="15" xfId="0" applyFont="1" applyBorder="1" applyAlignment="1">
      <alignment vertical="center"/>
    </xf>
    <xf numFmtId="3" fontId="12" fillId="0" borderId="15" xfId="0" applyNumberFormat="1" applyFont="1" applyFill="1" applyBorder="1" applyAlignment="1">
      <alignment horizontal="left" vertical="center" wrapText="1"/>
    </xf>
    <xf numFmtId="0" fontId="12" fillId="0" borderId="15" xfId="94" applyFont="1" applyBorder="1" applyAlignment="1">
      <alignment vertical="center"/>
    </xf>
    <xf numFmtId="3" fontId="75" fillId="24" borderId="79" xfId="0" applyNumberFormat="1" applyFont="1" applyFill="1" applyBorder="1" applyAlignment="1">
      <alignment horizontal="center" vertical="center" wrapText="1"/>
    </xf>
    <xf numFmtId="0" fontId="39" fillId="24" borderId="53" xfId="0" applyFont="1" applyFill="1" applyBorder="1" applyAlignment="1">
      <alignment horizontal="center" vertical="center"/>
    </xf>
    <xf numFmtId="3" fontId="12" fillId="0" borderId="17" xfId="98" applyNumberFormat="1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3" fontId="16" fillId="24" borderId="80" xfId="98" applyNumberFormat="1" applyFont="1" applyFill="1" applyBorder="1" applyAlignment="1">
      <alignment horizontal="center" vertical="center" wrapText="1"/>
    </xf>
    <xf numFmtId="3" fontId="16" fillId="24" borderId="14" xfId="0" applyNumberFormat="1" applyFont="1" applyFill="1" applyBorder="1" applyAlignment="1">
      <alignment vertical="center" wrapText="1"/>
    </xf>
    <xf numFmtId="0" fontId="0" fillId="0" borderId="14" xfId="0" applyBorder="1" applyAlignment="1">
      <alignment wrapText="1"/>
    </xf>
    <xf numFmtId="3" fontId="39" fillId="24" borderId="14" xfId="0" applyNumberFormat="1" applyFont="1" applyFill="1" applyBorder="1" applyAlignment="1">
      <alignment horizontal="center" vertical="center" wrapText="1"/>
    </xf>
    <xf numFmtId="0" fontId="74" fillId="0" borderId="14" xfId="0" applyFont="1" applyBorder="1" applyAlignment="1">
      <alignment horizontal="center" vertical="center"/>
    </xf>
    <xf numFmtId="3" fontId="12" fillId="0" borderId="18" xfId="98" applyNumberFormat="1" applyFont="1" applyFill="1" applyBorder="1" applyAlignment="1">
      <alignment horizontal="left" vertical="center"/>
    </xf>
    <xf numFmtId="49" fontId="12" fillId="0" borderId="17" xfId="0" applyNumberFormat="1" applyFont="1" applyFill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left" vertical="center" wrapText="1"/>
    </xf>
  </cellXfs>
  <cellStyles count="11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" xfId="54" builtinId="3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 builtinId="29" customBuiltin="1"/>
    <cellStyle name="Jelölőszín (2)" xfId="65" builtinId="33" customBuiltin="1"/>
    <cellStyle name="Jelölőszín (3)" xfId="66" builtinId="37" customBuiltin="1"/>
    <cellStyle name="Jelölőszín (4)" xfId="67" builtinId="41" customBuiltin="1"/>
    <cellStyle name="Jelölőszín (5)" xfId="68" builtinId="45" customBuiltin="1"/>
    <cellStyle name="Jelölőszín (6)" xfId="69" builtinId="49" customBuiltin="1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5"/>
    <cellStyle name="Normál_   5    (2)" xfId="76"/>
    <cellStyle name="Normál_   5    (2) 2" xfId="77"/>
    <cellStyle name="Normál_   5    (2)_7" xfId="78"/>
    <cellStyle name="Normál_   5    (2)_Másolat eredetije2014. műk-beru-felúj." xfId="79"/>
    <cellStyle name="Normál_   5-a    (2)" xfId="80"/>
    <cellStyle name="Normál_   7   x" xfId="81"/>
    <cellStyle name="Normál_   7   x_2012. III.negyedévi ei. módosítás" xfId="82"/>
    <cellStyle name="Normál_   7   x_2014_ktsv tervezet_btcs" xfId="83"/>
    <cellStyle name="Normál_   7   x_7" xfId="84"/>
    <cellStyle name="Normál_   7   x_Másolat eredetije2014. műk-beru-felúj." xfId="85"/>
    <cellStyle name="Normál_  3   _2010.évi állami" xfId="86"/>
    <cellStyle name="Normál_2012. évi beszámoló 5.a 6a" xfId="87"/>
    <cellStyle name="Normál_2012_költségvetés_MCS_111215_Másolat eredetije2014. műk-beru-felúj." xfId="88"/>
    <cellStyle name="Normál_213_évi_költségvetés_MCS" xfId="89"/>
    <cellStyle name="Normál_7_Másolat eredetije2014. műk-beru-felúj." xfId="90"/>
    <cellStyle name="Normál_8_Másolat eredetije2014. műk-beru-felúj." xfId="91"/>
    <cellStyle name="Normál_INTKIA96" xfId="92"/>
    <cellStyle name="Normál_Másolat eredetije2014. műk-beru-felúj." xfId="93"/>
    <cellStyle name="Normál_Munka2 (2)" xfId="94"/>
    <cellStyle name="Normál_Munka2 (2)_2012. évi beszámoló 5.a 6a" xfId="95"/>
    <cellStyle name="Normál_Munka3 (2)" xfId="96"/>
    <cellStyle name="Normál_Munka3 (2)_Másolat eredetije2014. műk-beru-felúj." xfId="97"/>
    <cellStyle name="Normál_ÖKIADELÖ" xfId="98"/>
    <cellStyle name="Normál_ÖKIADELÖ_Másolat eredetije2014. műk-beru-felúj." xfId="99"/>
    <cellStyle name="Normal_tanusitv" xfId="100"/>
    <cellStyle name="Note" xfId="101"/>
    <cellStyle name="Output" xfId="102"/>
    <cellStyle name="Összesen" xfId="103" builtinId="25" customBuiltin="1"/>
    <cellStyle name="Rossz" xfId="104" builtinId="27" customBuiltin="1"/>
    <cellStyle name="Semleges" xfId="105" builtinId="28" customBuiltin="1"/>
    <cellStyle name="Számítás" xfId="106" builtinId="22" customBuiltin="1"/>
    <cellStyle name="Title" xfId="107"/>
    <cellStyle name="Total" xfId="108"/>
    <cellStyle name="Warning Text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I6" sqref="I6:I7"/>
    </sheetView>
  </sheetViews>
  <sheetFormatPr defaultRowHeight="12" x14ac:dyDescent="0.2"/>
  <cols>
    <col min="1" max="1" width="39.6640625" style="97" customWidth="1"/>
    <col min="2" max="3" width="13.6640625" style="97" customWidth="1"/>
    <col min="4" max="4" width="12.6640625" style="16" customWidth="1"/>
    <col min="5" max="5" width="2" style="96" customWidth="1"/>
    <col min="6" max="6" width="40.1640625" style="97" customWidth="1"/>
    <col min="7" max="7" width="11" style="97" customWidth="1"/>
    <col min="8" max="8" width="13.83203125" style="97" customWidth="1"/>
    <col min="9" max="9" width="12.5" style="16" customWidth="1"/>
    <col min="10" max="16384" width="9.33203125" style="47"/>
  </cols>
  <sheetData>
    <row r="1" spans="1:9" s="85" customFormat="1" ht="39.950000000000003" customHeight="1" thickBot="1" x14ac:dyDescent="0.25">
      <c r="A1" s="81" t="s">
        <v>905</v>
      </c>
      <c r="B1" s="82" t="s">
        <v>166</v>
      </c>
      <c r="C1" s="82" t="s">
        <v>434</v>
      </c>
      <c r="D1" s="83" t="s">
        <v>410</v>
      </c>
      <c r="E1" s="84"/>
      <c r="F1" s="81" t="s">
        <v>905</v>
      </c>
      <c r="G1" s="82" t="s">
        <v>166</v>
      </c>
      <c r="H1" s="82" t="s">
        <v>434</v>
      </c>
      <c r="I1" s="83" t="s">
        <v>410</v>
      </c>
    </row>
    <row r="2" spans="1:9" s="88" customFormat="1" ht="12.95" customHeight="1" x14ac:dyDescent="0.2">
      <c r="A2" s="86" t="s">
        <v>705</v>
      </c>
      <c r="B2" s="115"/>
      <c r="C2" s="115"/>
      <c r="D2" s="43"/>
      <c r="E2" s="87"/>
      <c r="F2" s="86" t="s">
        <v>706</v>
      </c>
      <c r="G2" s="86"/>
      <c r="H2" s="86"/>
      <c r="I2" s="42"/>
    </row>
    <row r="3" spans="1:9" ht="24.95" customHeight="1" x14ac:dyDescent="0.2">
      <c r="A3" s="89" t="s">
        <v>391</v>
      </c>
      <c r="B3" s="41">
        <v>2820917</v>
      </c>
      <c r="C3" s="89">
        <v>551308</v>
      </c>
      <c r="D3" s="41">
        <f t="shared" ref="D3:D10" si="0">SUM(B3:C3)</f>
        <v>3372225</v>
      </c>
      <c r="E3" s="90"/>
      <c r="F3" s="89" t="s">
        <v>810</v>
      </c>
      <c r="G3" s="41">
        <v>6188882</v>
      </c>
      <c r="H3" s="89">
        <v>251814</v>
      </c>
      <c r="I3" s="41">
        <f>SUM(G3:H3)</f>
        <v>6440696</v>
      </c>
    </row>
    <row r="4" spans="1:9" ht="15" customHeight="1" x14ac:dyDescent="0.2">
      <c r="A4" s="89" t="s">
        <v>394</v>
      </c>
      <c r="B4" s="31">
        <v>3474772</v>
      </c>
      <c r="C4" s="89"/>
      <c r="D4" s="41">
        <f t="shared" si="0"/>
        <v>3474772</v>
      </c>
      <c r="E4" s="90"/>
      <c r="F4" s="92" t="s">
        <v>811</v>
      </c>
      <c r="G4" s="41">
        <v>2145619</v>
      </c>
      <c r="H4" s="89">
        <v>466568</v>
      </c>
      <c r="I4" s="41">
        <f>SUM(G4:H4)</f>
        <v>2612187</v>
      </c>
    </row>
    <row r="5" spans="1:9" ht="24.95" customHeight="1" x14ac:dyDescent="0.2">
      <c r="A5" s="89" t="s">
        <v>395</v>
      </c>
      <c r="B5" s="31">
        <v>2047660</v>
      </c>
      <c r="C5" s="89">
        <v>244557</v>
      </c>
      <c r="D5" s="41">
        <f t="shared" si="0"/>
        <v>2292217</v>
      </c>
      <c r="E5" s="90"/>
      <c r="F5" s="89" t="s">
        <v>397</v>
      </c>
      <c r="G5" s="31">
        <v>1219153</v>
      </c>
      <c r="H5" s="89">
        <v>258311</v>
      </c>
      <c r="I5" s="41">
        <f>SUM(G5:H5)</f>
        <v>1477464</v>
      </c>
    </row>
    <row r="6" spans="1:9" ht="24" customHeight="1" x14ac:dyDescent="0.2">
      <c r="A6" s="89" t="s">
        <v>396</v>
      </c>
      <c r="B6" s="41">
        <v>59600</v>
      </c>
      <c r="C6" s="89">
        <v>954</v>
      </c>
      <c r="D6" s="41">
        <f t="shared" si="0"/>
        <v>60554</v>
      </c>
      <c r="E6" s="90"/>
      <c r="F6" s="89" t="s">
        <v>707</v>
      </c>
      <c r="G6" s="41">
        <v>324818</v>
      </c>
      <c r="H6" s="89">
        <v>-93378</v>
      </c>
      <c r="I6" s="41">
        <f>SUM(G6:H6)</f>
        <v>231440</v>
      </c>
    </row>
    <row r="7" spans="1:9" ht="14.1" customHeight="1" x14ac:dyDescent="0.2">
      <c r="A7" s="91" t="s">
        <v>711</v>
      </c>
      <c r="B7" s="91">
        <f>SUM(B3+B4+B5+B6)</f>
        <v>8402949</v>
      </c>
      <c r="C7" s="91">
        <f>SUM(C3+C4+C5+C6)</f>
        <v>796819</v>
      </c>
      <c r="D7" s="41">
        <f t="shared" si="0"/>
        <v>9199768</v>
      </c>
      <c r="E7" s="90"/>
      <c r="F7" s="89" t="s">
        <v>708</v>
      </c>
      <c r="G7" s="41">
        <v>5000</v>
      </c>
      <c r="H7" s="89">
        <v>-1100</v>
      </c>
      <c r="I7" s="41">
        <f>SUM(G7:H7)</f>
        <v>3900</v>
      </c>
    </row>
    <row r="8" spans="1:9" ht="14.1" customHeight="1" x14ac:dyDescent="0.2">
      <c r="A8" s="92" t="s">
        <v>398</v>
      </c>
      <c r="B8" s="91"/>
      <c r="C8" s="91"/>
      <c r="D8" s="41">
        <f t="shared" si="0"/>
        <v>0</v>
      </c>
      <c r="E8" s="90"/>
      <c r="F8" s="91" t="s">
        <v>710</v>
      </c>
      <c r="G8" s="86">
        <f>SUM(G2:G7)</f>
        <v>9883472</v>
      </c>
      <c r="H8" s="86">
        <f>SUM(H2:H7)</f>
        <v>882215</v>
      </c>
      <c r="I8" s="86">
        <f>SUM(I2:I7)</f>
        <v>10765687</v>
      </c>
    </row>
    <row r="9" spans="1:9" ht="24.95" customHeight="1" x14ac:dyDescent="0.2">
      <c r="A9" s="92" t="s">
        <v>399</v>
      </c>
      <c r="B9" s="118">
        <v>1480523</v>
      </c>
      <c r="C9" s="92">
        <v>446663</v>
      </c>
      <c r="D9" s="41">
        <f t="shared" si="0"/>
        <v>1927186</v>
      </c>
      <c r="E9" s="90"/>
      <c r="F9" s="92" t="s">
        <v>408</v>
      </c>
      <c r="G9" s="41"/>
      <c r="H9" s="89"/>
      <c r="I9" s="41"/>
    </row>
    <row r="10" spans="1:9" s="88" customFormat="1" ht="24.95" customHeight="1" x14ac:dyDescent="0.2">
      <c r="A10" s="92" t="s">
        <v>400</v>
      </c>
      <c r="B10" s="45"/>
      <c r="C10" s="92">
        <v>99</v>
      </c>
      <c r="D10" s="41">
        <f t="shared" si="0"/>
        <v>99</v>
      </c>
      <c r="E10" s="90"/>
      <c r="F10" s="92" t="s">
        <v>1093</v>
      </c>
      <c r="G10" s="41"/>
      <c r="H10" s="92">
        <v>222701</v>
      </c>
      <c r="I10" s="89">
        <f>SUM(G10:H10)</f>
        <v>222701</v>
      </c>
    </row>
    <row r="11" spans="1:9" s="88" customFormat="1" ht="12" customHeight="1" x14ac:dyDescent="0.2">
      <c r="A11" s="94" t="s">
        <v>715</v>
      </c>
      <c r="B11" s="95">
        <f>SUM(B7:B10)</f>
        <v>9883472</v>
      </c>
      <c r="C11" s="95">
        <f>SUM(C7:C10)</f>
        <v>1243581</v>
      </c>
      <c r="D11" s="95">
        <f>SUM(D7:D10)</f>
        <v>11127053</v>
      </c>
      <c r="E11" s="90"/>
      <c r="F11" s="93" t="s">
        <v>712</v>
      </c>
      <c r="G11" s="93">
        <f>SUM(G8:G10)</f>
        <v>9883472</v>
      </c>
      <c r="H11" s="93">
        <f>SUM(H8:H10)</f>
        <v>1104916</v>
      </c>
      <c r="I11" s="93">
        <f>SUM(I8:I10)</f>
        <v>10988388</v>
      </c>
    </row>
    <row r="12" spans="1:9" ht="14.1" customHeight="1" x14ac:dyDescent="0.2">
      <c r="A12" s="86" t="s">
        <v>717</v>
      </c>
      <c r="B12" s="86"/>
      <c r="C12" s="86"/>
      <c r="D12" s="41"/>
      <c r="E12" s="90"/>
      <c r="F12" s="86" t="s">
        <v>713</v>
      </c>
      <c r="G12" s="86"/>
      <c r="H12" s="86"/>
      <c r="I12" s="91"/>
    </row>
    <row r="13" spans="1:9" ht="24" customHeight="1" x14ac:dyDescent="0.2">
      <c r="A13" s="89" t="s">
        <v>401</v>
      </c>
      <c r="B13" s="41">
        <v>4607238</v>
      </c>
      <c r="C13" s="89">
        <v>1474291</v>
      </c>
      <c r="D13" s="41">
        <f t="shared" ref="D13:D21" si="1">SUM(B13:C13)</f>
        <v>6081529</v>
      </c>
      <c r="E13" s="90"/>
      <c r="F13" s="89" t="s">
        <v>402</v>
      </c>
      <c r="G13" s="89">
        <v>516142</v>
      </c>
      <c r="H13" s="89">
        <v>282056</v>
      </c>
      <c r="I13" s="89">
        <f t="shared" ref="I13:I25" si="2">SUM(G13:H13)</f>
        <v>798198</v>
      </c>
    </row>
    <row r="14" spans="1:9" ht="20.100000000000001" customHeight="1" x14ac:dyDescent="0.2">
      <c r="A14" s="89" t="s">
        <v>394</v>
      </c>
      <c r="B14" s="41">
        <v>783728</v>
      </c>
      <c r="C14" s="89"/>
      <c r="D14" s="41">
        <f t="shared" si="1"/>
        <v>783728</v>
      </c>
      <c r="E14" s="90"/>
      <c r="F14" s="89" t="s">
        <v>714</v>
      </c>
      <c r="G14" s="41">
        <v>43543</v>
      </c>
      <c r="H14" s="89">
        <v>37770</v>
      </c>
      <c r="I14" s="89">
        <f t="shared" si="2"/>
        <v>81313</v>
      </c>
    </row>
    <row r="15" spans="1:9" ht="15" customHeight="1" x14ac:dyDescent="0.2">
      <c r="A15" s="89" t="s">
        <v>403</v>
      </c>
      <c r="B15" s="45">
        <v>251100</v>
      </c>
      <c r="C15" s="89">
        <v>2900</v>
      </c>
      <c r="D15" s="41">
        <f t="shared" si="1"/>
        <v>254000</v>
      </c>
      <c r="E15" s="90"/>
      <c r="F15" s="89" t="s">
        <v>716</v>
      </c>
      <c r="G15" s="45">
        <v>472599</v>
      </c>
      <c r="H15" s="89">
        <v>244286</v>
      </c>
      <c r="I15" s="89">
        <f t="shared" si="2"/>
        <v>716885</v>
      </c>
    </row>
    <row r="16" spans="1:9" ht="24.95" customHeight="1" x14ac:dyDescent="0.2">
      <c r="A16" s="89" t="s">
        <v>404</v>
      </c>
      <c r="B16" s="45">
        <v>220000</v>
      </c>
      <c r="C16" s="89">
        <v>1146</v>
      </c>
      <c r="D16" s="41">
        <f t="shared" si="1"/>
        <v>221146</v>
      </c>
      <c r="E16" s="90"/>
      <c r="F16" s="89" t="s">
        <v>812</v>
      </c>
      <c r="G16" s="41"/>
      <c r="H16" s="89"/>
      <c r="I16" s="89">
        <f t="shared" si="2"/>
        <v>0</v>
      </c>
    </row>
    <row r="17" spans="1:9" ht="15" customHeight="1" x14ac:dyDescent="0.2">
      <c r="A17" s="89" t="s">
        <v>405</v>
      </c>
      <c r="B17" s="45">
        <v>68305</v>
      </c>
      <c r="C17" s="89">
        <v>273141</v>
      </c>
      <c r="D17" s="41">
        <f t="shared" si="1"/>
        <v>341446</v>
      </c>
      <c r="E17" s="87"/>
      <c r="F17" s="89" t="s">
        <v>718</v>
      </c>
      <c r="G17" s="41">
        <v>6800899</v>
      </c>
      <c r="H17" s="89">
        <v>479931</v>
      </c>
      <c r="I17" s="89">
        <f t="shared" si="2"/>
        <v>7280830</v>
      </c>
    </row>
    <row r="18" spans="1:9" ht="12.95" customHeight="1" x14ac:dyDescent="0.2">
      <c r="A18" s="91" t="s">
        <v>721</v>
      </c>
      <c r="B18" s="86">
        <f>SUM(B12:B17)</f>
        <v>5930371</v>
      </c>
      <c r="C18" s="86">
        <f>SUM(C12:C17)</f>
        <v>1751478</v>
      </c>
      <c r="D18" s="41">
        <f t="shared" si="1"/>
        <v>7681849</v>
      </c>
      <c r="E18" s="87"/>
      <c r="F18" s="89" t="s">
        <v>813</v>
      </c>
      <c r="G18" s="41">
        <v>37447</v>
      </c>
      <c r="H18" s="89">
        <v>110924</v>
      </c>
      <c r="I18" s="89">
        <f t="shared" si="2"/>
        <v>148371</v>
      </c>
    </row>
    <row r="19" spans="1:9" ht="24" customHeight="1" x14ac:dyDescent="0.2">
      <c r="A19" s="92" t="s">
        <v>398</v>
      </c>
      <c r="B19" s="86"/>
      <c r="C19" s="86"/>
      <c r="D19" s="41">
        <f t="shared" si="1"/>
        <v>0</v>
      </c>
      <c r="E19" s="90"/>
      <c r="F19" s="89" t="s">
        <v>719</v>
      </c>
      <c r="G19" s="41">
        <v>691881</v>
      </c>
      <c r="H19" s="89">
        <v>25433</v>
      </c>
      <c r="I19" s="89">
        <f t="shared" si="2"/>
        <v>717314</v>
      </c>
    </row>
    <row r="20" spans="1:9" ht="12.95" customHeight="1" x14ac:dyDescent="0.2">
      <c r="A20" s="92" t="s">
        <v>920</v>
      </c>
      <c r="B20" s="89">
        <v>658892</v>
      </c>
      <c r="C20" s="89">
        <v>-20000</v>
      </c>
      <c r="D20" s="41">
        <f t="shared" si="1"/>
        <v>638892</v>
      </c>
      <c r="E20" s="90"/>
      <c r="F20" s="89" t="s">
        <v>813</v>
      </c>
      <c r="G20" s="41">
        <v>39879</v>
      </c>
      <c r="H20" s="89">
        <v>37404</v>
      </c>
      <c r="I20" s="89">
        <f t="shared" si="2"/>
        <v>77283</v>
      </c>
    </row>
    <row r="21" spans="1:9" ht="24.95" customHeight="1" x14ac:dyDescent="0.2">
      <c r="A21" s="92" t="s">
        <v>406</v>
      </c>
      <c r="B21" s="118">
        <v>1486283</v>
      </c>
      <c r="C21" s="92">
        <v>70732</v>
      </c>
      <c r="D21" s="41">
        <f t="shared" si="1"/>
        <v>1557015</v>
      </c>
      <c r="E21" s="90"/>
      <c r="F21" s="89" t="s">
        <v>720</v>
      </c>
      <c r="G21" s="41">
        <v>10000</v>
      </c>
      <c r="H21" s="89"/>
      <c r="I21" s="89">
        <f t="shared" si="2"/>
        <v>10000</v>
      </c>
    </row>
    <row r="22" spans="1:9" ht="12.95" customHeight="1" x14ac:dyDescent="0.2">
      <c r="A22" s="92"/>
      <c r="B22" s="89"/>
      <c r="C22" s="89"/>
      <c r="D22" s="89"/>
      <c r="E22" s="90"/>
      <c r="F22" s="89" t="s">
        <v>407</v>
      </c>
      <c r="G22" s="41">
        <v>21956</v>
      </c>
      <c r="H22" s="89">
        <v>18159</v>
      </c>
      <c r="I22" s="89">
        <f t="shared" si="2"/>
        <v>40115</v>
      </c>
    </row>
    <row r="23" spans="1:9" ht="24.95" customHeight="1" x14ac:dyDescent="0.2">
      <c r="A23" s="92"/>
      <c r="B23" s="89"/>
      <c r="C23" s="89"/>
      <c r="D23" s="118"/>
      <c r="E23" s="90"/>
      <c r="F23" s="91" t="s">
        <v>722</v>
      </c>
      <c r="G23" s="86">
        <f>SUM(G13+G17+G19+G21+G22)</f>
        <v>8040878</v>
      </c>
      <c r="H23" s="86">
        <f>SUM(H13+H17+H19+H21+H22)</f>
        <v>805579</v>
      </c>
      <c r="I23" s="89">
        <f t="shared" si="2"/>
        <v>8846457</v>
      </c>
    </row>
    <row r="24" spans="1:9" ht="12.95" customHeight="1" x14ac:dyDescent="0.2">
      <c r="A24" s="89"/>
      <c r="B24" s="89"/>
      <c r="C24" s="89"/>
      <c r="D24" s="118"/>
      <c r="E24" s="90"/>
      <c r="F24" s="92" t="s">
        <v>408</v>
      </c>
      <c r="G24" s="86"/>
      <c r="H24" s="86"/>
      <c r="I24" s="89">
        <f t="shared" si="2"/>
        <v>0</v>
      </c>
    </row>
    <row r="25" spans="1:9" ht="12.95" customHeight="1" x14ac:dyDescent="0.2">
      <c r="A25" s="92"/>
      <c r="B25" s="89"/>
      <c r="C25" s="89"/>
      <c r="D25" s="89"/>
      <c r="E25" s="90"/>
      <c r="F25" s="92" t="s">
        <v>409</v>
      </c>
      <c r="G25" s="31">
        <v>34668</v>
      </c>
      <c r="H25" s="92">
        <v>1135296</v>
      </c>
      <c r="I25" s="89">
        <f t="shared" si="2"/>
        <v>1169964</v>
      </c>
    </row>
    <row r="26" spans="1:9" s="85" customFormat="1" ht="23.1" customHeight="1" thickBot="1" x14ac:dyDescent="0.25">
      <c r="A26" s="539" t="s">
        <v>724</v>
      </c>
      <c r="B26" s="540">
        <f>SUM(B18:B25)</f>
        <v>8075546</v>
      </c>
      <c r="C26" s="540">
        <f>SUM(C18:C25)</f>
        <v>1802210</v>
      </c>
      <c r="D26" s="540">
        <f>SUM(D18:D25)</f>
        <v>9877756</v>
      </c>
      <c r="E26" s="87"/>
      <c r="F26" s="541" t="s">
        <v>725</v>
      </c>
      <c r="G26" s="540">
        <f>SUM(G23:G25)</f>
        <v>8075546</v>
      </c>
      <c r="H26" s="540">
        <f>SUM(H23:H25)</f>
        <v>1940875</v>
      </c>
      <c r="I26" s="540">
        <f>SUM(I23:I25)</f>
        <v>10016421</v>
      </c>
    </row>
    <row r="27" spans="1:9" s="85" customFormat="1" ht="20.100000000000001" customHeight="1" thickBot="1" x14ac:dyDescent="0.25">
      <c r="A27" s="542" t="s">
        <v>814</v>
      </c>
      <c r="B27" s="543">
        <f>SUM(B11+B26)</f>
        <v>17959018</v>
      </c>
      <c r="C27" s="543">
        <f>SUM(C11+C26)</f>
        <v>3045791</v>
      </c>
      <c r="D27" s="543">
        <f>SUM(D11+D26)</f>
        <v>21004809</v>
      </c>
      <c r="E27" s="90"/>
      <c r="F27" s="542" t="s">
        <v>814</v>
      </c>
      <c r="G27" s="544">
        <f>SUM(G11+G26)</f>
        <v>17959018</v>
      </c>
      <c r="H27" s="544">
        <f>SUM(H11+H26)</f>
        <v>3045791</v>
      </c>
      <c r="I27" s="544">
        <f>SUM(I11+I26)</f>
        <v>21004809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2014. ÉVBEN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opLeftCell="C7" zoomScaleNormal="120" workbookViewId="0">
      <selection activeCell="O1" sqref="O1:P65536"/>
    </sheetView>
  </sheetViews>
  <sheetFormatPr defaultRowHeight="12.75" x14ac:dyDescent="0.2"/>
  <cols>
    <col min="1" max="1" width="4" style="56" customWidth="1"/>
    <col min="2" max="2" width="37" style="53" customWidth="1"/>
    <col min="3" max="3" width="12" style="53" customWidth="1"/>
    <col min="4" max="4" width="12.5" style="53" customWidth="1"/>
    <col min="5" max="5" width="12.6640625" style="53" customWidth="1"/>
    <col min="6" max="6" width="13.1640625" style="53" customWidth="1"/>
    <col min="7" max="7" width="11.83203125" style="53" customWidth="1"/>
    <col min="8" max="8" width="9.6640625" style="53" customWidth="1"/>
    <col min="9" max="9" width="11.5" style="53" customWidth="1"/>
    <col min="10" max="10" width="13.1640625" style="53" customWidth="1"/>
    <col min="11" max="12" width="12.5" style="53" customWidth="1"/>
    <col min="13" max="13" width="11.1640625" style="53" customWidth="1"/>
    <col min="14" max="14" width="12.83203125" style="53" customWidth="1"/>
    <col min="15" max="16384" width="9.33203125" style="53"/>
  </cols>
  <sheetData>
    <row r="1" spans="1:14" ht="14.25" customHeight="1" x14ac:dyDescent="0.25">
      <c r="A1" s="739" t="s">
        <v>965</v>
      </c>
      <c r="B1" s="739" t="s">
        <v>685</v>
      </c>
      <c r="C1" s="743" t="s">
        <v>971</v>
      </c>
      <c r="D1" s="743" t="s">
        <v>434</v>
      </c>
      <c r="E1" s="739" t="s">
        <v>966</v>
      </c>
      <c r="F1" s="745"/>
      <c r="G1" s="745"/>
      <c r="H1" s="745"/>
      <c r="I1" s="745"/>
      <c r="J1" s="745"/>
      <c r="K1" s="745"/>
      <c r="L1" s="745"/>
      <c r="M1" s="746" t="s">
        <v>970</v>
      </c>
      <c r="N1" s="746" t="s">
        <v>822</v>
      </c>
    </row>
    <row r="2" spans="1:14" ht="82.5" customHeight="1" x14ac:dyDescent="0.2">
      <c r="A2" s="740"/>
      <c r="B2" s="740"/>
      <c r="C2" s="744"/>
      <c r="D2" s="744"/>
      <c r="E2" s="217" t="s">
        <v>435</v>
      </c>
      <c r="F2" s="217" t="s">
        <v>967</v>
      </c>
      <c r="G2" s="217" t="s">
        <v>667</v>
      </c>
      <c r="H2" s="217" t="s">
        <v>968</v>
      </c>
      <c r="I2" s="217" t="s">
        <v>438</v>
      </c>
      <c r="J2" s="217" t="s">
        <v>457</v>
      </c>
      <c r="K2" s="217" t="s">
        <v>458</v>
      </c>
      <c r="L2" s="217" t="s">
        <v>969</v>
      </c>
      <c r="M2" s="747"/>
      <c r="N2" s="747"/>
    </row>
    <row r="3" spans="1:14" ht="15" customHeight="1" x14ac:dyDescent="0.2">
      <c r="A3" s="216">
        <v>2</v>
      </c>
      <c r="B3" s="152" t="s">
        <v>909</v>
      </c>
      <c r="C3" s="153">
        <v>1237075</v>
      </c>
      <c r="D3" s="153">
        <f>61764+táj.2.!L3</f>
        <v>69399</v>
      </c>
      <c r="E3" s="218">
        <f>782735+táj.2.!C3</f>
        <v>788374</v>
      </c>
      <c r="F3" s="218">
        <f>214550+táj.2.!D3</f>
        <v>215800</v>
      </c>
      <c r="G3" s="218">
        <f>246412+táj.2.!E3</f>
        <v>247029</v>
      </c>
      <c r="H3" s="606">
        <f>0+táj.2.!F3</f>
        <v>0</v>
      </c>
      <c r="I3" s="606">
        <f>0+táj.2.!G3</f>
        <v>129</v>
      </c>
      <c r="J3" s="606">
        <f>35513+táj.2.!H3</f>
        <v>35513</v>
      </c>
      <c r="K3" s="606">
        <f>19629+táj.2.!I3</f>
        <v>19629</v>
      </c>
      <c r="L3" s="606">
        <f>0+táj.2.!J3</f>
        <v>0</v>
      </c>
      <c r="M3" s="606">
        <f>0+táj.2.!K3</f>
        <v>0</v>
      </c>
      <c r="N3" s="606">
        <f t="shared" ref="N3:N19" si="0">SUM(E3:M3)</f>
        <v>1306474</v>
      </c>
    </row>
    <row r="4" spans="1:14" s="54" customFormat="1" ht="22.5" customHeight="1" x14ac:dyDescent="0.2">
      <c r="A4" s="216">
        <v>3</v>
      </c>
      <c r="B4" s="152" t="s">
        <v>955</v>
      </c>
      <c r="C4" s="153">
        <v>1361767</v>
      </c>
      <c r="D4" s="153">
        <f>19713+táj.2.!L4</f>
        <v>23035</v>
      </c>
      <c r="E4" s="218">
        <f>301644+táj.2.!C4</f>
        <v>302579</v>
      </c>
      <c r="F4" s="218">
        <f>82018+táj.2.!D4</f>
        <v>80505</v>
      </c>
      <c r="G4" s="218">
        <f>979852+táj.2.!E4</f>
        <v>980752</v>
      </c>
      <c r="H4" s="606">
        <f>0+táj.2.!F4</f>
        <v>0</v>
      </c>
      <c r="I4" s="606">
        <f>4966+táj.2.!G4</f>
        <v>5966</v>
      </c>
      <c r="J4" s="606">
        <f>3000+táj.2.!H4</f>
        <v>5000</v>
      </c>
      <c r="K4" s="606">
        <f>10000+táj.2.!I4</f>
        <v>10000</v>
      </c>
      <c r="L4" s="606">
        <f>0+táj.2.!J4</f>
        <v>0</v>
      </c>
      <c r="M4" s="606">
        <f>0+táj.2.!K4</f>
        <v>0</v>
      </c>
      <c r="N4" s="606">
        <f t="shared" si="0"/>
        <v>1384802</v>
      </c>
    </row>
    <row r="5" spans="1:14" s="54" customFormat="1" ht="19.5" customHeight="1" x14ac:dyDescent="0.2">
      <c r="A5" s="216">
        <v>4</v>
      </c>
      <c r="B5" s="152" t="s">
        <v>956</v>
      </c>
      <c r="C5" s="153">
        <v>362804</v>
      </c>
      <c r="D5" s="153">
        <f>13419+táj.2.!L5</f>
        <v>29003</v>
      </c>
      <c r="E5" s="218">
        <f>209425+táj.2.!C5</f>
        <v>210252</v>
      </c>
      <c r="F5" s="218">
        <f>55689+táj.2.!D5</f>
        <v>55246</v>
      </c>
      <c r="G5" s="218">
        <f>109595+táj.2.!E5</f>
        <v>109745</v>
      </c>
      <c r="H5" s="606">
        <f>0+táj.2.!F5</f>
        <v>0</v>
      </c>
      <c r="I5" s="606">
        <f>332+táj.2.!G5</f>
        <v>382</v>
      </c>
      <c r="J5" s="606">
        <f>682+táj.2.!H5</f>
        <v>8524</v>
      </c>
      <c r="K5" s="606">
        <f>500+táj.2.!I5</f>
        <v>7658</v>
      </c>
      <c r="L5" s="606">
        <f>0+táj.2.!J5</f>
        <v>0</v>
      </c>
      <c r="M5" s="606">
        <f>0+táj.2.!K5</f>
        <v>0</v>
      </c>
      <c r="N5" s="606">
        <f t="shared" si="0"/>
        <v>391807</v>
      </c>
    </row>
    <row r="6" spans="1:14" s="54" customFormat="1" ht="15" customHeight="1" x14ac:dyDescent="0.2">
      <c r="A6" s="216">
        <v>5</v>
      </c>
      <c r="B6" s="117" t="s">
        <v>957</v>
      </c>
      <c r="C6" s="128">
        <v>316218</v>
      </c>
      <c r="D6" s="153">
        <f>93339+táj.2.!L6</f>
        <v>94038</v>
      </c>
      <c r="E6" s="218">
        <f>152432+táj.2.!C6</f>
        <v>152830</v>
      </c>
      <c r="F6" s="218">
        <f>45232+táj.2.!D6</f>
        <v>45233</v>
      </c>
      <c r="G6" s="218">
        <f>204259+táj.2.!E6</f>
        <v>204259</v>
      </c>
      <c r="H6" s="606">
        <f>0+táj.2.!F6</f>
        <v>0</v>
      </c>
      <c r="I6" s="606">
        <f>0+táj.2.!G6</f>
        <v>0</v>
      </c>
      <c r="J6" s="606">
        <f>5134+táj.2.!H6</f>
        <v>5434</v>
      </c>
      <c r="K6" s="606">
        <f>2500+táj.2.!I6</f>
        <v>2500</v>
      </c>
      <c r="L6" s="606">
        <f>0+táj.2.!J6</f>
        <v>0</v>
      </c>
      <c r="M6" s="606">
        <f>0+táj.2.!K6</f>
        <v>0</v>
      </c>
      <c r="N6" s="606">
        <f t="shared" si="0"/>
        <v>410256</v>
      </c>
    </row>
    <row r="7" spans="1:14" s="54" customFormat="1" ht="15.75" customHeight="1" x14ac:dyDescent="0.2">
      <c r="A7" s="216">
        <v>6</v>
      </c>
      <c r="B7" s="117" t="s">
        <v>958</v>
      </c>
      <c r="C7" s="128">
        <v>310239</v>
      </c>
      <c r="D7" s="153">
        <f>999+táj.2.!L7</f>
        <v>1437</v>
      </c>
      <c r="E7" s="218">
        <f>178481+táj.2.!C7</f>
        <v>178580</v>
      </c>
      <c r="F7" s="218">
        <f>50690+táj.2.!D7</f>
        <v>50629</v>
      </c>
      <c r="G7" s="218">
        <f>81967+táj.2.!E7</f>
        <v>82117</v>
      </c>
      <c r="H7" s="606">
        <f>0+táj.2.!F7</f>
        <v>0</v>
      </c>
      <c r="I7" s="606">
        <f>0+táj.2.!G7</f>
        <v>50</v>
      </c>
      <c r="J7" s="606">
        <f>100+táj.2.!H7</f>
        <v>300</v>
      </c>
      <c r="K7" s="606">
        <f>0+táj.2.!I7</f>
        <v>0</v>
      </c>
      <c r="L7" s="606">
        <f>0+táj.2.!J7</f>
        <v>0</v>
      </c>
      <c r="M7" s="606">
        <f>0+táj.2.!K7</f>
        <v>0</v>
      </c>
      <c r="N7" s="606">
        <f t="shared" si="0"/>
        <v>311676</v>
      </c>
    </row>
    <row r="8" spans="1:14" s="54" customFormat="1" ht="17.25" customHeight="1" x14ac:dyDescent="0.2">
      <c r="A8" s="216">
        <v>7</v>
      </c>
      <c r="B8" s="117" t="s">
        <v>959</v>
      </c>
      <c r="C8" s="128">
        <v>288134</v>
      </c>
      <c r="D8" s="153">
        <f>1345+táj.2.!L8</f>
        <v>1681</v>
      </c>
      <c r="E8" s="218">
        <f>167606+táj.2.!C8</f>
        <v>167701</v>
      </c>
      <c r="F8" s="218">
        <f>47225+táj.2.!D8</f>
        <v>47066</v>
      </c>
      <c r="G8" s="218">
        <f>74548+táj.2.!E8</f>
        <v>74698</v>
      </c>
      <c r="H8" s="606">
        <f>0+táj.2.!F8</f>
        <v>0</v>
      </c>
      <c r="I8" s="606">
        <f>0+táj.2.!G8</f>
        <v>50</v>
      </c>
      <c r="J8" s="606">
        <f>100+táj.2.!H8</f>
        <v>300</v>
      </c>
      <c r="K8" s="606">
        <f>0+táj.2.!I8</f>
        <v>0</v>
      </c>
      <c r="L8" s="606">
        <f>0+táj.2.!J8</f>
        <v>0</v>
      </c>
      <c r="M8" s="606">
        <f>0+táj.2.!K8</f>
        <v>0</v>
      </c>
      <c r="N8" s="606">
        <f t="shared" si="0"/>
        <v>289815</v>
      </c>
    </row>
    <row r="9" spans="1:14" s="54" customFormat="1" ht="15" customHeight="1" x14ac:dyDescent="0.2">
      <c r="A9" s="216">
        <v>8</v>
      </c>
      <c r="B9" s="117" t="s">
        <v>960</v>
      </c>
      <c r="C9" s="128">
        <v>283986</v>
      </c>
      <c r="D9" s="153">
        <f>1174+táj.2.!L9</f>
        <v>1537</v>
      </c>
      <c r="E9" s="218">
        <f>168185+táj.2.!C9</f>
        <v>168349</v>
      </c>
      <c r="F9" s="218">
        <f>47942+táj.2.!D9</f>
        <v>47841</v>
      </c>
      <c r="G9" s="218">
        <f>68933+táj.2.!E9</f>
        <v>69083</v>
      </c>
      <c r="H9" s="606">
        <f>0+táj.2.!F9</f>
        <v>0</v>
      </c>
      <c r="I9" s="606">
        <f>0+táj.2.!G9</f>
        <v>50</v>
      </c>
      <c r="J9" s="606">
        <f>100+táj.2.!H9</f>
        <v>200</v>
      </c>
      <c r="K9" s="606">
        <f>0+táj.2.!I9</f>
        <v>0</v>
      </c>
      <c r="L9" s="606">
        <f>0+táj.2.!J9</f>
        <v>0</v>
      </c>
      <c r="M9" s="606">
        <f>0+táj.2.!K9</f>
        <v>0</v>
      </c>
      <c r="N9" s="606">
        <f t="shared" si="0"/>
        <v>285523</v>
      </c>
    </row>
    <row r="10" spans="1:14" s="54" customFormat="1" ht="19.5" customHeight="1" x14ac:dyDescent="0.2">
      <c r="A10" s="216">
        <v>9</v>
      </c>
      <c r="B10" s="117" t="s">
        <v>961</v>
      </c>
      <c r="C10" s="128">
        <v>287762</v>
      </c>
      <c r="D10" s="153">
        <f>613+táj.2.!L10</f>
        <v>984</v>
      </c>
      <c r="E10" s="218">
        <f>172471+táj.2.!C10</f>
        <v>172556</v>
      </c>
      <c r="F10" s="218">
        <f>49171+táj.2.!D10</f>
        <v>49107</v>
      </c>
      <c r="G10" s="218">
        <f>66633+táj.2.!E10</f>
        <v>66733</v>
      </c>
      <c r="H10" s="606">
        <f>0+táj.2.!F10</f>
        <v>0</v>
      </c>
      <c r="I10" s="606">
        <f>0+táj.2.!G10</f>
        <v>50</v>
      </c>
      <c r="J10" s="606">
        <f>100+táj.2.!H10</f>
        <v>300</v>
      </c>
      <c r="K10" s="606">
        <f>0+táj.2.!I10</f>
        <v>0</v>
      </c>
      <c r="L10" s="606">
        <f>0+táj.2.!J10</f>
        <v>0</v>
      </c>
      <c r="M10" s="606">
        <f>0+táj.2.!K10</f>
        <v>0</v>
      </c>
      <c r="N10" s="606">
        <f t="shared" si="0"/>
        <v>288746</v>
      </c>
    </row>
    <row r="11" spans="1:14" s="54" customFormat="1" ht="27" customHeight="1" x14ac:dyDescent="0.2">
      <c r="A11" s="216">
        <v>10</v>
      </c>
      <c r="B11" s="204" t="s">
        <v>962</v>
      </c>
      <c r="C11" s="126">
        <v>112025</v>
      </c>
      <c r="D11" s="153">
        <f>22332+táj.2.!L11</f>
        <v>26944</v>
      </c>
      <c r="E11" s="218">
        <f>56632+táj.2.!C11</f>
        <v>57290</v>
      </c>
      <c r="F11" s="218">
        <f>14707+táj.2.!D11</f>
        <v>14817</v>
      </c>
      <c r="G11" s="218">
        <f>47993+táj.2.!E11</f>
        <v>50567</v>
      </c>
      <c r="H11" s="606">
        <f>0+táj.2.!F11</f>
        <v>0</v>
      </c>
      <c r="I11" s="606">
        <f>14525+táj.2.!G11</f>
        <v>14525</v>
      </c>
      <c r="J11" s="606">
        <f>500+táj.2.!H11</f>
        <v>500</v>
      </c>
      <c r="K11" s="606">
        <f>0+táj.2.!I11</f>
        <v>1270</v>
      </c>
      <c r="L11" s="606">
        <f>0+táj.2.!J11</f>
        <v>0</v>
      </c>
      <c r="M11" s="606">
        <f>0+táj.2.!K11</f>
        <v>0</v>
      </c>
      <c r="N11" s="606">
        <f t="shared" si="0"/>
        <v>138969</v>
      </c>
    </row>
    <row r="12" spans="1:14" s="54" customFormat="1" ht="20.25" customHeight="1" x14ac:dyDescent="0.2">
      <c r="A12" s="216">
        <v>11</v>
      </c>
      <c r="B12" s="117" t="s">
        <v>963</v>
      </c>
      <c r="C12" s="128">
        <v>188141</v>
      </c>
      <c r="D12" s="153">
        <f>17928+táj.2.!L12</f>
        <v>36680</v>
      </c>
      <c r="E12" s="218">
        <f>96682+táj.2.!C12</f>
        <v>100608</v>
      </c>
      <c r="F12" s="218">
        <f>24136+táj.2.!D12</f>
        <v>24941</v>
      </c>
      <c r="G12" s="218">
        <f>67587+táj.2.!E12</f>
        <v>81108</v>
      </c>
      <c r="H12" s="606">
        <f>0+táj.2.!F12</f>
        <v>0</v>
      </c>
      <c r="I12" s="606">
        <f>0+táj.2.!G12</f>
        <v>0</v>
      </c>
      <c r="J12" s="606">
        <f>16764+táj.2.!H12</f>
        <v>18164</v>
      </c>
      <c r="K12" s="606">
        <f>900+táj.2.!I12</f>
        <v>0</v>
      </c>
      <c r="L12" s="606">
        <f>0+táj.2.!J12</f>
        <v>0</v>
      </c>
      <c r="M12" s="606">
        <f>0+táj.2.!K12</f>
        <v>0</v>
      </c>
      <c r="N12" s="606">
        <f t="shared" si="0"/>
        <v>224821</v>
      </c>
    </row>
    <row r="13" spans="1:14" s="54" customFormat="1" ht="30" customHeight="1" x14ac:dyDescent="0.2">
      <c r="A13" s="216">
        <v>12</v>
      </c>
      <c r="B13" s="204" t="s">
        <v>964</v>
      </c>
      <c r="C13" s="126">
        <v>15555</v>
      </c>
      <c r="D13" s="153">
        <f>1895+táj.2.!L13</f>
        <v>2274</v>
      </c>
      <c r="E13" s="218">
        <f>9894+táj.2.!C13</f>
        <v>9997</v>
      </c>
      <c r="F13" s="218">
        <f>2531+táj.2.!D13</f>
        <v>2549</v>
      </c>
      <c r="G13" s="218">
        <f>5025+táj.2.!E13</f>
        <v>5083</v>
      </c>
      <c r="H13" s="606">
        <f>0+táj.2.!F13</f>
        <v>0</v>
      </c>
      <c r="I13" s="606">
        <f>0+táj.2.!G13</f>
        <v>0</v>
      </c>
      <c r="J13" s="606">
        <f>0+táj.2.!H13</f>
        <v>200</v>
      </c>
      <c r="K13" s="606">
        <f>0+táj.2.!I13</f>
        <v>0</v>
      </c>
      <c r="L13" s="606">
        <f>0+táj.2.!J13</f>
        <v>0</v>
      </c>
      <c r="M13" s="606">
        <f>0+táj.2.!K13</f>
        <v>0</v>
      </c>
      <c r="N13" s="606">
        <f t="shared" si="0"/>
        <v>17829</v>
      </c>
    </row>
    <row r="14" spans="1:14" s="54" customFormat="1" ht="16.5" customHeight="1" x14ac:dyDescent="0.2">
      <c r="A14" s="216">
        <v>13</v>
      </c>
      <c r="B14" s="117" t="s">
        <v>698</v>
      </c>
      <c r="C14" s="128">
        <v>353704</v>
      </c>
      <c r="D14" s="153">
        <f>2934+táj.2.!L14</f>
        <v>15412</v>
      </c>
      <c r="E14" s="218">
        <f>136270+táj.2.!C14</f>
        <v>138993</v>
      </c>
      <c r="F14" s="218">
        <f>35079+táj.2.!D14</f>
        <v>35629</v>
      </c>
      <c r="G14" s="218">
        <f>159289+táj.2.!E14</f>
        <v>143494</v>
      </c>
      <c r="H14" s="606">
        <f>0+táj.2.!F14</f>
        <v>0</v>
      </c>
      <c r="I14" s="606">
        <f>16000+táj.2.!G14</f>
        <v>16000</v>
      </c>
      <c r="J14" s="606">
        <f>10000+táj.2.!H14</f>
        <v>35000</v>
      </c>
      <c r="K14" s="606">
        <f>0+táj.2.!I14</f>
        <v>0</v>
      </c>
      <c r="L14" s="606">
        <f>0+táj.2.!J14</f>
        <v>0</v>
      </c>
      <c r="M14" s="606">
        <f>0+táj.2.!K14</f>
        <v>0</v>
      </c>
      <c r="N14" s="606">
        <f t="shared" si="0"/>
        <v>369116</v>
      </c>
    </row>
    <row r="15" spans="1:14" s="54" customFormat="1" ht="16.5" customHeight="1" x14ac:dyDescent="0.2">
      <c r="A15" s="216">
        <v>14</v>
      </c>
      <c r="B15" s="117" t="s">
        <v>699</v>
      </c>
      <c r="C15" s="128">
        <v>271692</v>
      </c>
      <c r="D15" s="153">
        <f>55682+táj.2.!L15</f>
        <v>56457</v>
      </c>
      <c r="E15" s="218">
        <f>117818+táj.2.!C15</f>
        <v>117987</v>
      </c>
      <c r="F15" s="218">
        <f>30756+táj.2.!D15</f>
        <v>30802</v>
      </c>
      <c r="G15" s="218">
        <f>116354+táj.2.!E15</f>
        <v>116914</v>
      </c>
      <c r="H15" s="606">
        <f>0+táj.2.!F15</f>
        <v>0</v>
      </c>
      <c r="I15" s="606">
        <f>3650+táj.2.!G15</f>
        <v>3650</v>
      </c>
      <c r="J15" s="606">
        <f>29445+táj.2.!H15</f>
        <v>29445</v>
      </c>
      <c r="K15" s="606">
        <f>29351+táj.2.!I15</f>
        <v>29351</v>
      </c>
      <c r="L15" s="606">
        <f>0+táj.2.!J15</f>
        <v>0</v>
      </c>
      <c r="M15" s="606">
        <f>0+táj.2.!K15</f>
        <v>0</v>
      </c>
      <c r="N15" s="606">
        <f t="shared" si="0"/>
        <v>328149</v>
      </c>
    </row>
    <row r="16" spans="1:14" s="54" customFormat="1" ht="18" customHeight="1" x14ac:dyDescent="0.2">
      <c r="A16" s="216">
        <v>15</v>
      </c>
      <c r="B16" s="117" t="s">
        <v>723</v>
      </c>
      <c r="C16" s="128">
        <v>573476</v>
      </c>
      <c r="D16" s="153">
        <f>17900+táj.2.!L16</f>
        <v>19081</v>
      </c>
      <c r="E16" s="218">
        <f>287723+táj.2.!C16</f>
        <v>288416</v>
      </c>
      <c r="F16" s="218">
        <f>72328+táj.2.!D16</f>
        <v>72516</v>
      </c>
      <c r="G16" s="218">
        <f>218466+táj.2.!E16</f>
        <v>218766</v>
      </c>
      <c r="H16" s="606">
        <f>0+táj.2.!F16</f>
        <v>0</v>
      </c>
      <c r="I16" s="606">
        <f>2359+táj.2.!G16</f>
        <v>2359</v>
      </c>
      <c r="J16" s="606">
        <f>3625+táj.2.!H16</f>
        <v>3625</v>
      </c>
      <c r="K16" s="606">
        <f>6875+táj.2.!I16</f>
        <v>6875</v>
      </c>
      <c r="L16" s="606">
        <f>0+táj.2.!J16</f>
        <v>0</v>
      </c>
      <c r="M16" s="606">
        <f>0+táj.2.!K16</f>
        <v>0</v>
      </c>
      <c r="N16" s="606">
        <f t="shared" si="0"/>
        <v>592557</v>
      </c>
    </row>
    <row r="17" spans="1:14" s="54" customFormat="1" ht="18.75" customHeight="1" x14ac:dyDescent="0.2">
      <c r="A17" s="216">
        <v>16</v>
      </c>
      <c r="B17" s="117" t="s">
        <v>701</v>
      </c>
      <c r="C17" s="128">
        <v>102360</v>
      </c>
      <c r="D17" s="153">
        <f>1989+táj.2.!L17</f>
        <v>2356</v>
      </c>
      <c r="E17" s="218">
        <f>49512+táj.2.!C17</f>
        <v>49683</v>
      </c>
      <c r="F17" s="218">
        <f>11373+táj.2.!D17</f>
        <v>11419</v>
      </c>
      <c r="G17" s="218">
        <f>43464+táj.2.!E17</f>
        <v>43614</v>
      </c>
      <c r="H17" s="606">
        <f>0+táj.2.!F17</f>
        <v>0</v>
      </c>
      <c r="I17" s="606">
        <f>0+táj.2.!G17</f>
        <v>0</v>
      </c>
      <c r="J17" s="606">
        <f>0+táj.2.!H17</f>
        <v>0</v>
      </c>
      <c r="K17" s="606">
        <f>0+táj.2.!I17</f>
        <v>0</v>
      </c>
      <c r="L17" s="606">
        <f>0+táj.2.!J17</f>
        <v>0</v>
      </c>
      <c r="M17" s="606">
        <f>0+táj.2.!K17</f>
        <v>0</v>
      </c>
      <c r="N17" s="606">
        <f t="shared" si="0"/>
        <v>104716</v>
      </c>
    </row>
    <row r="18" spans="1:14" s="54" customFormat="1" ht="18" customHeight="1" x14ac:dyDescent="0.2">
      <c r="A18" s="216">
        <v>17</v>
      </c>
      <c r="B18" s="117" t="s">
        <v>700</v>
      </c>
      <c r="C18" s="128">
        <v>110370</v>
      </c>
      <c r="D18" s="153">
        <f>6198+táj.2.!L18</f>
        <v>6183</v>
      </c>
      <c r="E18" s="218">
        <f>38850+táj.2.!C18</f>
        <v>38933</v>
      </c>
      <c r="F18" s="218">
        <f>10425+táj.2.!D18</f>
        <v>10327</v>
      </c>
      <c r="G18" s="218">
        <f>62327+táj.2.!E18</f>
        <v>62327</v>
      </c>
      <c r="H18" s="606">
        <f>0+táj.2.!F18</f>
        <v>0</v>
      </c>
      <c r="I18" s="606">
        <f>0+táj.2.!G18</f>
        <v>0</v>
      </c>
      <c r="J18" s="606">
        <v>4966</v>
      </c>
      <c r="K18" s="606">
        <f>0+táj.2.!I18</f>
        <v>0</v>
      </c>
      <c r="L18" s="606">
        <f>0+táj.2.!J18</f>
        <v>0</v>
      </c>
      <c r="M18" s="606">
        <f>0+táj.2.!K18</f>
        <v>0</v>
      </c>
      <c r="N18" s="606">
        <f t="shared" si="0"/>
        <v>116553</v>
      </c>
    </row>
    <row r="19" spans="1:14" s="54" customFormat="1" ht="18.75" customHeight="1" x14ac:dyDescent="0.2">
      <c r="A19" s="216">
        <v>18</v>
      </c>
      <c r="B19" s="78" t="s">
        <v>668</v>
      </c>
      <c r="C19" s="154">
        <v>90900</v>
      </c>
      <c r="D19" s="153">
        <f>13313+táj.2.!L19</f>
        <v>13641</v>
      </c>
      <c r="E19" s="218">
        <f>31354+táj.2.!C19</f>
        <v>31376</v>
      </c>
      <c r="F19" s="218">
        <f>8479+táj.2.!D19</f>
        <v>8485</v>
      </c>
      <c r="G19" s="218">
        <f>63473+táj.2.!E19</f>
        <v>63473</v>
      </c>
      <c r="H19" s="606">
        <f>0+táj.2.!F19</f>
        <v>0</v>
      </c>
      <c r="I19" s="606">
        <f>307+táj.2.!G19</f>
        <v>307</v>
      </c>
      <c r="J19" s="606">
        <f>600+táj.2.!H19</f>
        <v>900</v>
      </c>
      <c r="K19" s="606">
        <f>0+táj.2.!I19</f>
        <v>0</v>
      </c>
      <c r="L19" s="606">
        <f>0+táj.2.!J19</f>
        <v>0</v>
      </c>
      <c r="M19" s="606">
        <f>0+táj.2.!K19</f>
        <v>0</v>
      </c>
      <c r="N19" s="606">
        <f t="shared" si="0"/>
        <v>104541</v>
      </c>
    </row>
    <row r="20" spans="1:14" s="54" customFormat="1" ht="18" customHeight="1" x14ac:dyDescent="0.2">
      <c r="A20" s="63"/>
      <c r="B20" s="64" t="s">
        <v>686</v>
      </c>
      <c r="C20" s="65">
        <f>SUM(C3:C19)</f>
        <v>6266208</v>
      </c>
      <c r="D20" s="65">
        <f>SUM(D3:D19)</f>
        <v>400142</v>
      </c>
      <c r="E20" s="65">
        <f t="shared" ref="E20:N20" si="1">SUM(E3:E19)</f>
        <v>2974504</v>
      </c>
      <c r="F20" s="65">
        <f t="shared" si="1"/>
        <v>802912</v>
      </c>
      <c r="G20" s="65">
        <f t="shared" si="1"/>
        <v>2619762</v>
      </c>
      <c r="H20" s="65">
        <f t="shared" si="1"/>
        <v>0</v>
      </c>
      <c r="I20" s="65">
        <f t="shared" si="1"/>
        <v>43518</v>
      </c>
      <c r="J20" s="65">
        <f t="shared" si="1"/>
        <v>148371</v>
      </c>
      <c r="K20" s="65">
        <f t="shared" si="1"/>
        <v>77283</v>
      </c>
      <c r="L20" s="65">
        <f t="shared" si="1"/>
        <v>0</v>
      </c>
      <c r="M20" s="65">
        <f t="shared" si="1"/>
        <v>0</v>
      </c>
      <c r="N20" s="65">
        <f t="shared" si="1"/>
        <v>6666350</v>
      </c>
    </row>
    <row r="21" spans="1:14" s="54" customFormat="1" x14ac:dyDescent="0.2">
      <c r="A21" s="55"/>
    </row>
    <row r="22" spans="1:14" s="54" customFormat="1" x14ac:dyDescent="0.2">
      <c r="A22" s="55"/>
    </row>
    <row r="23" spans="1:14" s="54" customFormat="1" x14ac:dyDescent="0.2">
      <c r="A23" s="55"/>
    </row>
    <row r="24" spans="1:14" s="54" customFormat="1" x14ac:dyDescent="0.2">
      <c r="A24" s="55"/>
    </row>
    <row r="25" spans="1:14" s="54" customFormat="1" x14ac:dyDescent="0.2">
      <c r="A25" s="55"/>
    </row>
    <row r="26" spans="1:14" s="54" customFormat="1" x14ac:dyDescent="0.2">
      <c r="A26" s="55"/>
    </row>
    <row r="27" spans="1:14" s="54" customFormat="1" x14ac:dyDescent="0.2">
      <c r="A27" s="55"/>
    </row>
    <row r="28" spans="1:14" s="54" customFormat="1" x14ac:dyDescent="0.2">
      <c r="A28" s="55"/>
    </row>
    <row r="29" spans="1:14" s="54" customFormat="1" x14ac:dyDescent="0.2">
      <c r="A29" s="55"/>
    </row>
    <row r="30" spans="1:14" s="54" customFormat="1" x14ac:dyDescent="0.2">
      <c r="A30" s="55"/>
    </row>
    <row r="31" spans="1:14" s="54" customFormat="1" x14ac:dyDescent="0.2">
      <c r="A31" s="55"/>
    </row>
    <row r="32" spans="1:14" s="54" customFormat="1" x14ac:dyDescent="0.2">
      <c r="A32" s="55"/>
    </row>
    <row r="33" spans="1:1" s="54" customFormat="1" x14ac:dyDescent="0.2">
      <c r="A33" s="55"/>
    </row>
    <row r="34" spans="1:1" s="54" customFormat="1" x14ac:dyDescent="0.2">
      <c r="A34" s="55"/>
    </row>
    <row r="35" spans="1:1" s="54" customFormat="1" x14ac:dyDescent="0.2">
      <c r="A35" s="55"/>
    </row>
    <row r="36" spans="1:1" s="54" customFormat="1" x14ac:dyDescent="0.2">
      <c r="A36" s="55"/>
    </row>
    <row r="37" spans="1:1" s="54" customFormat="1" x14ac:dyDescent="0.2">
      <c r="A37" s="55"/>
    </row>
    <row r="38" spans="1:1" s="54" customFormat="1" x14ac:dyDescent="0.2">
      <c r="A38" s="55"/>
    </row>
    <row r="39" spans="1:1" s="54" customFormat="1" x14ac:dyDescent="0.2">
      <c r="A39" s="55"/>
    </row>
    <row r="40" spans="1:1" s="54" customFormat="1" x14ac:dyDescent="0.2">
      <c r="A40" s="55"/>
    </row>
    <row r="41" spans="1:1" s="54" customFormat="1" x14ac:dyDescent="0.2">
      <c r="A41" s="55"/>
    </row>
    <row r="42" spans="1:1" s="54" customFormat="1" x14ac:dyDescent="0.2">
      <c r="A42" s="55"/>
    </row>
    <row r="43" spans="1:1" s="54" customFormat="1" x14ac:dyDescent="0.2">
      <c r="A43" s="55"/>
    </row>
    <row r="44" spans="1:1" s="54" customFormat="1" x14ac:dyDescent="0.2">
      <c r="A44" s="55"/>
    </row>
    <row r="45" spans="1:1" s="54" customFormat="1" x14ac:dyDescent="0.2">
      <c r="A45" s="55"/>
    </row>
    <row r="46" spans="1:1" s="54" customFormat="1" x14ac:dyDescent="0.2">
      <c r="A46" s="55"/>
    </row>
    <row r="47" spans="1:1" s="54" customFormat="1" x14ac:dyDescent="0.2">
      <c r="A47" s="55"/>
    </row>
    <row r="48" spans="1:1" s="54" customFormat="1" x14ac:dyDescent="0.2">
      <c r="A48" s="55"/>
    </row>
    <row r="49" spans="1:1" s="54" customFormat="1" x14ac:dyDescent="0.2">
      <c r="A49" s="55"/>
    </row>
    <row r="50" spans="1:1" s="54" customFormat="1" x14ac:dyDescent="0.2">
      <c r="A50" s="55"/>
    </row>
    <row r="51" spans="1:1" s="54" customFormat="1" x14ac:dyDescent="0.2">
      <c r="A51" s="55"/>
    </row>
    <row r="52" spans="1:1" s="54" customFormat="1" x14ac:dyDescent="0.2">
      <c r="A52" s="55"/>
    </row>
    <row r="53" spans="1:1" s="54" customFormat="1" x14ac:dyDescent="0.2">
      <c r="A53" s="55"/>
    </row>
    <row r="54" spans="1:1" s="54" customFormat="1" x14ac:dyDescent="0.2">
      <c r="A54" s="55"/>
    </row>
    <row r="55" spans="1:1" s="54" customFormat="1" x14ac:dyDescent="0.2">
      <c r="A55" s="55"/>
    </row>
    <row r="56" spans="1:1" s="54" customFormat="1" x14ac:dyDescent="0.2">
      <c r="A56" s="55"/>
    </row>
    <row r="57" spans="1:1" s="54" customFormat="1" x14ac:dyDescent="0.2">
      <c r="A57" s="55"/>
    </row>
    <row r="58" spans="1:1" s="54" customFormat="1" x14ac:dyDescent="0.2">
      <c r="A58" s="55"/>
    </row>
    <row r="59" spans="1:1" s="54" customFormat="1" x14ac:dyDescent="0.2">
      <c r="A59" s="55"/>
    </row>
    <row r="60" spans="1:1" s="54" customFormat="1" x14ac:dyDescent="0.2">
      <c r="A60" s="55"/>
    </row>
    <row r="61" spans="1:1" s="54" customFormat="1" x14ac:dyDescent="0.2">
      <c r="A61" s="55"/>
    </row>
    <row r="62" spans="1:1" s="54" customFormat="1" x14ac:dyDescent="0.2">
      <c r="A62" s="55"/>
    </row>
    <row r="63" spans="1:1" s="54" customFormat="1" x14ac:dyDescent="0.2">
      <c r="A63" s="55"/>
    </row>
  </sheetData>
  <mergeCells count="7">
    <mergeCell ref="E1:L1"/>
    <mergeCell ref="M1:M2"/>
    <mergeCell ref="N1:N2"/>
    <mergeCell ref="A1:A2"/>
    <mergeCell ref="B1:B2"/>
    <mergeCell ref="C1:C2"/>
    <mergeCell ref="D1:D2"/>
  </mergeCells>
  <phoneticPr fontId="0" type="noConversion"/>
  <printOptions horizontalCentered="1" verticalCentered="1"/>
  <pageMargins left="7.874015748031496E-2" right="7.874015748031496E-2" top="1.4173228346456694" bottom="0.74803149606299213" header="0.43307086614173229" footer="0.31496062992125984"/>
  <pageSetup paperSize="9" scale="85" orientation="landscape" horizontalDpi="300" verticalDpi="300" r:id="rId1"/>
  <headerFooter alignWithMargins="0">
    <oddHeader xml:space="preserve">&amp;C&amp;"Arial CE,Dőlt"ZALAEGERSZEG MJV&amp;"Times New Roman,Dőlt"ÖNKORMÁNYZATA ÁLTAL IRÁNYÍTOTT KÖLTSÉGVETÉSI SZERVEK 
2014. ÉVI  KIADÁSI ELŐIRÁNYZATAI&amp;R&amp;"Times New Roman,Dőlt"&amp;9
 10. melléklet
Adatok eFt-ban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workbookViewId="0">
      <pane ySplit="2" topLeftCell="A57" activePane="bottomLeft" state="frozen"/>
      <selection pane="bottomLeft" activeCell="D66" sqref="D66:L66"/>
    </sheetView>
  </sheetViews>
  <sheetFormatPr defaultRowHeight="12.75" x14ac:dyDescent="0.2"/>
  <cols>
    <col min="1" max="1" width="5.6640625" style="4" customWidth="1"/>
    <col min="2" max="2" width="6.33203125" style="4" customWidth="1"/>
    <col min="3" max="3" width="39" style="4" customWidth="1"/>
    <col min="4" max="4" width="11.1640625" style="4" customWidth="1"/>
    <col min="5" max="5" width="11.33203125" style="4" customWidth="1"/>
    <col min="6" max="6" width="11.83203125" style="4" customWidth="1"/>
    <col min="7" max="7" width="9.83203125" style="4" customWidth="1"/>
    <col min="8" max="8" width="10.6640625" style="4" customWidth="1"/>
    <col min="9" max="9" width="11.33203125" style="4" customWidth="1"/>
    <col min="10" max="10" width="12.5" style="4" customWidth="1"/>
    <col min="11" max="11" width="11.6640625" style="4" customWidth="1"/>
    <col min="12" max="12" width="12.83203125" style="4" customWidth="1"/>
    <col min="13" max="13" width="11.33203125" style="4" customWidth="1"/>
    <col min="14" max="14" width="12.6640625" style="4" customWidth="1"/>
    <col min="15" max="16384" width="9.33203125" style="4"/>
  </cols>
  <sheetData>
    <row r="1" spans="1:14" s="3" customFormat="1" ht="16.5" customHeight="1" x14ac:dyDescent="0.2">
      <c r="A1" s="1"/>
      <c r="B1" s="2"/>
      <c r="C1" s="5"/>
      <c r="D1" s="748" t="s">
        <v>972</v>
      </c>
      <c r="E1" s="749"/>
      <c r="F1" s="749"/>
      <c r="G1" s="749"/>
      <c r="H1" s="749"/>
      <c r="I1" s="749"/>
      <c r="J1" s="750"/>
      <c r="K1" s="751" t="s">
        <v>973</v>
      </c>
      <c r="L1" s="752"/>
      <c r="M1" s="753"/>
      <c r="N1" s="754" t="s">
        <v>908</v>
      </c>
    </row>
    <row r="2" spans="1:14" s="3" customFormat="1" ht="78.75" customHeight="1" thickBot="1" x14ac:dyDescent="0.25">
      <c r="A2" s="7" t="s">
        <v>906</v>
      </c>
      <c r="B2" s="8" t="s">
        <v>907</v>
      </c>
      <c r="C2" s="12" t="s">
        <v>905</v>
      </c>
      <c r="D2" s="524" t="s">
        <v>975</v>
      </c>
      <c r="E2" s="524" t="s">
        <v>976</v>
      </c>
      <c r="F2" s="525" t="s">
        <v>464</v>
      </c>
      <c r="G2" s="524" t="s">
        <v>977</v>
      </c>
      <c r="H2" s="524" t="s">
        <v>682</v>
      </c>
      <c r="I2" s="524" t="s">
        <v>978</v>
      </c>
      <c r="J2" s="524" t="s">
        <v>979</v>
      </c>
      <c r="K2" s="524" t="s">
        <v>764</v>
      </c>
      <c r="L2" s="524" t="s">
        <v>980</v>
      </c>
      <c r="M2" s="524" t="s">
        <v>982</v>
      </c>
      <c r="N2" s="755"/>
    </row>
    <row r="3" spans="1:14" s="3" customFormat="1" ht="12.95" customHeight="1" x14ac:dyDescent="0.2">
      <c r="A3" s="681">
        <v>1</v>
      </c>
      <c r="B3" s="681"/>
      <c r="C3" s="13" t="s">
        <v>680</v>
      </c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3"/>
    </row>
    <row r="4" spans="1:14" s="3" customFormat="1" ht="12.95" customHeight="1" x14ac:dyDescent="0.2">
      <c r="A4" s="681">
        <v>1</v>
      </c>
      <c r="B4" s="681">
        <v>1</v>
      </c>
      <c r="C4" s="188" t="s">
        <v>468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66"/>
    </row>
    <row r="5" spans="1:14" s="3" customFormat="1" ht="12.95" customHeight="1" x14ac:dyDescent="0.2">
      <c r="A5" s="681">
        <v>1</v>
      </c>
      <c r="B5" s="681">
        <v>12</v>
      </c>
      <c r="C5" s="188" t="s">
        <v>466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66"/>
    </row>
    <row r="6" spans="1:14" s="3" customFormat="1" ht="24" customHeight="1" x14ac:dyDescent="0.2">
      <c r="A6" s="9"/>
      <c r="B6" s="9"/>
      <c r="C6" s="608" t="s">
        <v>940</v>
      </c>
      <c r="D6" s="594"/>
      <c r="E6" s="189"/>
      <c r="F6" s="189"/>
      <c r="G6" s="189"/>
      <c r="H6" s="189"/>
      <c r="I6" s="189"/>
      <c r="J6" s="189"/>
      <c r="K6" s="189"/>
      <c r="L6" s="189"/>
      <c r="M6" s="189"/>
      <c r="N6" s="190"/>
    </row>
    <row r="7" spans="1:14" s="3" customFormat="1" ht="12.95" customHeight="1" x14ac:dyDescent="0.2">
      <c r="A7" s="9"/>
      <c r="B7" s="9"/>
      <c r="C7" s="599" t="s">
        <v>492</v>
      </c>
      <c r="D7" s="600">
        <v>56</v>
      </c>
      <c r="E7" s="189"/>
      <c r="F7" s="189"/>
      <c r="G7" s="189"/>
      <c r="H7" s="189"/>
      <c r="I7" s="189"/>
      <c r="J7" s="189"/>
      <c r="K7" s="189"/>
      <c r="L7" s="189"/>
      <c r="M7" s="189"/>
      <c r="N7" s="190">
        <f>SUM(D7:M7)</f>
        <v>56</v>
      </c>
    </row>
    <row r="8" spans="1:14" s="3" customFormat="1" ht="16.5" customHeight="1" x14ac:dyDescent="0.2">
      <c r="A8" s="10"/>
      <c r="B8" s="10"/>
      <c r="C8" s="191" t="s">
        <v>469</v>
      </c>
      <c r="D8" s="192">
        <f t="shared" ref="D8:N8" si="0">SUM(D6:D7)</f>
        <v>56</v>
      </c>
      <c r="E8" s="192">
        <f t="shared" si="0"/>
        <v>0</v>
      </c>
      <c r="F8" s="192">
        <f t="shared" si="0"/>
        <v>0</v>
      </c>
      <c r="G8" s="192">
        <f t="shared" si="0"/>
        <v>0</v>
      </c>
      <c r="H8" s="192">
        <f t="shared" si="0"/>
        <v>0</v>
      </c>
      <c r="I8" s="192">
        <f t="shared" si="0"/>
        <v>0</v>
      </c>
      <c r="J8" s="192">
        <f t="shared" si="0"/>
        <v>0</v>
      </c>
      <c r="K8" s="192">
        <f t="shared" si="0"/>
        <v>0</v>
      </c>
      <c r="L8" s="192">
        <f t="shared" si="0"/>
        <v>0</v>
      </c>
      <c r="M8" s="192">
        <f t="shared" si="0"/>
        <v>0</v>
      </c>
      <c r="N8" s="192">
        <f t="shared" si="0"/>
        <v>56</v>
      </c>
    </row>
    <row r="9" spans="1:14" s="3" customFormat="1" ht="12.95" customHeight="1" x14ac:dyDescent="0.2">
      <c r="A9" s="681">
        <v>1</v>
      </c>
      <c r="B9" s="681">
        <v>13</v>
      </c>
      <c r="C9" s="188" t="s">
        <v>467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90"/>
    </row>
    <row r="10" spans="1:14" s="3" customFormat="1" ht="12.95" customHeight="1" x14ac:dyDescent="0.2">
      <c r="A10" s="9"/>
      <c r="B10" s="9"/>
      <c r="C10" s="680" t="s">
        <v>674</v>
      </c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90"/>
    </row>
    <row r="11" spans="1:14" s="3" customFormat="1" ht="12.95" customHeight="1" x14ac:dyDescent="0.2">
      <c r="A11" s="9"/>
      <c r="B11" s="9"/>
      <c r="C11" s="92" t="s">
        <v>545</v>
      </c>
      <c r="D11" s="195"/>
      <c r="E11" s="189"/>
      <c r="F11" s="189"/>
      <c r="G11" s="189"/>
      <c r="H11" s="189"/>
      <c r="I11" s="189"/>
      <c r="J11" s="189"/>
      <c r="K11" s="189"/>
      <c r="L11" s="189"/>
      <c r="M11" s="189"/>
      <c r="N11" s="190"/>
    </row>
    <row r="12" spans="1:14" s="3" customFormat="1" ht="12.95" customHeight="1" x14ac:dyDescent="0.2">
      <c r="A12" s="9"/>
      <c r="B12" s="9"/>
      <c r="C12" s="31" t="s">
        <v>560</v>
      </c>
      <c r="D12" s="195">
        <v>50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90">
        <f>SUM(D12:M12)</f>
        <v>50</v>
      </c>
    </row>
    <row r="13" spans="1:14" s="3" customFormat="1" ht="12.95" customHeight="1" x14ac:dyDescent="0.2">
      <c r="A13" s="9"/>
      <c r="B13" s="9"/>
      <c r="C13" s="626" t="s">
        <v>676</v>
      </c>
      <c r="D13" s="609"/>
      <c r="E13" s="189"/>
      <c r="F13" s="189"/>
      <c r="G13" s="189"/>
      <c r="H13" s="189"/>
      <c r="I13" s="189"/>
      <c r="J13" s="189"/>
      <c r="K13" s="189"/>
      <c r="L13" s="189"/>
      <c r="M13" s="189"/>
      <c r="N13" s="190"/>
    </row>
    <row r="14" spans="1:14" s="3" customFormat="1" ht="15" customHeight="1" x14ac:dyDescent="0.2">
      <c r="A14" s="9"/>
      <c r="B14" s="9"/>
      <c r="C14" s="682" t="s">
        <v>543</v>
      </c>
      <c r="D14" s="605"/>
      <c r="E14" s="189"/>
      <c r="F14" s="189"/>
      <c r="G14" s="189"/>
      <c r="H14" s="189"/>
      <c r="I14" s="189"/>
      <c r="J14" s="189"/>
      <c r="K14" s="189"/>
      <c r="L14" s="189"/>
      <c r="M14" s="189"/>
      <c r="N14" s="190"/>
    </row>
    <row r="15" spans="1:14" s="3" customFormat="1" ht="24.95" customHeight="1" x14ac:dyDescent="0.2">
      <c r="A15" s="9"/>
      <c r="B15" s="9"/>
      <c r="C15" s="92" t="s">
        <v>1100</v>
      </c>
      <c r="D15" s="602">
        <v>600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90">
        <f>SUM(D15:M15)</f>
        <v>600</v>
      </c>
    </row>
    <row r="16" spans="1:14" s="3" customFormat="1" ht="18.75" customHeight="1" x14ac:dyDescent="0.2">
      <c r="A16" s="11"/>
      <c r="B16" s="11"/>
      <c r="C16" s="191" t="s">
        <v>470</v>
      </c>
      <c r="D16" s="192">
        <f t="shared" ref="D16:N16" si="1">SUM(D11:D15)</f>
        <v>650</v>
      </c>
      <c r="E16" s="192">
        <f t="shared" si="1"/>
        <v>0</v>
      </c>
      <c r="F16" s="192">
        <f t="shared" si="1"/>
        <v>0</v>
      </c>
      <c r="G16" s="192">
        <f t="shared" si="1"/>
        <v>0</v>
      </c>
      <c r="H16" s="192">
        <f t="shared" si="1"/>
        <v>0</v>
      </c>
      <c r="I16" s="192">
        <f t="shared" si="1"/>
        <v>0</v>
      </c>
      <c r="J16" s="192">
        <f t="shared" si="1"/>
        <v>0</v>
      </c>
      <c r="K16" s="192">
        <f t="shared" si="1"/>
        <v>0</v>
      </c>
      <c r="L16" s="192">
        <f t="shared" si="1"/>
        <v>0</v>
      </c>
      <c r="M16" s="192">
        <f t="shared" si="1"/>
        <v>0</v>
      </c>
      <c r="N16" s="192">
        <f t="shared" si="1"/>
        <v>650</v>
      </c>
    </row>
    <row r="17" spans="1:14" s="3" customFormat="1" ht="12.95" customHeight="1" x14ac:dyDescent="0.2">
      <c r="A17" s="681">
        <v>1</v>
      </c>
      <c r="B17" s="681">
        <v>15</v>
      </c>
      <c r="C17" s="188" t="s">
        <v>910</v>
      </c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90"/>
    </row>
    <row r="18" spans="1:14" s="3" customFormat="1" ht="12.95" customHeight="1" x14ac:dyDescent="0.2">
      <c r="A18" s="9"/>
      <c r="B18" s="9"/>
      <c r="C18" s="193" t="s">
        <v>930</v>
      </c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90"/>
    </row>
    <row r="19" spans="1:14" s="3" customFormat="1" ht="24" customHeight="1" x14ac:dyDescent="0.2">
      <c r="A19" s="9"/>
      <c r="B19" s="9"/>
      <c r="C19" s="290" t="s">
        <v>347</v>
      </c>
      <c r="D19" s="189"/>
      <c r="E19" s="189"/>
      <c r="F19" s="189"/>
      <c r="G19" s="189"/>
      <c r="H19" s="189"/>
      <c r="I19" s="189"/>
      <c r="J19" s="189">
        <v>400</v>
      </c>
      <c r="K19" s="189"/>
      <c r="L19" s="189"/>
      <c r="M19" s="189"/>
      <c r="N19" s="190">
        <f>SUM(D19:M19)</f>
        <v>400</v>
      </c>
    </row>
    <row r="20" spans="1:14" s="3" customFormat="1" ht="24" customHeight="1" x14ac:dyDescent="0.2">
      <c r="A20" s="9"/>
      <c r="B20" s="9"/>
      <c r="C20" s="587" t="s">
        <v>480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90"/>
    </row>
    <row r="21" spans="1:14" s="3" customFormat="1" ht="24" customHeight="1" x14ac:dyDescent="0.2">
      <c r="A21" s="9"/>
      <c r="B21" s="9"/>
      <c r="C21" s="597" t="s">
        <v>493</v>
      </c>
      <c r="D21" s="189">
        <v>735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90">
        <f>SUM(D21:M21)</f>
        <v>735</v>
      </c>
    </row>
    <row r="22" spans="1:14" s="3" customFormat="1" ht="24.95" customHeight="1" x14ac:dyDescent="0.2">
      <c r="A22" s="9"/>
      <c r="B22" s="9"/>
      <c r="C22" s="625" t="s">
        <v>482</v>
      </c>
      <c r="D22" s="598"/>
      <c r="E22" s="189"/>
      <c r="F22" s="189"/>
      <c r="G22" s="189"/>
      <c r="H22" s="189"/>
      <c r="I22" s="189"/>
      <c r="J22" s="189"/>
      <c r="K22" s="189"/>
      <c r="L22" s="189"/>
      <c r="M22" s="189"/>
      <c r="N22" s="190"/>
    </row>
    <row r="23" spans="1:14" s="3" customFormat="1" ht="24.95" customHeight="1" x14ac:dyDescent="0.2">
      <c r="A23" s="9"/>
      <c r="B23" s="9"/>
      <c r="C23" s="597" t="s">
        <v>3</v>
      </c>
      <c r="D23" s="189"/>
      <c r="E23" s="189"/>
      <c r="F23" s="189"/>
      <c r="G23" s="189">
        <v>22388</v>
      </c>
      <c r="H23" s="189"/>
      <c r="I23" s="189"/>
      <c r="J23" s="189"/>
      <c r="K23" s="189"/>
      <c r="L23" s="189"/>
      <c r="M23" s="189"/>
      <c r="N23" s="190">
        <f>SUM(D23:M23)</f>
        <v>22388</v>
      </c>
    </row>
    <row r="24" spans="1:14" s="3" customFormat="1" ht="15" customHeight="1" x14ac:dyDescent="0.2">
      <c r="A24" s="9"/>
      <c r="B24" s="9"/>
      <c r="C24" s="673" t="s">
        <v>1091</v>
      </c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90"/>
    </row>
    <row r="25" spans="1:14" s="3" customFormat="1" ht="24.95" customHeight="1" x14ac:dyDescent="0.2">
      <c r="A25" s="9"/>
      <c r="B25" s="9"/>
      <c r="C25" s="683" t="s">
        <v>1092</v>
      </c>
      <c r="D25" s="189"/>
      <c r="E25" s="189">
        <v>-33986</v>
      </c>
      <c r="F25" s="189"/>
      <c r="G25" s="189"/>
      <c r="H25" s="189"/>
      <c r="I25" s="189"/>
      <c r="J25" s="189"/>
      <c r="K25" s="189"/>
      <c r="L25" s="189"/>
      <c r="M25" s="189"/>
      <c r="N25" s="190">
        <f>SUM(D25:M25)</f>
        <v>-33986</v>
      </c>
    </row>
    <row r="26" spans="1:14" s="3" customFormat="1" ht="15" customHeight="1" x14ac:dyDescent="0.2">
      <c r="A26" s="9"/>
      <c r="B26" s="9"/>
      <c r="C26" s="674" t="s">
        <v>7</v>
      </c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0"/>
    </row>
    <row r="27" spans="1:14" s="3" customFormat="1" ht="24.95" customHeight="1" x14ac:dyDescent="0.2">
      <c r="A27" s="9"/>
      <c r="B27" s="9"/>
      <c r="C27" s="597" t="s">
        <v>6</v>
      </c>
      <c r="D27" s="189">
        <v>531</v>
      </c>
      <c r="E27" s="189"/>
      <c r="F27" s="189"/>
      <c r="G27" s="189"/>
      <c r="H27" s="189"/>
      <c r="I27" s="189"/>
      <c r="J27" s="200"/>
      <c r="K27" s="189"/>
      <c r="L27" s="189"/>
      <c r="M27" s="189"/>
      <c r="N27" s="190">
        <f>SUM(D27:M27)</f>
        <v>531</v>
      </c>
    </row>
    <row r="28" spans="1:14" s="3" customFormat="1" ht="18.75" customHeight="1" x14ac:dyDescent="0.2">
      <c r="A28" s="10"/>
      <c r="B28" s="10"/>
      <c r="C28" s="191" t="s">
        <v>821</v>
      </c>
      <c r="D28" s="192">
        <f>SUM(D18:D27)</f>
        <v>1266</v>
      </c>
      <c r="E28" s="192">
        <f t="shared" ref="E28:N28" si="2">SUM(E18:E27)</f>
        <v>-33986</v>
      </c>
      <c r="F28" s="192">
        <f t="shared" si="2"/>
        <v>0</v>
      </c>
      <c r="G28" s="192">
        <f t="shared" si="2"/>
        <v>22388</v>
      </c>
      <c r="H28" s="192">
        <f t="shared" si="2"/>
        <v>0</v>
      </c>
      <c r="I28" s="192">
        <f t="shared" si="2"/>
        <v>0</v>
      </c>
      <c r="J28" s="192">
        <f t="shared" si="2"/>
        <v>400</v>
      </c>
      <c r="K28" s="192">
        <f t="shared" si="2"/>
        <v>0</v>
      </c>
      <c r="L28" s="192">
        <f t="shared" si="2"/>
        <v>0</v>
      </c>
      <c r="M28" s="192">
        <f t="shared" si="2"/>
        <v>0</v>
      </c>
      <c r="N28" s="192">
        <f t="shared" si="2"/>
        <v>-9932</v>
      </c>
    </row>
    <row r="29" spans="1:14" s="3" customFormat="1" ht="12.95" customHeight="1" x14ac:dyDescent="0.2">
      <c r="A29" s="681">
        <v>1</v>
      </c>
      <c r="B29" s="681">
        <v>16</v>
      </c>
      <c r="C29" s="188" t="s">
        <v>657</v>
      </c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90"/>
    </row>
    <row r="30" spans="1:14" s="3" customFormat="1" ht="15" customHeight="1" x14ac:dyDescent="0.2">
      <c r="A30" s="9"/>
      <c r="B30" s="9"/>
      <c r="C30" s="649"/>
      <c r="D30" s="195"/>
      <c r="E30" s="189"/>
      <c r="F30" s="189"/>
      <c r="G30" s="189"/>
      <c r="H30" s="189"/>
      <c r="I30" s="189"/>
      <c r="J30" s="189"/>
      <c r="K30" s="189"/>
      <c r="L30" s="189"/>
      <c r="M30" s="189"/>
      <c r="N30" s="190"/>
    </row>
    <row r="31" spans="1:14" s="3" customFormat="1" ht="19.5" customHeight="1" x14ac:dyDescent="0.2">
      <c r="A31" s="11"/>
      <c r="B31" s="11"/>
      <c r="C31" s="191" t="s">
        <v>660</v>
      </c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</row>
    <row r="32" spans="1:14" s="3" customFormat="1" ht="12.95" customHeight="1" x14ac:dyDescent="0.2">
      <c r="A32" s="681">
        <v>1</v>
      </c>
      <c r="B32" s="681">
        <v>17</v>
      </c>
      <c r="C32" s="188" t="s">
        <v>911</v>
      </c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</row>
    <row r="33" spans="1:14" s="3" customFormat="1" ht="24.95" customHeight="1" x14ac:dyDescent="0.2">
      <c r="A33" s="9"/>
      <c r="B33" s="9"/>
      <c r="C33" s="603" t="s">
        <v>494</v>
      </c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90"/>
    </row>
    <row r="34" spans="1:14" s="3" customFormat="1" ht="15" customHeight="1" x14ac:dyDescent="0.2">
      <c r="A34" s="9"/>
      <c r="B34" s="9"/>
      <c r="C34" s="379" t="s">
        <v>349</v>
      </c>
      <c r="D34" s="189"/>
      <c r="E34" s="189"/>
      <c r="F34" s="189"/>
      <c r="G34" s="189"/>
      <c r="H34" s="189">
        <v>2500</v>
      </c>
      <c r="I34" s="189"/>
      <c r="J34" s="189"/>
      <c r="K34" s="189"/>
      <c r="L34" s="189"/>
      <c r="M34" s="189"/>
      <c r="N34" s="190">
        <f>SUM(D34:M34)</f>
        <v>2500</v>
      </c>
    </row>
    <row r="35" spans="1:14" s="3" customFormat="1" ht="15" customHeight="1" x14ac:dyDescent="0.2">
      <c r="A35" s="9"/>
      <c r="B35" s="9"/>
      <c r="C35" s="676" t="s">
        <v>338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90"/>
    </row>
    <row r="36" spans="1:14" s="3" customFormat="1" ht="24.95" customHeight="1" x14ac:dyDescent="0.2">
      <c r="A36" s="9"/>
      <c r="B36" s="9"/>
      <c r="C36" s="588" t="s">
        <v>495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</row>
    <row r="37" spans="1:14" s="3" customFormat="1" ht="24.95" customHeight="1" x14ac:dyDescent="0.2">
      <c r="A37" s="9"/>
      <c r="B37" s="9"/>
      <c r="C37" s="685" t="s">
        <v>1094</v>
      </c>
      <c r="D37" s="189"/>
      <c r="E37" s="189"/>
      <c r="F37" s="189"/>
      <c r="G37" s="189">
        <v>61342</v>
      </c>
      <c r="H37" s="189"/>
      <c r="I37" s="189"/>
      <c r="J37" s="189"/>
      <c r="K37" s="189"/>
      <c r="L37" s="189"/>
      <c r="M37" s="189"/>
      <c r="N37" s="190">
        <f>SUM(D37:M37)</f>
        <v>61342</v>
      </c>
    </row>
    <row r="38" spans="1:14" s="3" customFormat="1" ht="15" customHeight="1" x14ac:dyDescent="0.2">
      <c r="A38" s="9"/>
      <c r="B38" s="9"/>
      <c r="C38" s="675" t="s">
        <v>5</v>
      </c>
      <c r="D38" s="189"/>
      <c r="E38" s="189"/>
      <c r="F38" s="189"/>
      <c r="G38" s="189">
        <v>2500</v>
      </c>
      <c r="H38" s="189"/>
      <c r="I38" s="189"/>
      <c r="J38" s="189"/>
      <c r="K38" s="189"/>
      <c r="L38" s="189"/>
      <c r="M38" s="189"/>
      <c r="N38" s="190">
        <f>SUM(D38:M38)</f>
        <v>2500</v>
      </c>
    </row>
    <row r="39" spans="1:14" s="3" customFormat="1" ht="16.5" customHeight="1" x14ac:dyDescent="0.2">
      <c r="A39" s="10"/>
      <c r="B39" s="10"/>
      <c r="C39" s="191" t="s">
        <v>645</v>
      </c>
      <c r="D39" s="192">
        <f t="shared" ref="D39:N39" si="3">SUM(D33:D38)</f>
        <v>0</v>
      </c>
      <c r="E39" s="192">
        <f t="shared" si="3"/>
        <v>0</v>
      </c>
      <c r="F39" s="192">
        <f t="shared" si="3"/>
        <v>0</v>
      </c>
      <c r="G39" s="192">
        <f t="shared" si="3"/>
        <v>63842</v>
      </c>
      <c r="H39" s="192">
        <f t="shared" si="3"/>
        <v>2500</v>
      </c>
      <c r="I39" s="192">
        <f t="shared" si="3"/>
        <v>0</v>
      </c>
      <c r="J39" s="192">
        <f t="shared" si="3"/>
        <v>0</v>
      </c>
      <c r="K39" s="192">
        <f t="shared" si="3"/>
        <v>0</v>
      </c>
      <c r="L39" s="192">
        <f t="shared" si="3"/>
        <v>0</v>
      </c>
      <c r="M39" s="192">
        <f t="shared" si="3"/>
        <v>0</v>
      </c>
      <c r="N39" s="192">
        <f t="shared" si="3"/>
        <v>66342</v>
      </c>
    </row>
    <row r="40" spans="1:14" s="3" customFormat="1" ht="12.95" customHeight="1" x14ac:dyDescent="0.2">
      <c r="A40" s="681">
        <v>1</v>
      </c>
      <c r="B40" s="681">
        <v>18</v>
      </c>
      <c r="C40" s="188" t="s">
        <v>471</v>
      </c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90"/>
    </row>
    <row r="41" spans="1:14" s="3" customFormat="1" ht="12.95" customHeight="1" x14ac:dyDescent="0.2">
      <c r="A41" s="9"/>
      <c r="B41" s="9"/>
      <c r="C41" s="188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0">
        <f>SUM(D41:M41)</f>
        <v>0</v>
      </c>
    </row>
    <row r="42" spans="1:14" s="3" customFormat="1" ht="18.75" customHeight="1" x14ac:dyDescent="0.2">
      <c r="A42" s="11"/>
      <c r="B42" s="11"/>
      <c r="C42" s="191" t="s">
        <v>472</v>
      </c>
      <c r="D42" s="192">
        <f t="shared" ref="D42:N42" si="4">SUM(D41:D41)</f>
        <v>0</v>
      </c>
      <c r="E42" s="192">
        <f t="shared" si="4"/>
        <v>0</v>
      </c>
      <c r="F42" s="192">
        <f t="shared" si="4"/>
        <v>0</v>
      </c>
      <c r="G42" s="192">
        <f t="shared" si="4"/>
        <v>0</v>
      </c>
      <c r="H42" s="192">
        <f t="shared" si="4"/>
        <v>0</v>
      </c>
      <c r="I42" s="192">
        <f t="shared" si="4"/>
        <v>0</v>
      </c>
      <c r="J42" s="192">
        <f t="shared" si="4"/>
        <v>0</v>
      </c>
      <c r="K42" s="192">
        <f t="shared" si="4"/>
        <v>0</v>
      </c>
      <c r="L42" s="192">
        <f t="shared" si="4"/>
        <v>0</v>
      </c>
      <c r="M42" s="192">
        <f t="shared" si="4"/>
        <v>0</v>
      </c>
      <c r="N42" s="192">
        <f t="shared" si="4"/>
        <v>0</v>
      </c>
    </row>
    <row r="43" spans="1:14" s="3" customFormat="1" ht="15" customHeight="1" x14ac:dyDescent="0.2">
      <c r="A43" s="9">
        <v>1</v>
      </c>
      <c r="B43" s="9">
        <v>19</v>
      </c>
      <c r="C43" s="188" t="s">
        <v>912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0"/>
    </row>
    <row r="44" spans="1:14" s="3" customFormat="1" ht="24.95" customHeight="1" x14ac:dyDescent="0.2">
      <c r="A44" s="9"/>
      <c r="B44" s="9"/>
      <c r="C44" s="601" t="s">
        <v>496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0"/>
    </row>
    <row r="45" spans="1:14" s="3" customFormat="1" ht="39" customHeight="1" x14ac:dyDescent="0.2">
      <c r="A45" s="9"/>
      <c r="B45" s="9"/>
      <c r="C45" s="194" t="s">
        <v>465</v>
      </c>
      <c r="D45" s="189">
        <v>154936</v>
      </c>
      <c r="E45" s="189"/>
      <c r="F45" s="189"/>
      <c r="G45" s="189"/>
      <c r="H45" s="189"/>
      <c r="I45" s="189"/>
      <c r="J45" s="189"/>
      <c r="K45" s="189"/>
      <c r="L45" s="189"/>
      <c r="M45" s="189"/>
      <c r="N45" s="190">
        <f t="shared" ref="N45:N55" si="5">SUM(D45:M45)</f>
        <v>154936</v>
      </c>
    </row>
    <row r="46" spans="1:14" s="3" customFormat="1" ht="15" customHeight="1" x14ac:dyDescent="0.2">
      <c r="A46" s="9"/>
      <c r="B46" s="9"/>
      <c r="C46" s="14" t="s">
        <v>642</v>
      </c>
      <c r="D46" s="189">
        <v>7771</v>
      </c>
      <c r="E46" s="189"/>
      <c r="F46" s="189"/>
      <c r="G46" s="189"/>
      <c r="H46" s="189"/>
      <c r="I46" s="189"/>
      <c r="J46" s="189"/>
      <c r="K46" s="189"/>
      <c r="L46" s="189"/>
      <c r="M46" s="189"/>
      <c r="N46" s="190">
        <f t="shared" si="5"/>
        <v>7771</v>
      </c>
    </row>
    <row r="47" spans="1:14" s="3" customFormat="1" ht="15" customHeight="1" x14ac:dyDescent="0.2">
      <c r="A47" s="9"/>
      <c r="B47" s="9"/>
      <c r="C47" s="14" t="s">
        <v>941</v>
      </c>
      <c r="D47" s="195">
        <v>104724</v>
      </c>
      <c r="E47" s="189">
        <v>-77421</v>
      </c>
      <c r="F47" s="189"/>
      <c r="G47" s="189"/>
      <c r="H47" s="189"/>
      <c r="I47" s="189"/>
      <c r="J47" s="189"/>
      <c r="K47" s="189"/>
      <c r="L47" s="189"/>
      <c r="M47" s="189"/>
      <c r="N47" s="190">
        <f t="shared" si="5"/>
        <v>27303</v>
      </c>
    </row>
    <row r="48" spans="1:14" s="3" customFormat="1" ht="24.95" customHeight="1" x14ac:dyDescent="0.2">
      <c r="A48" s="9"/>
      <c r="B48" s="9"/>
      <c r="C48" s="679" t="s">
        <v>487</v>
      </c>
      <c r="D48" s="195"/>
      <c r="E48" s="189"/>
      <c r="F48" s="189"/>
      <c r="G48" s="189"/>
      <c r="H48" s="189"/>
      <c r="I48" s="189"/>
      <c r="J48" s="189"/>
      <c r="K48" s="189"/>
      <c r="L48" s="189"/>
      <c r="M48" s="189"/>
      <c r="N48" s="190"/>
    </row>
    <row r="49" spans="1:14" s="3" customFormat="1" ht="24.95" customHeight="1" x14ac:dyDescent="0.2">
      <c r="A49" s="9"/>
      <c r="B49" s="9"/>
      <c r="C49" s="202" t="s">
        <v>1097</v>
      </c>
      <c r="D49" s="195"/>
      <c r="E49" s="189"/>
      <c r="F49" s="189"/>
      <c r="G49" s="189"/>
      <c r="H49" s="189"/>
      <c r="I49" s="189"/>
      <c r="J49" s="189"/>
      <c r="K49" s="189">
        <v>-20000</v>
      </c>
      <c r="L49" s="189"/>
      <c r="M49" s="189"/>
      <c r="N49" s="190">
        <f t="shared" si="5"/>
        <v>-20000</v>
      </c>
    </row>
    <row r="50" spans="1:14" s="3" customFormat="1" ht="24.95" customHeight="1" x14ac:dyDescent="0.2">
      <c r="A50" s="9"/>
      <c r="B50" s="9"/>
      <c r="C50" s="604" t="s">
        <v>538</v>
      </c>
      <c r="D50" s="195"/>
      <c r="E50" s="189"/>
      <c r="F50" s="189"/>
      <c r="G50" s="189"/>
      <c r="H50" s="189"/>
      <c r="I50" s="189"/>
      <c r="J50" s="189"/>
      <c r="K50" s="189"/>
      <c r="L50" s="189"/>
      <c r="M50" s="189"/>
      <c r="N50" s="190">
        <f t="shared" si="5"/>
        <v>0</v>
      </c>
    </row>
    <row r="51" spans="1:14" s="3" customFormat="1" ht="15" customHeight="1" x14ac:dyDescent="0.2">
      <c r="A51" s="9"/>
      <c r="B51" s="9"/>
      <c r="C51" s="203" t="s">
        <v>923</v>
      </c>
      <c r="D51" s="195"/>
      <c r="E51" s="189"/>
      <c r="F51" s="189"/>
      <c r="G51" s="189">
        <v>7600</v>
      </c>
      <c r="H51" s="189"/>
      <c r="I51" s="189"/>
      <c r="J51" s="189"/>
      <c r="K51" s="189"/>
      <c r="L51" s="189"/>
      <c r="M51" s="189"/>
      <c r="N51" s="190">
        <f>SUM(D51:M51)</f>
        <v>7600</v>
      </c>
    </row>
    <row r="52" spans="1:14" s="3" customFormat="1" ht="24.95" customHeight="1" x14ac:dyDescent="0.2">
      <c r="A52" s="9"/>
      <c r="B52" s="9"/>
      <c r="C52" s="92" t="s">
        <v>497</v>
      </c>
      <c r="D52" s="195">
        <v>382</v>
      </c>
      <c r="E52" s="189"/>
      <c r="F52" s="189"/>
      <c r="G52" s="189"/>
      <c r="H52" s="189"/>
      <c r="I52" s="189"/>
      <c r="J52" s="189"/>
      <c r="K52" s="189"/>
      <c r="L52" s="189"/>
      <c r="M52" s="189"/>
      <c r="N52" s="190">
        <f>SUM(D52:M52)</f>
        <v>382</v>
      </c>
    </row>
    <row r="53" spans="1:14" s="3" customFormat="1" ht="24.95" customHeight="1" x14ac:dyDescent="0.2">
      <c r="A53" s="9"/>
      <c r="B53" s="9"/>
      <c r="C53" s="604" t="s">
        <v>495</v>
      </c>
      <c r="D53" s="195"/>
      <c r="E53" s="189"/>
      <c r="F53" s="189"/>
      <c r="G53" s="189"/>
      <c r="H53" s="189"/>
      <c r="I53" s="189"/>
      <c r="J53" s="189"/>
      <c r="K53" s="189"/>
      <c r="L53" s="189"/>
      <c r="M53" s="189"/>
      <c r="N53" s="190"/>
    </row>
    <row r="54" spans="1:14" s="3" customFormat="1" ht="24.95" customHeight="1" x14ac:dyDescent="0.2">
      <c r="A54" s="9"/>
      <c r="B54" s="9"/>
      <c r="C54" s="194" t="s">
        <v>1096</v>
      </c>
      <c r="D54" s="195"/>
      <c r="E54" s="189"/>
      <c r="F54" s="189"/>
      <c r="G54" s="189"/>
      <c r="H54" s="189"/>
      <c r="I54" s="189"/>
      <c r="J54" s="189"/>
      <c r="K54" s="189"/>
      <c r="L54" s="189">
        <v>14000</v>
      </c>
      <c r="M54" s="189"/>
      <c r="N54" s="190">
        <f t="shared" si="5"/>
        <v>14000</v>
      </c>
    </row>
    <row r="55" spans="1:14" s="3" customFormat="1" ht="15" customHeight="1" x14ac:dyDescent="0.2">
      <c r="A55" s="9"/>
      <c r="B55" s="9"/>
      <c r="C55" s="196" t="s">
        <v>1095</v>
      </c>
      <c r="D55" s="195"/>
      <c r="E55" s="189"/>
      <c r="F55" s="189"/>
      <c r="G55" s="189">
        <v>161359</v>
      </c>
      <c r="H55" s="189"/>
      <c r="I55" s="189"/>
      <c r="J55" s="189"/>
      <c r="K55" s="189"/>
      <c r="L55" s="189"/>
      <c r="M55" s="189"/>
      <c r="N55" s="190">
        <f t="shared" si="5"/>
        <v>161359</v>
      </c>
    </row>
    <row r="56" spans="1:14" s="3" customFormat="1" ht="12.95" customHeight="1" x14ac:dyDescent="0.2">
      <c r="A56" s="11"/>
      <c r="B56" s="10"/>
      <c r="C56" s="191" t="s">
        <v>913</v>
      </c>
      <c r="D56" s="192">
        <f t="shared" ref="D56:N56" si="6">SUM(D43:D55)</f>
        <v>267813</v>
      </c>
      <c r="E56" s="192">
        <f t="shared" si="6"/>
        <v>-77421</v>
      </c>
      <c r="F56" s="192">
        <f t="shared" si="6"/>
        <v>0</v>
      </c>
      <c r="G56" s="192">
        <f t="shared" si="6"/>
        <v>168959</v>
      </c>
      <c r="H56" s="192">
        <f t="shared" si="6"/>
        <v>0</v>
      </c>
      <c r="I56" s="192">
        <f t="shared" si="6"/>
        <v>0</v>
      </c>
      <c r="J56" s="192">
        <f t="shared" si="6"/>
        <v>0</v>
      </c>
      <c r="K56" s="192">
        <f t="shared" si="6"/>
        <v>-20000</v>
      </c>
      <c r="L56" s="192">
        <f t="shared" si="6"/>
        <v>14000</v>
      </c>
      <c r="M56" s="192">
        <f t="shared" si="6"/>
        <v>0</v>
      </c>
      <c r="N56" s="192">
        <f t="shared" si="6"/>
        <v>353351</v>
      </c>
    </row>
    <row r="57" spans="1:14" s="3" customFormat="1" ht="12.95" customHeight="1" x14ac:dyDescent="0.2">
      <c r="A57" s="80">
        <v>1</v>
      </c>
      <c r="B57" s="80">
        <v>20</v>
      </c>
      <c r="C57" s="197" t="s">
        <v>823</v>
      </c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 s="3" customFormat="1" ht="12.95" customHeight="1" x14ac:dyDescent="0.2">
      <c r="A58" s="114"/>
      <c r="B58" s="114"/>
      <c r="C58" s="199"/>
      <c r="D58" s="198"/>
      <c r="E58" s="198"/>
      <c r="F58" s="200"/>
      <c r="G58" s="198"/>
      <c r="H58" s="198"/>
      <c r="I58" s="198"/>
      <c r="J58" s="198"/>
      <c r="K58" s="198"/>
      <c r="L58" s="198"/>
      <c r="M58" s="198"/>
      <c r="N58" s="198">
        <f>SUM(D58:M58)</f>
        <v>0</v>
      </c>
    </row>
    <row r="59" spans="1:14" s="3" customFormat="1" ht="12.95" customHeight="1" x14ac:dyDescent="0.2">
      <c r="A59" s="11"/>
      <c r="B59" s="10"/>
      <c r="C59" s="191" t="s">
        <v>473</v>
      </c>
      <c r="D59" s="192">
        <f t="shared" ref="D59:N59" si="7">SUM(D57:D58)</f>
        <v>0</v>
      </c>
      <c r="E59" s="192">
        <f t="shared" si="7"/>
        <v>0</v>
      </c>
      <c r="F59" s="192">
        <f t="shared" si="7"/>
        <v>0</v>
      </c>
      <c r="G59" s="192">
        <f t="shared" si="7"/>
        <v>0</v>
      </c>
      <c r="H59" s="192">
        <f t="shared" si="7"/>
        <v>0</v>
      </c>
      <c r="I59" s="192">
        <f t="shared" si="7"/>
        <v>0</v>
      </c>
      <c r="J59" s="192">
        <f t="shared" si="7"/>
        <v>0</v>
      </c>
      <c r="K59" s="192">
        <f t="shared" si="7"/>
        <v>0</v>
      </c>
      <c r="L59" s="192">
        <f t="shared" si="7"/>
        <v>0</v>
      </c>
      <c r="M59" s="192">
        <f t="shared" si="7"/>
        <v>0</v>
      </c>
      <c r="N59" s="192">
        <f t="shared" si="7"/>
        <v>0</v>
      </c>
    </row>
    <row r="60" spans="1:14" s="3" customFormat="1" ht="12.95" customHeight="1" x14ac:dyDescent="0.2">
      <c r="A60" s="80">
        <v>1</v>
      </c>
      <c r="B60" s="80">
        <v>22</v>
      </c>
      <c r="C60" s="197" t="s">
        <v>474</v>
      </c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</row>
    <row r="61" spans="1:14" s="3" customFormat="1" ht="24.95" customHeight="1" x14ac:dyDescent="0.2">
      <c r="A61" s="114"/>
      <c r="B61" s="114"/>
      <c r="C61" s="587" t="s">
        <v>489</v>
      </c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</row>
    <row r="62" spans="1:14" s="3" customFormat="1" ht="12.95" customHeight="1" x14ac:dyDescent="0.2">
      <c r="A62" s="114"/>
      <c r="B62" s="80"/>
      <c r="C62" s="32" t="s">
        <v>4</v>
      </c>
      <c r="D62" s="198"/>
      <c r="E62" s="200"/>
      <c r="F62" s="200"/>
      <c r="G62" s="200"/>
      <c r="H62" s="200"/>
      <c r="I62" s="200">
        <v>500</v>
      </c>
      <c r="J62" s="200"/>
      <c r="K62" s="200"/>
      <c r="L62" s="200"/>
      <c r="M62" s="200"/>
      <c r="N62" s="200">
        <f>SUM(D62:M62)</f>
        <v>500</v>
      </c>
    </row>
    <row r="63" spans="1:14" s="3" customFormat="1" ht="12.95" customHeight="1" x14ac:dyDescent="0.2">
      <c r="A63" s="11"/>
      <c r="B63" s="10"/>
      <c r="C63" s="191" t="s">
        <v>475</v>
      </c>
      <c r="D63" s="192">
        <f t="shared" ref="D63:N63" si="8">SUM(D62:D62)</f>
        <v>0</v>
      </c>
      <c r="E63" s="192">
        <f t="shared" si="8"/>
        <v>0</v>
      </c>
      <c r="F63" s="192">
        <f t="shared" si="8"/>
        <v>0</v>
      </c>
      <c r="G63" s="192">
        <f t="shared" si="8"/>
        <v>0</v>
      </c>
      <c r="H63" s="192">
        <f t="shared" si="8"/>
        <v>0</v>
      </c>
      <c r="I63" s="192">
        <f t="shared" si="8"/>
        <v>500</v>
      </c>
      <c r="J63" s="192">
        <f t="shared" si="8"/>
        <v>0</v>
      </c>
      <c r="K63" s="192">
        <f t="shared" si="8"/>
        <v>0</v>
      </c>
      <c r="L63" s="192">
        <f t="shared" si="8"/>
        <v>0</v>
      </c>
      <c r="M63" s="192">
        <f t="shared" si="8"/>
        <v>0</v>
      </c>
      <c r="N63" s="192">
        <f t="shared" si="8"/>
        <v>500</v>
      </c>
    </row>
    <row r="64" spans="1:14" s="3" customFormat="1" ht="26.1" customHeight="1" x14ac:dyDescent="0.2">
      <c r="A64" s="10"/>
      <c r="B64" s="10"/>
      <c r="C64" s="201" t="s">
        <v>684</v>
      </c>
      <c r="D64" s="192">
        <f t="shared" ref="D64:N64" si="9">SUM(D8+D16+D28+D31+D39+D42+D56+D59+D63)</f>
        <v>269785</v>
      </c>
      <c r="E64" s="192">
        <f t="shared" si="9"/>
        <v>-111407</v>
      </c>
      <c r="F64" s="192">
        <f t="shared" si="9"/>
        <v>0</v>
      </c>
      <c r="G64" s="192">
        <f t="shared" si="9"/>
        <v>255189</v>
      </c>
      <c r="H64" s="192">
        <f t="shared" si="9"/>
        <v>2500</v>
      </c>
      <c r="I64" s="192">
        <f t="shared" si="9"/>
        <v>500</v>
      </c>
      <c r="J64" s="192">
        <f t="shared" si="9"/>
        <v>400</v>
      </c>
      <c r="K64" s="192">
        <f t="shared" si="9"/>
        <v>-20000</v>
      </c>
      <c r="L64" s="192">
        <f t="shared" si="9"/>
        <v>14000</v>
      </c>
      <c r="M64" s="192">
        <f t="shared" si="9"/>
        <v>0</v>
      </c>
      <c r="N64" s="192">
        <f t="shared" si="9"/>
        <v>410967</v>
      </c>
    </row>
    <row r="65" spans="1:14" s="3" customFormat="1" ht="15" customHeight="1" x14ac:dyDescent="0.2">
      <c r="A65" s="114">
        <v>2</v>
      </c>
      <c r="B65" s="80"/>
      <c r="C65" s="199" t="s">
        <v>681</v>
      </c>
      <c r="D65" s="200">
        <f>táj.1.!C20</f>
        <v>35902</v>
      </c>
      <c r="E65" s="200">
        <f>táj.1.!D20</f>
        <v>18200</v>
      </c>
      <c r="F65" s="200">
        <f>táj.1.!E20</f>
        <v>0</v>
      </c>
      <c r="G65" s="200">
        <f>táj.1.!F20</f>
        <v>3190</v>
      </c>
      <c r="H65" s="200">
        <f>táj.1.!G20</f>
        <v>400</v>
      </c>
      <c r="I65" s="200">
        <f>táj.1.!H20</f>
        <v>60</v>
      </c>
      <c r="J65" s="200">
        <f>táj.1.!I20</f>
        <v>0</v>
      </c>
      <c r="K65" s="200"/>
      <c r="L65" s="200">
        <f>táj.1.!J20</f>
        <v>0</v>
      </c>
      <c r="M65" s="200">
        <f>táj.1.!L20</f>
        <v>0</v>
      </c>
      <c r="N65" s="200">
        <f>SUM(D65:M65)</f>
        <v>57752</v>
      </c>
    </row>
    <row r="66" spans="1:14" s="3" customFormat="1" ht="15" customHeight="1" x14ac:dyDescent="0.2">
      <c r="A66" s="10"/>
      <c r="B66" s="10"/>
      <c r="C66" s="191" t="s">
        <v>651</v>
      </c>
      <c r="D66" s="192">
        <f t="shared" ref="D66:N66" si="10">SUM(D64:D65)</f>
        <v>305687</v>
      </c>
      <c r="E66" s="192">
        <f t="shared" si="10"/>
        <v>-93207</v>
      </c>
      <c r="F66" s="192">
        <f t="shared" si="10"/>
        <v>0</v>
      </c>
      <c r="G66" s="192">
        <f t="shared" si="10"/>
        <v>258379</v>
      </c>
      <c r="H66" s="192">
        <f t="shared" si="10"/>
        <v>2900</v>
      </c>
      <c r="I66" s="192">
        <f t="shared" si="10"/>
        <v>560</v>
      </c>
      <c r="J66" s="192">
        <f t="shared" si="10"/>
        <v>400</v>
      </c>
      <c r="K66" s="192">
        <f t="shared" si="10"/>
        <v>-20000</v>
      </c>
      <c r="L66" s="192">
        <f t="shared" si="10"/>
        <v>14000</v>
      </c>
      <c r="M66" s="192">
        <f t="shared" si="10"/>
        <v>0</v>
      </c>
      <c r="N66" s="192">
        <f t="shared" si="10"/>
        <v>468719</v>
      </c>
    </row>
    <row r="67" spans="1:14" s="3" customFormat="1" ht="14.1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1:14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1:14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127"/>
    </row>
    <row r="71" spans="1:14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</row>
    <row r="72" spans="1:14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1:14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1:14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</row>
    <row r="78" spans="1:14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</row>
    <row r="79" spans="1:14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3:14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3:14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3:14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3:14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3:14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3:14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3:14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3:14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3:14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3:14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3:14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3:14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</sheetData>
  <mergeCells count="3">
    <mergeCell ref="D1:J1"/>
    <mergeCell ref="K1:M1"/>
    <mergeCell ref="N1:N2"/>
  </mergeCells>
  <phoneticPr fontId="20" type="noConversion"/>
  <printOptions horizontalCentered="1" verticalCentered="1"/>
  <pageMargins left="0.11811023622047245" right="0.11811023622047245" top="1.1811023622047245" bottom="0.70866141732283472" header="0.59055118110236227" footer="0.51181102362204722"/>
  <pageSetup paperSize="9" scale="90" orientation="landscape" r:id="rId1"/>
  <headerFooter alignWithMargins="0">
    <oddHeader>&amp;C&amp;"Times New Roman,Normál"ZALAEGERSZEG MEGYEI JOGÚ VÁROS ÖNKORMÁNYZATA
2014. ÉVI BEVÉTELI ELŐIRÁNYZATAINAK  MÓDOSÍTÁSA A II. NEGYEDÉVBEN&amp;R&amp;"Times New Roman,Normál"11.  melléklet
Adatok: ezer Ft-ban</oddHeader>
    <oddFooter>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3"/>
  <sheetViews>
    <sheetView tabSelected="1" zoomScaleNormal="100" zoomScaleSheetLayoutView="120" workbookViewId="0">
      <pane ySplit="2" topLeftCell="A114" activePane="bottomLeft" state="frozen"/>
      <selection pane="bottomLeft" activeCell="C123" sqref="C123"/>
    </sheetView>
  </sheetViews>
  <sheetFormatPr defaultRowHeight="12" x14ac:dyDescent="0.2"/>
  <cols>
    <col min="1" max="1" width="5.1640625" style="16" customWidth="1"/>
    <col min="2" max="2" width="5.83203125" style="16" customWidth="1"/>
    <col min="3" max="3" width="9.33203125" style="16"/>
    <col min="4" max="4" width="35.1640625" style="16" customWidth="1"/>
    <col min="5" max="5" width="4.33203125" style="16" customWidth="1"/>
    <col min="6" max="6" width="10.1640625" style="16" customWidth="1"/>
    <col min="7" max="7" width="11" style="16" customWidth="1"/>
    <col min="8" max="8" width="10" style="16" customWidth="1"/>
    <col min="9" max="10" width="9.33203125" style="16"/>
    <col min="11" max="11" width="10.1640625" style="16" customWidth="1"/>
    <col min="12" max="12" width="9.33203125" style="16"/>
    <col min="13" max="13" width="11" style="16" bestFit="1" customWidth="1"/>
    <col min="14" max="14" width="10.1640625" style="16" customWidth="1"/>
    <col min="15" max="15" width="9.83203125" style="16" bestFit="1" customWidth="1"/>
    <col min="16" max="16" width="10.5" style="16" customWidth="1"/>
    <col min="17" max="17" width="7.6640625" style="16" customWidth="1"/>
    <col min="18" max="16384" width="9.33203125" style="16"/>
  </cols>
  <sheetData>
    <row r="1" spans="1:17" s="15" customFormat="1" ht="24.95" customHeight="1" x14ac:dyDescent="0.2">
      <c r="A1" s="802" t="s">
        <v>914</v>
      </c>
      <c r="B1" s="804" t="s">
        <v>915</v>
      </c>
      <c r="C1" s="805" t="s">
        <v>905</v>
      </c>
      <c r="D1" s="806"/>
      <c r="E1" s="829" t="s">
        <v>678</v>
      </c>
      <c r="F1" s="831"/>
      <c r="G1" s="832"/>
      <c r="H1" s="832"/>
      <c r="I1" s="832"/>
      <c r="J1" s="832"/>
      <c r="K1" s="832"/>
      <c r="L1" s="832"/>
      <c r="M1" s="832"/>
      <c r="N1" s="700" t="s">
        <v>970</v>
      </c>
      <c r="O1" s="700"/>
      <c r="P1" s="828" t="s">
        <v>908</v>
      </c>
      <c r="Q1" s="824" t="s">
        <v>820</v>
      </c>
    </row>
    <row r="2" spans="1:17" ht="63.75" customHeight="1" x14ac:dyDescent="0.2">
      <c r="A2" s="803"/>
      <c r="B2" s="755"/>
      <c r="C2" s="807"/>
      <c r="D2" s="808"/>
      <c r="E2" s="830"/>
      <c r="F2" s="165" t="s">
        <v>435</v>
      </c>
      <c r="G2" s="165" t="s">
        <v>546</v>
      </c>
      <c r="H2" s="165" t="s">
        <v>667</v>
      </c>
      <c r="I2" s="165" t="s">
        <v>916</v>
      </c>
      <c r="J2" s="165" t="s">
        <v>438</v>
      </c>
      <c r="K2" s="165" t="s">
        <v>457</v>
      </c>
      <c r="L2" s="165" t="s">
        <v>458</v>
      </c>
      <c r="M2" s="165" t="s">
        <v>459</v>
      </c>
      <c r="N2" s="165" t="s">
        <v>385</v>
      </c>
      <c r="O2" s="538" t="s">
        <v>386</v>
      </c>
      <c r="P2" s="741"/>
      <c r="Q2" s="825"/>
    </row>
    <row r="3" spans="1:17" ht="14.1" customHeight="1" x14ac:dyDescent="0.2">
      <c r="A3" s="526">
        <v>1</v>
      </c>
      <c r="B3" s="526"/>
      <c r="C3" s="527" t="s">
        <v>680</v>
      </c>
      <c r="D3" s="19"/>
      <c r="E3" s="528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30"/>
      <c r="Q3" s="531"/>
    </row>
    <row r="4" spans="1:17" ht="14.1" customHeight="1" x14ac:dyDescent="0.2">
      <c r="A4" s="17">
        <v>1</v>
      </c>
      <c r="B4" s="17">
        <v>1</v>
      </c>
      <c r="C4" s="18" t="s">
        <v>468</v>
      </c>
      <c r="D4" s="19"/>
      <c r="E4" s="41"/>
      <c r="F4" s="20"/>
      <c r="G4" s="20"/>
      <c r="H4" s="20"/>
      <c r="I4" s="20"/>
      <c r="J4" s="20"/>
      <c r="K4" s="20"/>
      <c r="L4" s="20"/>
      <c r="M4" s="20"/>
      <c r="N4" s="20"/>
      <c r="O4" s="20"/>
      <c r="P4" s="28"/>
      <c r="Q4" s="532"/>
    </row>
    <row r="5" spans="1:17" ht="14.1" customHeight="1" x14ac:dyDescent="0.2">
      <c r="A5" s="17">
        <v>1</v>
      </c>
      <c r="B5" s="17">
        <v>12</v>
      </c>
      <c r="C5" s="826" t="s">
        <v>536</v>
      </c>
      <c r="D5" s="833"/>
      <c r="E5" s="41"/>
      <c r="F5" s="20"/>
      <c r="G5" s="20"/>
      <c r="H5" s="20"/>
      <c r="I5" s="20"/>
      <c r="J5" s="20"/>
      <c r="K5" s="20"/>
      <c r="L5" s="20"/>
      <c r="M5" s="20"/>
      <c r="N5" s="20"/>
      <c r="O5" s="20"/>
      <c r="P5" s="28"/>
      <c r="Q5" s="532"/>
    </row>
    <row r="6" spans="1:17" ht="14.1" customHeight="1" x14ac:dyDescent="0.2">
      <c r="A6" s="17"/>
      <c r="B6" s="17"/>
      <c r="C6" s="826" t="s">
        <v>516</v>
      </c>
      <c r="D6" s="827"/>
      <c r="E6" s="206">
        <v>1</v>
      </c>
      <c r="F6" s="162"/>
      <c r="G6" s="162"/>
      <c r="H6" s="162"/>
      <c r="I6" s="162">
        <v>34197</v>
      </c>
      <c r="J6" s="162"/>
      <c r="K6" s="162"/>
      <c r="L6" s="20"/>
      <c r="M6" s="20"/>
      <c r="N6" s="20"/>
      <c r="O6" s="20"/>
      <c r="P6" s="28">
        <f>SUM(F6:O6)</f>
        <v>34197</v>
      </c>
      <c r="Q6" s="532" t="s">
        <v>693</v>
      </c>
    </row>
    <row r="7" spans="1:17" ht="14.1" customHeight="1" x14ac:dyDescent="0.2">
      <c r="A7" s="17"/>
      <c r="B7" s="17"/>
      <c r="C7" s="28" t="s">
        <v>942</v>
      </c>
      <c r="D7" s="113"/>
      <c r="E7" s="206">
        <v>1</v>
      </c>
      <c r="F7" s="162"/>
      <c r="G7" s="162"/>
      <c r="H7" s="162"/>
      <c r="I7" s="162">
        <v>86468</v>
      </c>
      <c r="J7" s="162"/>
      <c r="K7" s="162"/>
      <c r="L7" s="20"/>
      <c r="M7" s="20"/>
      <c r="N7" s="20"/>
      <c r="O7" s="20"/>
      <c r="P7" s="28">
        <f>SUM(F7:O7)</f>
        <v>86468</v>
      </c>
      <c r="Q7" s="532" t="s">
        <v>693</v>
      </c>
    </row>
    <row r="8" spans="1:17" ht="14.1" customHeight="1" x14ac:dyDescent="0.2">
      <c r="A8" s="17"/>
      <c r="B8" s="17"/>
      <c r="C8" s="762" t="s">
        <v>537</v>
      </c>
      <c r="D8" s="763"/>
      <c r="E8" s="206"/>
      <c r="F8" s="162"/>
      <c r="G8" s="162"/>
      <c r="H8" s="162"/>
      <c r="I8" s="162"/>
      <c r="J8" s="162"/>
      <c r="K8" s="162"/>
      <c r="L8" s="20"/>
      <c r="M8" s="20"/>
      <c r="N8" s="20"/>
      <c r="O8" s="20"/>
      <c r="P8" s="28"/>
      <c r="Q8" s="532"/>
    </row>
    <row r="9" spans="1:17" ht="14.1" customHeight="1" x14ac:dyDescent="0.2">
      <c r="A9" s="17"/>
      <c r="B9" s="17"/>
      <c r="C9" s="28" t="s">
        <v>932</v>
      </c>
      <c r="D9" s="594"/>
      <c r="E9" s="206">
        <v>1</v>
      </c>
      <c r="F9" s="162"/>
      <c r="G9" s="162"/>
      <c r="H9" s="162"/>
      <c r="I9" s="162">
        <v>36961</v>
      </c>
      <c r="J9" s="162"/>
      <c r="K9" s="162"/>
      <c r="L9" s="20"/>
      <c r="M9" s="20"/>
      <c r="N9" s="20"/>
      <c r="O9" s="20"/>
      <c r="P9" s="28">
        <f>SUM(F9:O9)</f>
        <v>36961</v>
      </c>
      <c r="Q9" s="532" t="s">
        <v>693</v>
      </c>
    </row>
    <row r="10" spans="1:17" ht="14.1" customHeight="1" x14ac:dyDescent="0.2">
      <c r="A10" s="17"/>
      <c r="B10" s="17"/>
      <c r="C10" s="28" t="s">
        <v>932</v>
      </c>
      <c r="D10" s="594"/>
      <c r="E10" s="206">
        <v>1</v>
      </c>
      <c r="F10" s="162"/>
      <c r="G10" s="162"/>
      <c r="H10" s="162"/>
      <c r="I10" s="162">
        <v>1800</v>
      </c>
      <c r="J10" s="162"/>
      <c r="K10" s="162"/>
      <c r="L10" s="20"/>
      <c r="M10" s="20"/>
      <c r="N10" s="20"/>
      <c r="O10" s="20"/>
      <c r="P10" s="28">
        <f>SUM(F10:O10)</f>
        <v>1800</v>
      </c>
      <c r="Q10" s="532" t="s">
        <v>693</v>
      </c>
    </row>
    <row r="11" spans="1:17" ht="14.1" customHeight="1" x14ac:dyDescent="0.2">
      <c r="A11" s="17"/>
      <c r="B11" s="17"/>
      <c r="C11" s="762" t="s">
        <v>940</v>
      </c>
      <c r="D11" s="763"/>
      <c r="E11" s="206"/>
      <c r="F11" s="162"/>
      <c r="G11" s="162"/>
      <c r="H11" s="162"/>
      <c r="I11" s="162"/>
      <c r="J11" s="162"/>
      <c r="K11" s="162"/>
      <c r="L11" s="20"/>
      <c r="M11" s="20"/>
      <c r="N11" s="20"/>
      <c r="O11" s="20"/>
      <c r="P11" s="28"/>
      <c r="Q11" s="532"/>
    </row>
    <row r="12" spans="1:17" ht="14.1" customHeight="1" x14ac:dyDescent="0.2">
      <c r="A12" s="17"/>
      <c r="B12" s="17"/>
      <c r="C12" s="28" t="s">
        <v>936</v>
      </c>
      <c r="D12" s="113"/>
      <c r="E12" s="206">
        <v>1</v>
      </c>
      <c r="F12" s="162"/>
      <c r="G12" s="162"/>
      <c r="H12" s="162"/>
      <c r="I12" s="162">
        <v>56</v>
      </c>
      <c r="J12" s="162"/>
      <c r="K12" s="162"/>
      <c r="L12" s="20"/>
      <c r="M12" s="20"/>
      <c r="N12" s="20"/>
      <c r="O12" s="20"/>
      <c r="P12" s="28">
        <f>SUM(F12:O12)</f>
        <v>56</v>
      </c>
      <c r="Q12" s="532" t="s">
        <v>693</v>
      </c>
    </row>
    <row r="13" spans="1:17" ht="24.95" customHeight="1" x14ac:dyDescent="0.2">
      <c r="A13" s="17"/>
      <c r="B13" s="17"/>
      <c r="C13" s="756" t="s">
        <v>455</v>
      </c>
      <c r="D13" s="757"/>
      <c r="E13" s="206"/>
      <c r="F13" s="162"/>
      <c r="G13" s="162"/>
      <c r="H13" s="162"/>
      <c r="I13" s="162"/>
      <c r="J13" s="162"/>
      <c r="K13" s="162"/>
      <c r="L13" s="20"/>
      <c r="M13" s="20"/>
      <c r="N13" s="20"/>
      <c r="O13" s="20"/>
      <c r="P13" s="28"/>
      <c r="Q13" s="532"/>
    </row>
    <row r="14" spans="1:17" ht="14.1" customHeight="1" x14ac:dyDescent="0.2">
      <c r="A14" s="17"/>
      <c r="B14" s="17"/>
      <c r="C14" s="28" t="s">
        <v>445</v>
      </c>
      <c r="D14" s="113"/>
      <c r="E14" s="206">
        <v>1</v>
      </c>
      <c r="F14" s="162"/>
      <c r="G14" s="162"/>
      <c r="H14" s="162"/>
      <c r="I14" s="162">
        <v>110</v>
      </c>
      <c r="J14" s="162"/>
      <c r="K14" s="162"/>
      <c r="L14" s="20"/>
      <c r="M14" s="20"/>
      <c r="N14" s="20"/>
      <c r="O14" s="20"/>
      <c r="P14" s="28">
        <f>SUM(F14:O14)</f>
        <v>110</v>
      </c>
      <c r="Q14" s="532" t="s">
        <v>693</v>
      </c>
    </row>
    <row r="15" spans="1:17" ht="14.1" customHeight="1" x14ac:dyDescent="0.2">
      <c r="A15" s="17"/>
      <c r="B15" s="17"/>
      <c r="C15" s="762" t="s">
        <v>537</v>
      </c>
      <c r="D15" s="763"/>
      <c r="E15" s="206">
        <v>1</v>
      </c>
      <c r="F15" s="162"/>
      <c r="G15" s="162"/>
      <c r="H15" s="162"/>
      <c r="I15" s="162"/>
      <c r="J15" s="162"/>
      <c r="K15" s="162"/>
      <c r="L15" s="20"/>
      <c r="M15" s="20"/>
      <c r="N15" s="20"/>
      <c r="O15" s="20"/>
      <c r="P15" s="28"/>
      <c r="Q15" s="532"/>
    </row>
    <row r="16" spans="1:17" ht="14.1" customHeight="1" x14ac:dyDescent="0.2">
      <c r="A16" s="17"/>
      <c r="B16" s="17"/>
      <c r="C16" s="762" t="s">
        <v>517</v>
      </c>
      <c r="D16" s="764"/>
      <c r="E16" s="206">
        <v>1</v>
      </c>
      <c r="F16" s="162"/>
      <c r="G16" s="162"/>
      <c r="H16" s="162"/>
      <c r="I16" s="162">
        <v>13604</v>
      </c>
      <c r="J16" s="162"/>
      <c r="K16" s="162"/>
      <c r="L16" s="20"/>
      <c r="M16" s="20"/>
      <c r="N16" s="20"/>
      <c r="O16" s="20"/>
      <c r="P16" s="28">
        <f>SUM(F16:O16)</f>
        <v>13604</v>
      </c>
      <c r="Q16" s="532" t="s">
        <v>693</v>
      </c>
    </row>
    <row r="17" spans="1:17" ht="24.95" customHeight="1" x14ac:dyDescent="0.2">
      <c r="A17" s="17"/>
      <c r="B17" s="17"/>
      <c r="C17" s="758" t="s">
        <v>109</v>
      </c>
      <c r="D17" s="759"/>
      <c r="E17" s="207"/>
      <c r="F17" s="162"/>
      <c r="G17" s="162"/>
      <c r="H17" s="162"/>
      <c r="I17" s="162"/>
      <c r="J17" s="162"/>
      <c r="K17" s="162"/>
      <c r="L17" s="20"/>
      <c r="M17" s="20"/>
      <c r="N17" s="20"/>
      <c r="O17" s="20"/>
      <c r="P17" s="28"/>
      <c r="Q17" s="532"/>
    </row>
    <row r="18" spans="1:17" ht="14.1" customHeight="1" x14ac:dyDescent="0.2">
      <c r="A18" s="17"/>
      <c r="B18" s="17"/>
      <c r="C18" s="178" t="s">
        <v>344</v>
      </c>
      <c r="D18" s="30"/>
      <c r="E18" s="207">
        <v>2</v>
      </c>
      <c r="F18" s="162"/>
      <c r="G18" s="162"/>
      <c r="H18" s="162">
        <v>900</v>
      </c>
      <c r="I18" s="162"/>
      <c r="J18" s="162"/>
      <c r="K18" s="162"/>
      <c r="L18" s="20"/>
      <c r="M18" s="20"/>
      <c r="N18" s="20"/>
      <c r="O18" s="20"/>
      <c r="P18" s="28">
        <f>SUM(F18:O18)</f>
        <v>900</v>
      </c>
      <c r="Q18" s="532" t="s">
        <v>693</v>
      </c>
    </row>
    <row r="19" spans="1:17" ht="14.1" customHeight="1" x14ac:dyDescent="0.2">
      <c r="A19" s="17"/>
      <c r="B19" s="17"/>
      <c r="C19" s="760" t="s">
        <v>654</v>
      </c>
      <c r="D19" s="761"/>
      <c r="E19" s="207"/>
      <c r="F19" s="162"/>
      <c r="G19" s="162"/>
      <c r="H19" s="162"/>
      <c r="I19" s="162"/>
      <c r="J19" s="162"/>
      <c r="K19" s="162"/>
      <c r="L19" s="20"/>
      <c r="M19" s="20"/>
      <c r="N19" s="20"/>
      <c r="O19" s="20"/>
      <c r="P19" s="28"/>
      <c r="Q19" s="532"/>
    </row>
    <row r="20" spans="1:17" ht="14.1" customHeight="1" x14ac:dyDescent="0.2">
      <c r="A20" s="17"/>
      <c r="B20" s="17"/>
      <c r="C20" s="40" t="s">
        <v>655</v>
      </c>
      <c r="D20" s="684"/>
      <c r="E20" s="207">
        <v>1</v>
      </c>
      <c r="F20" s="162"/>
      <c r="G20" s="162"/>
      <c r="H20" s="162">
        <v>600</v>
      </c>
      <c r="I20" s="162"/>
      <c r="J20" s="162">
        <v>-600</v>
      </c>
      <c r="K20" s="162"/>
      <c r="L20" s="20"/>
      <c r="M20" s="20"/>
      <c r="N20" s="20"/>
      <c r="O20" s="20"/>
      <c r="P20" s="28">
        <f>SUM(H20:O20)</f>
        <v>0</v>
      </c>
      <c r="Q20" s="532" t="s">
        <v>693</v>
      </c>
    </row>
    <row r="21" spans="1:17" ht="14.1" customHeight="1" x14ac:dyDescent="0.2">
      <c r="A21" s="17"/>
      <c r="B21" s="17"/>
      <c r="C21" s="810" t="s">
        <v>539</v>
      </c>
      <c r="D21" s="811"/>
      <c r="E21" s="208"/>
      <c r="F21" s="162"/>
      <c r="G21" s="162"/>
      <c r="H21" s="162"/>
      <c r="I21" s="162"/>
      <c r="J21" s="162"/>
      <c r="K21" s="162"/>
      <c r="L21" s="20"/>
      <c r="M21" s="20"/>
      <c r="N21" s="20"/>
      <c r="O21" s="20"/>
      <c r="P21" s="28"/>
      <c r="Q21" s="532"/>
    </row>
    <row r="22" spans="1:17" ht="14.1" customHeight="1" x14ac:dyDescent="0.2">
      <c r="A22" s="17"/>
      <c r="B22" s="17"/>
      <c r="C22" s="178" t="s">
        <v>0</v>
      </c>
      <c r="D22" s="183"/>
      <c r="E22" s="209">
        <v>2</v>
      </c>
      <c r="F22" s="162"/>
      <c r="G22" s="162"/>
      <c r="H22" s="162"/>
      <c r="I22" s="162"/>
      <c r="J22" s="162">
        <v>4450</v>
      </c>
      <c r="K22" s="162"/>
      <c r="L22" s="20"/>
      <c r="M22" s="20"/>
      <c r="N22" s="20"/>
      <c r="O22" s="20"/>
      <c r="P22" s="28">
        <f>SUM(F22:O22)</f>
        <v>4450</v>
      </c>
      <c r="Q22" s="532" t="s">
        <v>693</v>
      </c>
    </row>
    <row r="23" spans="1:17" ht="14.1" customHeight="1" x14ac:dyDescent="0.2">
      <c r="A23" s="163"/>
      <c r="B23" s="163"/>
      <c r="C23" s="170" t="s">
        <v>548</v>
      </c>
      <c r="D23" s="164"/>
      <c r="E23" s="167"/>
      <c r="F23" s="166">
        <f t="shared" ref="F23:M23" si="0">SUM(F5:F22)</f>
        <v>0</v>
      </c>
      <c r="G23" s="166">
        <f t="shared" si="0"/>
        <v>0</v>
      </c>
      <c r="H23" s="166">
        <f t="shared" si="0"/>
        <v>1500</v>
      </c>
      <c r="I23" s="166">
        <f t="shared" si="0"/>
        <v>173196</v>
      </c>
      <c r="J23" s="166">
        <f t="shared" si="0"/>
        <v>3850</v>
      </c>
      <c r="K23" s="166">
        <f t="shared" si="0"/>
        <v>0</v>
      </c>
      <c r="L23" s="166">
        <f t="shared" si="0"/>
        <v>0</v>
      </c>
      <c r="M23" s="166">
        <f t="shared" si="0"/>
        <v>0</v>
      </c>
      <c r="N23" s="166"/>
      <c r="O23" s="166">
        <f>SUM(O5:O22)</f>
        <v>0</v>
      </c>
      <c r="P23" s="166">
        <f>SUM(P5:P22)</f>
        <v>178546</v>
      </c>
      <c r="Q23" s="533"/>
    </row>
    <row r="24" spans="1:17" ht="14.1" customHeight="1" x14ac:dyDescent="0.2">
      <c r="A24" s="17"/>
      <c r="B24" s="17"/>
      <c r="C24" s="159" t="s">
        <v>387</v>
      </c>
      <c r="D24" s="19"/>
      <c r="E24" s="635"/>
      <c r="F24" s="20"/>
      <c r="G24" s="20"/>
      <c r="H24" s="20"/>
      <c r="I24" s="20"/>
      <c r="J24" s="20"/>
      <c r="K24" s="20">
        <f>'7'!J7</f>
        <v>0</v>
      </c>
      <c r="L24" s="20"/>
      <c r="M24" s="20">
        <f>'7'!K7</f>
        <v>0</v>
      </c>
      <c r="N24" s="20"/>
      <c r="O24" s="20"/>
      <c r="P24" s="28">
        <f>SUM(F24:O24)</f>
        <v>0</v>
      </c>
      <c r="Q24" s="532"/>
    </row>
    <row r="25" spans="1:17" ht="14.1" customHeight="1" x14ac:dyDescent="0.2">
      <c r="A25" s="17"/>
      <c r="B25" s="17"/>
      <c r="C25" s="159" t="s">
        <v>921</v>
      </c>
      <c r="D25" s="19"/>
      <c r="E25" s="635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8">
        <f>SUM(F25:O25)</f>
        <v>0</v>
      </c>
      <c r="Q25" s="532"/>
    </row>
    <row r="26" spans="1:17" ht="14.1" customHeight="1" x14ac:dyDescent="0.2">
      <c r="A26" s="163"/>
      <c r="B26" s="163"/>
      <c r="C26" s="170" t="s">
        <v>559</v>
      </c>
      <c r="D26" s="164"/>
      <c r="E26" s="636"/>
      <c r="F26" s="166">
        <f>SUM(F23:F25)</f>
        <v>0</v>
      </c>
      <c r="G26" s="166">
        <f t="shared" ref="G26:P26" si="1">SUM(G23:G25)</f>
        <v>0</v>
      </c>
      <c r="H26" s="166">
        <f t="shared" si="1"/>
        <v>1500</v>
      </c>
      <c r="I26" s="166">
        <f t="shared" si="1"/>
        <v>173196</v>
      </c>
      <c r="J26" s="166">
        <f t="shared" si="1"/>
        <v>3850</v>
      </c>
      <c r="K26" s="166">
        <f t="shared" si="1"/>
        <v>0</v>
      </c>
      <c r="L26" s="166">
        <f t="shared" si="1"/>
        <v>0</v>
      </c>
      <c r="M26" s="166">
        <f t="shared" si="1"/>
        <v>0</v>
      </c>
      <c r="N26" s="166"/>
      <c r="O26" s="166">
        <f t="shared" si="1"/>
        <v>0</v>
      </c>
      <c r="P26" s="166">
        <f t="shared" si="1"/>
        <v>178546</v>
      </c>
      <c r="Q26" s="533"/>
    </row>
    <row r="27" spans="1:17" ht="14.1" customHeight="1" x14ac:dyDescent="0.2">
      <c r="A27" s="29">
        <v>1</v>
      </c>
      <c r="B27" s="29">
        <v>13</v>
      </c>
      <c r="C27" s="57" t="s">
        <v>467</v>
      </c>
      <c r="D27" s="38"/>
      <c r="E27" s="211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8"/>
      <c r="Q27" s="532"/>
    </row>
    <row r="28" spans="1:17" ht="14.1" customHeight="1" x14ac:dyDescent="0.2">
      <c r="A28" s="29"/>
      <c r="B28" s="29"/>
      <c r="C28" s="595" t="s">
        <v>675</v>
      </c>
      <c r="D28" s="38"/>
      <c r="E28" s="211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8"/>
      <c r="Q28" s="532"/>
    </row>
    <row r="29" spans="1:17" ht="14.1" customHeight="1" x14ac:dyDescent="0.2">
      <c r="A29" s="29"/>
      <c r="B29" s="29"/>
      <c r="C29" s="781" t="s">
        <v>542</v>
      </c>
      <c r="D29" s="782"/>
      <c r="E29" s="213"/>
      <c r="F29" s="20"/>
      <c r="G29" s="20"/>
      <c r="H29" s="162"/>
      <c r="I29" s="162"/>
      <c r="J29" s="162"/>
      <c r="K29" s="20"/>
      <c r="L29" s="20"/>
      <c r="M29" s="20"/>
      <c r="N29" s="20"/>
      <c r="O29" s="20"/>
      <c r="P29" s="28"/>
      <c r="Q29" s="532"/>
    </row>
    <row r="30" spans="1:17" ht="36" customHeight="1" x14ac:dyDescent="0.2">
      <c r="A30" s="29"/>
      <c r="B30" s="29"/>
      <c r="C30" s="834" t="s">
        <v>1</v>
      </c>
      <c r="D30" s="835"/>
      <c r="E30" s="214">
        <v>2</v>
      </c>
      <c r="F30" s="162">
        <v>5751</v>
      </c>
      <c r="G30" s="162">
        <v>1567</v>
      </c>
      <c r="H30" s="162"/>
      <c r="I30" s="162"/>
      <c r="J30" s="162"/>
      <c r="K30" s="20"/>
      <c r="L30" s="20"/>
      <c r="M30" s="20"/>
      <c r="N30" s="20"/>
      <c r="O30" s="20"/>
      <c r="P30" s="28">
        <f>SUM(F30:O30)</f>
        <v>7318</v>
      </c>
      <c r="Q30" s="532" t="s">
        <v>693</v>
      </c>
    </row>
    <row r="31" spans="1:17" ht="24.95" customHeight="1" x14ac:dyDescent="0.2">
      <c r="A31" s="29"/>
      <c r="B31" s="29"/>
      <c r="C31" s="758" t="s">
        <v>444</v>
      </c>
      <c r="D31" s="759"/>
      <c r="E31" s="214"/>
      <c r="F31" s="162"/>
      <c r="G31" s="162"/>
      <c r="H31" s="162"/>
      <c r="I31" s="162"/>
      <c r="J31" s="162"/>
      <c r="K31" s="20"/>
      <c r="L31" s="20"/>
      <c r="M31" s="20"/>
      <c r="N31" s="20"/>
      <c r="O31" s="20"/>
      <c r="P31" s="28"/>
      <c r="Q31" s="532"/>
    </row>
    <row r="32" spans="1:17" ht="24.95" customHeight="1" x14ac:dyDescent="0.2">
      <c r="A32" s="29"/>
      <c r="B32" s="29"/>
      <c r="C32" s="758" t="s">
        <v>443</v>
      </c>
      <c r="D32" s="759"/>
      <c r="E32" s="214">
        <v>2</v>
      </c>
      <c r="F32" s="162"/>
      <c r="G32" s="162"/>
      <c r="H32" s="162"/>
      <c r="I32" s="162"/>
      <c r="J32" s="162">
        <v>-4600</v>
      </c>
      <c r="K32" s="20"/>
      <c r="L32" s="20"/>
      <c r="M32" s="20"/>
      <c r="N32" s="20"/>
      <c r="O32" s="20"/>
      <c r="P32" s="28">
        <f>SUM(F32:O32)</f>
        <v>-4600</v>
      </c>
      <c r="Q32" s="532" t="s">
        <v>943</v>
      </c>
    </row>
    <row r="33" spans="1:17" ht="15.95" customHeight="1" x14ac:dyDescent="0.2">
      <c r="A33" s="29"/>
      <c r="B33" s="29"/>
      <c r="C33" s="765" t="s">
        <v>676</v>
      </c>
      <c r="D33" s="766"/>
      <c r="E33" s="214"/>
      <c r="F33" s="162"/>
      <c r="G33" s="162"/>
      <c r="H33" s="162"/>
      <c r="I33" s="162"/>
      <c r="J33" s="162"/>
      <c r="K33" s="20"/>
      <c r="L33" s="20"/>
      <c r="M33" s="20"/>
      <c r="N33" s="20"/>
      <c r="O33" s="20"/>
      <c r="P33" s="28"/>
      <c r="Q33" s="532"/>
    </row>
    <row r="34" spans="1:17" ht="24.95" customHeight="1" x14ac:dyDescent="0.2">
      <c r="A34" s="29"/>
      <c r="B34" s="29"/>
      <c r="C34" s="758" t="s">
        <v>441</v>
      </c>
      <c r="D34" s="759"/>
      <c r="E34" s="214"/>
      <c r="F34" s="162"/>
      <c r="G34" s="162"/>
      <c r="H34" s="162"/>
      <c r="I34" s="162"/>
      <c r="J34" s="162"/>
      <c r="K34" s="20"/>
      <c r="L34" s="20"/>
      <c r="M34" s="20"/>
      <c r="N34" s="20"/>
      <c r="O34" s="20"/>
      <c r="P34" s="28"/>
      <c r="Q34" s="532"/>
    </row>
    <row r="35" spans="1:17" ht="15" customHeight="1" x14ac:dyDescent="0.2">
      <c r="A35" s="29"/>
      <c r="B35" s="29"/>
      <c r="C35" s="758" t="s">
        <v>442</v>
      </c>
      <c r="D35" s="759"/>
      <c r="E35" s="214">
        <v>2</v>
      </c>
      <c r="F35" s="162"/>
      <c r="G35" s="162"/>
      <c r="H35" s="162">
        <v>-37</v>
      </c>
      <c r="I35" s="162"/>
      <c r="J35" s="162"/>
      <c r="K35" s="20"/>
      <c r="L35" s="20"/>
      <c r="M35" s="20"/>
      <c r="N35" s="20"/>
      <c r="O35" s="20"/>
      <c r="P35" s="28">
        <f>SUM(F35:O35)</f>
        <v>-37</v>
      </c>
      <c r="Q35" s="532" t="s">
        <v>943</v>
      </c>
    </row>
    <row r="36" spans="1:17" ht="15" customHeight="1" x14ac:dyDescent="0.2">
      <c r="A36" s="29"/>
      <c r="B36" s="29"/>
      <c r="C36" s="178" t="s">
        <v>543</v>
      </c>
      <c r="D36" s="30"/>
      <c r="E36" s="215"/>
      <c r="F36" s="20"/>
      <c r="G36" s="20"/>
      <c r="H36" s="162"/>
      <c r="I36" s="162"/>
      <c r="J36" s="162"/>
      <c r="K36" s="20"/>
      <c r="L36" s="20"/>
      <c r="M36" s="20"/>
      <c r="N36" s="20"/>
      <c r="O36" s="20"/>
      <c r="P36" s="28"/>
      <c r="Q36" s="532"/>
    </row>
    <row r="37" spans="1:17" ht="14.1" customHeight="1" x14ac:dyDescent="0.2">
      <c r="A37" s="29"/>
      <c r="B37" s="29"/>
      <c r="C37" s="32" t="s">
        <v>944</v>
      </c>
      <c r="D37" s="30"/>
      <c r="E37" s="207">
        <v>2</v>
      </c>
      <c r="F37" s="20"/>
      <c r="G37" s="20"/>
      <c r="H37" s="162">
        <v>637</v>
      </c>
      <c r="I37" s="162"/>
      <c r="J37" s="162"/>
      <c r="K37" s="20"/>
      <c r="L37" s="20"/>
      <c r="M37" s="20"/>
      <c r="N37" s="20"/>
      <c r="O37" s="20"/>
      <c r="P37" s="28">
        <f>SUM(F37:O37)</f>
        <v>637</v>
      </c>
      <c r="Q37" s="532" t="s">
        <v>693</v>
      </c>
    </row>
    <row r="38" spans="1:17" ht="14.1" customHeight="1" x14ac:dyDescent="0.2">
      <c r="A38" s="29"/>
      <c r="B38" s="29"/>
      <c r="C38" s="810" t="s">
        <v>544</v>
      </c>
      <c r="D38" s="811"/>
      <c r="E38" s="206"/>
      <c r="F38" s="20"/>
      <c r="G38" s="20"/>
      <c r="H38" s="162"/>
      <c r="I38" s="162"/>
      <c r="J38" s="162"/>
      <c r="K38" s="20"/>
      <c r="L38" s="20"/>
      <c r="M38" s="20"/>
      <c r="N38" s="20"/>
      <c r="O38" s="20"/>
      <c r="P38" s="28"/>
      <c r="Q38" s="532"/>
    </row>
    <row r="39" spans="1:17" ht="14.1" customHeight="1" x14ac:dyDescent="0.2">
      <c r="A39" s="29"/>
      <c r="B39" s="29"/>
      <c r="C39" s="758" t="s">
        <v>939</v>
      </c>
      <c r="D39" s="759"/>
      <c r="E39" s="212">
        <v>2</v>
      </c>
      <c r="F39" s="20"/>
      <c r="G39" s="20"/>
      <c r="H39" s="162">
        <v>50</v>
      </c>
      <c r="I39" s="162"/>
      <c r="J39" s="162">
        <v>-50</v>
      </c>
      <c r="K39" s="20"/>
      <c r="L39" s="20"/>
      <c r="M39" s="20"/>
      <c r="N39" s="20"/>
      <c r="O39" s="20"/>
      <c r="P39" s="28">
        <f>SUM(F39:O39)</f>
        <v>0</v>
      </c>
      <c r="Q39" s="532" t="s">
        <v>693</v>
      </c>
    </row>
    <row r="40" spans="1:17" ht="24.95" customHeight="1" x14ac:dyDescent="0.2">
      <c r="A40" s="29"/>
      <c r="B40" s="29"/>
      <c r="C40" s="719" t="s">
        <v>779</v>
      </c>
      <c r="D40" s="789"/>
      <c r="E40" s="689">
        <v>2</v>
      </c>
      <c r="F40" s="20"/>
      <c r="G40" s="20"/>
      <c r="H40" s="162"/>
      <c r="I40" s="162"/>
      <c r="J40" s="162">
        <v>1000</v>
      </c>
      <c r="K40" s="20"/>
      <c r="L40" s="20"/>
      <c r="M40" s="20"/>
      <c r="N40" s="20"/>
      <c r="O40" s="20"/>
      <c r="P40" s="28">
        <f>SUM(F40:O40)</f>
        <v>1000</v>
      </c>
      <c r="Q40" s="532" t="s">
        <v>693</v>
      </c>
    </row>
    <row r="41" spans="1:17" ht="14.1" customHeight="1" x14ac:dyDescent="0.2">
      <c r="A41" s="29"/>
      <c r="B41" s="29"/>
      <c r="C41" s="790" t="s">
        <v>674</v>
      </c>
      <c r="D41" s="791"/>
      <c r="E41" s="210"/>
      <c r="F41" s="20"/>
      <c r="G41" s="20"/>
      <c r="H41" s="162"/>
      <c r="I41" s="162"/>
      <c r="J41" s="162"/>
      <c r="K41" s="20"/>
      <c r="L41" s="20"/>
      <c r="M41" s="20"/>
      <c r="N41" s="20"/>
      <c r="O41" s="20"/>
      <c r="P41" s="28"/>
      <c r="Q41" s="532"/>
    </row>
    <row r="42" spans="1:17" ht="14.1" customHeight="1" x14ac:dyDescent="0.2">
      <c r="A42" s="29"/>
      <c r="B42" s="29"/>
      <c r="C42" s="810" t="s">
        <v>540</v>
      </c>
      <c r="D42" s="811"/>
      <c r="E42" s="206"/>
      <c r="F42" s="20"/>
      <c r="G42" s="20"/>
      <c r="H42" s="162"/>
      <c r="I42" s="162"/>
      <c r="J42" s="162"/>
      <c r="K42" s="20"/>
      <c r="L42" s="20"/>
      <c r="M42" s="20"/>
      <c r="N42" s="20"/>
      <c r="O42" s="20"/>
      <c r="P42" s="28"/>
      <c r="Q42" s="532"/>
    </row>
    <row r="43" spans="1:17" ht="14.1" customHeight="1" x14ac:dyDescent="0.2">
      <c r="A43" s="29"/>
      <c r="B43" s="29"/>
      <c r="C43" s="32" t="s">
        <v>945</v>
      </c>
      <c r="D43" s="30"/>
      <c r="E43" s="207">
        <v>2</v>
      </c>
      <c r="F43" s="20"/>
      <c r="G43" s="20"/>
      <c r="H43" s="162">
        <v>-50</v>
      </c>
      <c r="I43" s="162"/>
      <c r="J43" s="162">
        <v>50</v>
      </c>
      <c r="K43" s="20"/>
      <c r="L43" s="20"/>
      <c r="M43" s="20"/>
      <c r="N43" s="20"/>
      <c r="O43" s="20"/>
      <c r="P43" s="28">
        <f>SUM(F43:O43)</f>
        <v>0</v>
      </c>
      <c r="Q43" s="532" t="s">
        <v>693</v>
      </c>
    </row>
    <row r="44" spans="1:17" ht="15" customHeight="1" x14ac:dyDescent="0.2">
      <c r="A44" s="29"/>
      <c r="B44" s="29"/>
      <c r="C44" s="719" t="s">
        <v>545</v>
      </c>
      <c r="D44" s="789"/>
      <c r="E44" s="207"/>
      <c r="F44" s="20"/>
      <c r="G44" s="20"/>
      <c r="H44" s="162"/>
      <c r="I44" s="162"/>
      <c r="J44" s="162"/>
      <c r="K44" s="20"/>
      <c r="L44" s="20"/>
      <c r="M44" s="20"/>
      <c r="N44" s="20"/>
      <c r="O44" s="20"/>
      <c r="P44" s="28"/>
      <c r="Q44" s="532"/>
    </row>
    <row r="45" spans="1:17" ht="15" customHeight="1" x14ac:dyDescent="0.2">
      <c r="A45" s="29"/>
      <c r="B45" s="29"/>
      <c r="C45" s="810" t="s">
        <v>560</v>
      </c>
      <c r="D45" s="811"/>
      <c r="E45" s="207">
        <v>2</v>
      </c>
      <c r="F45" s="162"/>
      <c r="G45" s="162"/>
      <c r="H45" s="162">
        <v>-50</v>
      </c>
      <c r="I45" s="162"/>
      <c r="J45" s="162">
        <v>100</v>
      </c>
      <c r="K45" s="20"/>
      <c r="L45" s="20"/>
      <c r="M45" s="20"/>
      <c r="N45" s="20"/>
      <c r="O45" s="20"/>
      <c r="P45" s="28">
        <f>SUM(F45:O45)</f>
        <v>50</v>
      </c>
      <c r="Q45" s="532" t="s">
        <v>693</v>
      </c>
    </row>
    <row r="46" spans="1:17" ht="24.95" customHeight="1" x14ac:dyDescent="0.2">
      <c r="A46" s="29"/>
      <c r="B46" s="29"/>
      <c r="C46" s="756" t="s">
        <v>455</v>
      </c>
      <c r="D46" s="757"/>
      <c r="E46" s="207"/>
      <c r="F46" s="162"/>
      <c r="G46" s="162"/>
      <c r="H46" s="162"/>
      <c r="I46" s="162"/>
      <c r="J46" s="162"/>
      <c r="K46" s="20"/>
      <c r="L46" s="20"/>
      <c r="M46" s="20"/>
      <c r="N46" s="20"/>
      <c r="O46" s="20"/>
      <c r="P46" s="28"/>
      <c r="Q46" s="532"/>
    </row>
    <row r="47" spans="1:17" ht="15" customHeight="1" x14ac:dyDescent="0.2">
      <c r="A47" s="29"/>
      <c r="B47" s="29"/>
      <c r="C47" s="32" t="s">
        <v>446</v>
      </c>
      <c r="D47" s="30"/>
      <c r="E47" s="207">
        <v>2</v>
      </c>
      <c r="F47" s="162"/>
      <c r="G47" s="162"/>
      <c r="H47" s="162">
        <v>5180</v>
      </c>
      <c r="I47" s="162"/>
      <c r="J47" s="162"/>
      <c r="K47" s="20"/>
      <c r="L47" s="20"/>
      <c r="M47" s="20"/>
      <c r="N47" s="20"/>
      <c r="O47" s="20"/>
      <c r="P47" s="28">
        <f>SUM(F47:O47)</f>
        <v>5180</v>
      </c>
      <c r="Q47" s="532" t="s">
        <v>693</v>
      </c>
    </row>
    <row r="48" spans="1:17" ht="15" customHeight="1" x14ac:dyDescent="0.2">
      <c r="A48" s="29"/>
      <c r="B48" s="29"/>
      <c r="C48" s="32" t="s">
        <v>450</v>
      </c>
      <c r="D48" s="30"/>
      <c r="E48" s="207"/>
      <c r="F48" s="162"/>
      <c r="G48" s="162"/>
      <c r="H48" s="162"/>
      <c r="I48" s="162"/>
      <c r="J48" s="162"/>
      <c r="K48" s="20"/>
      <c r="L48" s="20"/>
      <c r="M48" s="20"/>
      <c r="N48" s="20"/>
      <c r="O48" s="20"/>
      <c r="P48" s="28"/>
      <c r="Q48" s="532"/>
    </row>
    <row r="49" spans="1:17" ht="15" customHeight="1" x14ac:dyDescent="0.2">
      <c r="A49" s="29"/>
      <c r="B49" s="29"/>
      <c r="C49" s="32" t="s">
        <v>451</v>
      </c>
      <c r="D49" s="30"/>
      <c r="E49" s="207">
        <v>1</v>
      </c>
      <c r="F49" s="162"/>
      <c r="G49" s="162"/>
      <c r="H49" s="162">
        <v>5572</v>
      </c>
      <c r="I49" s="162"/>
      <c r="J49" s="162"/>
      <c r="K49" s="20"/>
      <c r="L49" s="20"/>
      <c r="M49" s="20"/>
      <c r="N49" s="20"/>
      <c r="O49" s="20"/>
      <c r="P49" s="28">
        <f>SUM(F49:O49)</f>
        <v>5572</v>
      </c>
      <c r="Q49" s="532" t="s">
        <v>693</v>
      </c>
    </row>
    <row r="50" spans="1:17" ht="24.95" customHeight="1" x14ac:dyDescent="0.2">
      <c r="A50" s="29"/>
      <c r="B50" s="29"/>
      <c r="C50" s="787" t="s">
        <v>447</v>
      </c>
      <c r="D50" s="788"/>
      <c r="E50" s="207"/>
      <c r="F50" s="162"/>
      <c r="G50" s="162"/>
      <c r="H50" s="162"/>
      <c r="I50" s="162"/>
      <c r="J50" s="162"/>
      <c r="K50" s="20"/>
      <c r="L50" s="20"/>
      <c r="M50" s="20"/>
      <c r="N50" s="20"/>
      <c r="O50" s="20"/>
      <c r="P50" s="28"/>
      <c r="Q50" s="532"/>
    </row>
    <row r="51" spans="1:17" ht="15" customHeight="1" x14ac:dyDescent="0.2">
      <c r="A51" s="29"/>
      <c r="B51" s="29"/>
      <c r="C51" s="719" t="s">
        <v>448</v>
      </c>
      <c r="D51" s="789"/>
      <c r="E51" s="207">
        <v>2</v>
      </c>
      <c r="F51" s="162"/>
      <c r="G51" s="162"/>
      <c r="H51" s="162">
        <v>-300</v>
      </c>
      <c r="I51" s="162"/>
      <c r="J51" s="162"/>
      <c r="K51" s="20"/>
      <c r="L51" s="20"/>
      <c r="M51" s="20"/>
      <c r="N51" s="20"/>
      <c r="O51" s="20"/>
      <c r="P51" s="28">
        <f>SUM(F51:O51)</f>
        <v>-300</v>
      </c>
      <c r="Q51" s="532" t="s">
        <v>943</v>
      </c>
    </row>
    <row r="52" spans="1:17" ht="14.1" customHeight="1" x14ac:dyDescent="0.2">
      <c r="A52" s="29"/>
      <c r="B52" s="29"/>
      <c r="C52" s="596" t="s">
        <v>677</v>
      </c>
      <c r="D52" s="30"/>
      <c r="E52" s="207"/>
      <c r="F52" s="20"/>
      <c r="G52" s="20"/>
      <c r="H52" s="162"/>
      <c r="I52" s="162"/>
      <c r="J52" s="162"/>
      <c r="K52" s="20"/>
      <c r="L52" s="20"/>
      <c r="M52" s="20"/>
      <c r="N52" s="20"/>
      <c r="O52" s="20"/>
      <c r="P52" s="28"/>
      <c r="Q52" s="532"/>
    </row>
    <row r="53" spans="1:17" ht="14.1" customHeight="1" x14ac:dyDescent="0.2">
      <c r="A53" s="29"/>
      <c r="B53" s="29"/>
      <c r="C53" s="781" t="s">
        <v>549</v>
      </c>
      <c r="D53" s="782"/>
      <c r="E53" s="207"/>
      <c r="F53" s="20"/>
      <c r="G53" s="20"/>
      <c r="H53" s="162"/>
      <c r="I53" s="162"/>
      <c r="J53" s="162"/>
      <c r="K53" s="20"/>
      <c r="L53" s="20"/>
      <c r="M53" s="20"/>
      <c r="N53" s="20"/>
      <c r="O53" s="20"/>
      <c r="P53" s="28"/>
      <c r="Q53" s="532"/>
    </row>
    <row r="54" spans="1:17" ht="14.1" customHeight="1" x14ac:dyDescent="0.2">
      <c r="A54" s="29"/>
      <c r="B54" s="29"/>
      <c r="C54" s="32" t="s">
        <v>778</v>
      </c>
      <c r="D54" s="687"/>
      <c r="E54" s="207">
        <v>2</v>
      </c>
      <c r="F54" s="20"/>
      <c r="G54" s="20"/>
      <c r="H54" s="162"/>
      <c r="I54" s="162"/>
      <c r="J54" s="162">
        <v>2000</v>
      </c>
      <c r="K54" s="20"/>
      <c r="L54" s="20"/>
      <c r="M54" s="20"/>
      <c r="N54" s="20"/>
      <c r="O54" s="20"/>
      <c r="P54" s="28">
        <f>SUM(F54:O54)</f>
        <v>2000</v>
      </c>
      <c r="Q54" s="532" t="s">
        <v>693</v>
      </c>
    </row>
    <row r="55" spans="1:17" ht="14.1" customHeight="1" x14ac:dyDescent="0.2">
      <c r="A55" s="29"/>
      <c r="B55" s="29"/>
      <c r="C55" s="32" t="s">
        <v>550</v>
      </c>
      <c r="D55" s="30"/>
      <c r="E55" s="207">
        <v>2</v>
      </c>
      <c r="F55" s="20"/>
      <c r="G55" s="20"/>
      <c r="H55" s="162"/>
      <c r="I55" s="162"/>
      <c r="J55" s="162">
        <v>15000</v>
      </c>
      <c r="K55" s="20"/>
      <c r="L55" s="20"/>
      <c r="M55" s="20"/>
      <c r="N55" s="20"/>
      <c r="O55" s="20"/>
      <c r="P55" s="28">
        <f>SUM(F55:O55)</f>
        <v>15000</v>
      </c>
      <c r="Q55" s="532" t="s">
        <v>693</v>
      </c>
    </row>
    <row r="56" spans="1:17" ht="14.1" customHeight="1" x14ac:dyDescent="0.2">
      <c r="A56" s="29"/>
      <c r="B56" s="29"/>
      <c r="C56" s="781" t="s">
        <v>541</v>
      </c>
      <c r="D56" s="782"/>
      <c r="E56" s="206"/>
      <c r="F56" s="20"/>
      <c r="G56" s="20"/>
      <c r="H56" s="162"/>
      <c r="I56" s="162"/>
      <c r="J56" s="162"/>
      <c r="K56" s="20"/>
      <c r="L56" s="20"/>
      <c r="M56" s="20"/>
      <c r="N56" s="20"/>
      <c r="O56" s="20"/>
      <c r="P56" s="28"/>
      <c r="Q56" s="532"/>
    </row>
    <row r="57" spans="1:17" ht="14.1" customHeight="1" x14ac:dyDescent="0.2">
      <c r="A57" s="29"/>
      <c r="B57" s="29"/>
      <c r="C57" s="783" t="s">
        <v>1099</v>
      </c>
      <c r="D57" s="784"/>
      <c r="E57" s="29">
        <v>1</v>
      </c>
      <c r="F57" s="20"/>
      <c r="G57" s="20"/>
      <c r="H57" s="162">
        <v>-500</v>
      </c>
      <c r="I57" s="162"/>
      <c r="J57" s="162">
        <v>500</v>
      </c>
      <c r="K57" s="20"/>
      <c r="L57" s="20"/>
      <c r="M57" s="20"/>
      <c r="N57" s="20"/>
      <c r="O57" s="20"/>
      <c r="P57" s="28">
        <f>SUM(F57:O57)</f>
        <v>0</v>
      </c>
      <c r="Q57" s="532" t="s">
        <v>693</v>
      </c>
    </row>
    <row r="58" spans="1:17" ht="14.1" customHeight="1" x14ac:dyDescent="0.2">
      <c r="A58" s="29"/>
      <c r="B58" s="29"/>
      <c r="C58" s="40" t="s">
        <v>551</v>
      </c>
      <c r="D58" s="684"/>
      <c r="E58" s="207">
        <v>1</v>
      </c>
      <c r="F58" s="20"/>
      <c r="G58" s="20"/>
      <c r="H58" s="162"/>
      <c r="I58" s="162"/>
      <c r="J58" s="162">
        <v>-4000</v>
      </c>
      <c r="K58" s="20"/>
      <c r="L58" s="20"/>
      <c r="M58" s="20"/>
      <c r="N58" s="20"/>
      <c r="O58" s="20"/>
      <c r="P58" s="28">
        <f>SUM(F58:O58)</f>
        <v>-4000</v>
      </c>
      <c r="Q58" s="532" t="s">
        <v>693</v>
      </c>
    </row>
    <row r="59" spans="1:17" ht="14.1" customHeight="1" x14ac:dyDescent="0.2">
      <c r="A59" s="29"/>
      <c r="B59" s="29"/>
      <c r="C59" s="769" t="s">
        <v>476</v>
      </c>
      <c r="D59" s="770"/>
      <c r="E59" s="206"/>
      <c r="F59" s="20"/>
      <c r="G59" s="20"/>
      <c r="H59" s="162"/>
      <c r="I59" s="162"/>
      <c r="J59" s="162"/>
      <c r="K59" s="20"/>
      <c r="L59" s="20"/>
      <c r="M59" s="20"/>
      <c r="N59" s="20"/>
      <c r="O59" s="20"/>
      <c r="P59" s="28"/>
      <c r="Q59" s="532"/>
    </row>
    <row r="60" spans="1:17" ht="14.1" customHeight="1" x14ac:dyDescent="0.2">
      <c r="A60" s="29"/>
      <c r="B60" s="29"/>
      <c r="C60" s="40" t="s">
        <v>477</v>
      </c>
      <c r="D60" s="113"/>
      <c r="E60" s="210">
        <v>1</v>
      </c>
      <c r="F60" s="162">
        <v>100</v>
      </c>
      <c r="G60" s="162">
        <v>30</v>
      </c>
      <c r="H60" s="162">
        <v>-130</v>
      </c>
      <c r="I60" s="162"/>
      <c r="J60" s="162"/>
      <c r="K60" s="20"/>
      <c r="L60" s="20"/>
      <c r="M60" s="20"/>
      <c r="N60" s="20"/>
      <c r="O60" s="20"/>
      <c r="P60" s="28">
        <f>SUM(F60:O60)</f>
        <v>0</v>
      </c>
      <c r="Q60" s="532" t="s">
        <v>693</v>
      </c>
    </row>
    <row r="61" spans="1:17" ht="14.1" customHeight="1" x14ac:dyDescent="0.2">
      <c r="A61" s="33"/>
      <c r="B61" s="33"/>
      <c r="C61" s="173" t="s">
        <v>561</v>
      </c>
      <c r="D61" s="172"/>
      <c r="E61" s="33"/>
      <c r="F61" s="166">
        <f t="shared" ref="F61:P61" si="2">SUM(F29:F60)</f>
        <v>5851</v>
      </c>
      <c r="G61" s="166">
        <f t="shared" si="2"/>
        <v>1597</v>
      </c>
      <c r="H61" s="166">
        <f t="shared" si="2"/>
        <v>10372</v>
      </c>
      <c r="I61" s="166">
        <f t="shared" si="2"/>
        <v>0</v>
      </c>
      <c r="J61" s="166">
        <f t="shared" si="2"/>
        <v>10000</v>
      </c>
      <c r="K61" s="166">
        <f t="shared" si="2"/>
        <v>0</v>
      </c>
      <c r="L61" s="166">
        <f t="shared" si="2"/>
        <v>0</v>
      </c>
      <c r="M61" s="166">
        <f t="shared" si="2"/>
        <v>0</v>
      </c>
      <c r="N61" s="166">
        <f t="shared" si="2"/>
        <v>0</v>
      </c>
      <c r="O61" s="166">
        <f t="shared" si="2"/>
        <v>0</v>
      </c>
      <c r="P61" s="166">
        <f t="shared" si="2"/>
        <v>27820</v>
      </c>
      <c r="Q61" s="166"/>
    </row>
    <row r="62" spans="1:17" ht="14.1" customHeight="1" x14ac:dyDescent="0.2">
      <c r="A62" s="17"/>
      <c r="B62" s="17"/>
      <c r="C62" s="32" t="s">
        <v>388</v>
      </c>
      <c r="D62" s="19"/>
      <c r="E62" s="39"/>
      <c r="F62" s="20"/>
      <c r="G62" s="20"/>
      <c r="H62" s="20"/>
      <c r="I62" s="20"/>
      <c r="J62" s="20"/>
      <c r="K62" s="162">
        <f>'7'!J33</f>
        <v>20682</v>
      </c>
      <c r="L62" s="162"/>
      <c r="M62" s="162">
        <f>'7'!K33</f>
        <v>0</v>
      </c>
      <c r="N62" s="162"/>
      <c r="O62" s="17"/>
      <c r="P62" s="28">
        <f>SUM(F62:O62)</f>
        <v>20682</v>
      </c>
      <c r="Q62" s="532"/>
    </row>
    <row r="63" spans="1:17" ht="14.1" customHeight="1" x14ac:dyDescent="0.2">
      <c r="A63" s="17"/>
      <c r="B63" s="17"/>
      <c r="C63" s="32" t="s">
        <v>921</v>
      </c>
      <c r="D63" s="19"/>
      <c r="E63" s="39"/>
      <c r="F63" s="20"/>
      <c r="G63" s="20"/>
      <c r="H63" s="20"/>
      <c r="I63" s="20"/>
      <c r="J63" s="20"/>
      <c r="K63" s="162"/>
      <c r="L63" s="162">
        <f>'8'!J48</f>
        <v>-17000</v>
      </c>
      <c r="M63" s="162">
        <f>'8'!K48</f>
        <v>17000</v>
      </c>
      <c r="N63" s="162"/>
      <c r="O63" s="17"/>
      <c r="P63" s="28">
        <f>SUM(F63:O63)</f>
        <v>0</v>
      </c>
      <c r="Q63" s="532"/>
    </row>
    <row r="64" spans="1:17" ht="14.1" customHeight="1" x14ac:dyDescent="0.2">
      <c r="A64" s="163"/>
      <c r="B64" s="163"/>
      <c r="C64" s="34" t="s">
        <v>470</v>
      </c>
      <c r="D64" s="164"/>
      <c r="E64" s="167"/>
      <c r="F64" s="166">
        <f>SUM(F61:F63)</f>
        <v>5851</v>
      </c>
      <c r="G64" s="166">
        <f t="shared" ref="G64:P64" si="3">SUM(G61:G63)</f>
        <v>1597</v>
      </c>
      <c r="H64" s="166">
        <f t="shared" si="3"/>
        <v>10372</v>
      </c>
      <c r="I64" s="166">
        <f t="shared" si="3"/>
        <v>0</v>
      </c>
      <c r="J64" s="166">
        <f t="shared" si="3"/>
        <v>10000</v>
      </c>
      <c r="K64" s="166">
        <f t="shared" si="3"/>
        <v>20682</v>
      </c>
      <c r="L64" s="166">
        <f t="shared" si="3"/>
        <v>-17000</v>
      </c>
      <c r="M64" s="166">
        <f t="shared" si="3"/>
        <v>17000</v>
      </c>
      <c r="N64" s="166">
        <f t="shared" si="3"/>
        <v>0</v>
      </c>
      <c r="O64" s="166">
        <f t="shared" si="3"/>
        <v>0</v>
      </c>
      <c r="P64" s="166">
        <f t="shared" si="3"/>
        <v>48502</v>
      </c>
      <c r="Q64" s="533"/>
    </row>
    <row r="65" spans="1:17" ht="14.1" customHeight="1" x14ac:dyDescent="0.2">
      <c r="A65" s="17">
        <v>1</v>
      </c>
      <c r="B65" s="17">
        <v>15</v>
      </c>
      <c r="C65" s="37" t="s">
        <v>562</v>
      </c>
      <c r="D65" s="174"/>
      <c r="E65" s="29"/>
      <c r="F65" s="20"/>
      <c r="G65" s="20"/>
      <c r="H65" s="20"/>
      <c r="I65" s="20"/>
      <c r="J65" s="20"/>
      <c r="K65" s="168"/>
      <c r="L65" s="168"/>
      <c r="M65" s="168"/>
      <c r="N65" s="168"/>
      <c r="O65" s="20"/>
      <c r="P65" s="28"/>
      <c r="Q65" s="534"/>
    </row>
    <row r="66" spans="1:17" ht="14.1" customHeight="1" x14ac:dyDescent="0.2">
      <c r="A66" s="17"/>
      <c r="B66" s="17"/>
      <c r="C66" s="180" t="s">
        <v>478</v>
      </c>
      <c r="D66" s="627" t="s">
        <v>947</v>
      </c>
      <c r="E66" s="39"/>
      <c r="F66" s="20"/>
      <c r="G66" s="20"/>
      <c r="H66" s="20"/>
      <c r="I66" s="20"/>
      <c r="J66" s="20"/>
      <c r="K66" s="168"/>
      <c r="L66" s="168"/>
      <c r="M66" s="168"/>
      <c r="N66" s="168"/>
      <c r="O66" s="20"/>
      <c r="P66" s="28"/>
      <c r="Q66" s="534"/>
    </row>
    <row r="67" spans="1:17" ht="14.1" customHeight="1" x14ac:dyDescent="0.2">
      <c r="A67" s="17"/>
      <c r="B67" s="17"/>
      <c r="C67" s="40" t="s">
        <v>946</v>
      </c>
      <c r="D67" s="174"/>
      <c r="E67" s="29">
        <v>1</v>
      </c>
      <c r="F67" s="162"/>
      <c r="G67" s="162"/>
      <c r="H67" s="162">
        <v>119</v>
      </c>
      <c r="I67" s="162"/>
      <c r="J67" s="162"/>
      <c r="K67" s="162"/>
      <c r="L67" s="162"/>
      <c r="M67" s="162"/>
      <c r="N67" s="162"/>
      <c r="O67" s="162"/>
      <c r="P67" s="28">
        <f>SUM(F67:O67)</f>
        <v>119</v>
      </c>
      <c r="Q67" s="534" t="s">
        <v>1098</v>
      </c>
    </row>
    <row r="68" spans="1:17" ht="14.1" customHeight="1" x14ac:dyDescent="0.2">
      <c r="A68" s="17"/>
      <c r="B68" s="17"/>
      <c r="C68" s="783" t="s">
        <v>479</v>
      </c>
      <c r="D68" s="817"/>
      <c r="E68" s="64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28"/>
      <c r="Q68" s="534"/>
    </row>
    <row r="69" spans="1:17" ht="14.1" customHeight="1" x14ac:dyDescent="0.2">
      <c r="A69" s="17"/>
      <c r="B69" s="17"/>
      <c r="C69" s="40" t="s">
        <v>948</v>
      </c>
      <c r="D69" s="627"/>
      <c r="E69" s="39">
        <v>1</v>
      </c>
      <c r="F69" s="162"/>
      <c r="G69" s="162"/>
      <c r="H69" s="162">
        <v>-2650</v>
      </c>
      <c r="I69" s="162"/>
      <c r="J69" s="162"/>
      <c r="K69" s="162"/>
      <c r="L69" s="162"/>
      <c r="M69" s="162"/>
      <c r="N69" s="162"/>
      <c r="O69" s="162"/>
      <c r="P69" s="28">
        <f>SUM(F69:O69)</f>
        <v>-2650</v>
      </c>
      <c r="Q69" s="534" t="s">
        <v>924</v>
      </c>
    </row>
    <row r="70" spans="1:17" ht="14.1" customHeight="1" x14ac:dyDescent="0.2">
      <c r="A70" s="17"/>
      <c r="B70" s="17"/>
      <c r="C70" s="783" t="s">
        <v>949</v>
      </c>
      <c r="D70" s="786"/>
      <c r="E70" s="642">
        <v>1</v>
      </c>
      <c r="F70" s="162"/>
      <c r="G70" s="162"/>
      <c r="H70" s="162">
        <v>950</v>
      </c>
      <c r="I70" s="162"/>
      <c r="J70" s="162"/>
      <c r="K70" s="162"/>
      <c r="L70" s="162"/>
      <c r="M70" s="162"/>
      <c r="N70" s="162"/>
      <c r="O70" s="162"/>
      <c r="P70" s="28">
        <f>SUM(F70:O70)</f>
        <v>950</v>
      </c>
      <c r="Q70" s="534" t="s">
        <v>693</v>
      </c>
    </row>
    <row r="71" spans="1:17" ht="14.1" customHeight="1" x14ac:dyDescent="0.2">
      <c r="A71" s="17"/>
      <c r="B71" s="17"/>
      <c r="C71" s="769" t="s">
        <v>480</v>
      </c>
      <c r="D71" s="785"/>
      <c r="E71" s="64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28"/>
      <c r="Q71" s="534"/>
    </row>
    <row r="72" spans="1:17" ht="24.95" customHeight="1" x14ac:dyDescent="0.2">
      <c r="A72" s="17"/>
      <c r="B72" s="17"/>
      <c r="C72" s="815" t="s">
        <v>481</v>
      </c>
      <c r="D72" s="816"/>
      <c r="E72" s="29">
        <v>2</v>
      </c>
      <c r="F72" s="162">
        <v>655</v>
      </c>
      <c r="G72" s="162">
        <v>80</v>
      </c>
      <c r="H72" s="162"/>
      <c r="I72" s="162"/>
      <c r="J72" s="162"/>
      <c r="K72" s="162"/>
      <c r="L72" s="162"/>
      <c r="M72" s="162"/>
      <c r="N72" s="162"/>
      <c r="O72" s="162"/>
      <c r="P72" s="28">
        <f>SUM(F72:O72)</f>
        <v>735</v>
      </c>
      <c r="Q72" s="534" t="s">
        <v>693</v>
      </c>
    </row>
    <row r="73" spans="1:17" ht="24.95" customHeight="1" x14ac:dyDescent="0.2">
      <c r="A73" s="17"/>
      <c r="B73" s="17"/>
      <c r="C73" s="769" t="s">
        <v>439</v>
      </c>
      <c r="D73" s="770"/>
      <c r="E73" s="29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28"/>
      <c r="Q73" s="534"/>
    </row>
    <row r="74" spans="1:17" ht="24.95" customHeight="1" x14ac:dyDescent="0.2">
      <c r="A74" s="17"/>
      <c r="B74" s="17"/>
      <c r="C74" s="767" t="s">
        <v>440</v>
      </c>
      <c r="D74" s="768"/>
      <c r="E74" s="29">
        <v>1</v>
      </c>
      <c r="F74" s="162"/>
      <c r="G74" s="162"/>
      <c r="H74" s="162"/>
      <c r="I74" s="162"/>
      <c r="J74" s="162">
        <v>-2808</v>
      </c>
      <c r="K74" s="162"/>
      <c r="L74" s="162"/>
      <c r="M74" s="162"/>
      <c r="N74" s="162"/>
      <c r="O74" s="162"/>
      <c r="P74" s="28">
        <f>SUM(F74:O74)</f>
        <v>-2808</v>
      </c>
      <c r="Q74" s="534" t="s">
        <v>924</v>
      </c>
    </row>
    <row r="75" spans="1:17" ht="15" customHeight="1" x14ac:dyDescent="0.2">
      <c r="A75" s="17"/>
      <c r="B75" s="17"/>
      <c r="C75" s="32" t="s">
        <v>255</v>
      </c>
      <c r="D75" s="607"/>
      <c r="E75" s="39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28"/>
      <c r="Q75" s="534"/>
    </row>
    <row r="76" spans="1:17" ht="15" customHeight="1" x14ac:dyDescent="0.2">
      <c r="A76" s="17"/>
      <c r="B76" s="17"/>
      <c r="C76" s="773" t="s">
        <v>491</v>
      </c>
      <c r="D76" s="774"/>
      <c r="E76" s="631">
        <v>2</v>
      </c>
      <c r="F76" s="162"/>
      <c r="G76" s="162"/>
      <c r="H76" s="162"/>
      <c r="I76" s="162"/>
      <c r="J76" s="162">
        <v>-250</v>
      </c>
      <c r="K76" s="162"/>
      <c r="L76" s="162"/>
      <c r="M76" s="162"/>
      <c r="N76" s="162"/>
      <c r="O76" s="162"/>
      <c r="P76" s="28">
        <f>SUM(F76:O76)</f>
        <v>-250</v>
      </c>
      <c r="Q76" s="534" t="s">
        <v>693</v>
      </c>
    </row>
    <row r="77" spans="1:17" ht="14.1" customHeight="1" x14ac:dyDescent="0.2">
      <c r="A77" s="163"/>
      <c r="B77" s="163"/>
      <c r="C77" s="34" t="s">
        <v>563</v>
      </c>
      <c r="D77" s="164"/>
      <c r="E77" s="167"/>
      <c r="F77" s="166">
        <f t="shared" ref="F77:P77" si="4">SUM(F66:F76)</f>
        <v>655</v>
      </c>
      <c r="G77" s="166">
        <f t="shared" si="4"/>
        <v>80</v>
      </c>
      <c r="H77" s="166">
        <f t="shared" si="4"/>
        <v>-1581</v>
      </c>
      <c r="I77" s="166">
        <f t="shared" si="4"/>
        <v>0</v>
      </c>
      <c r="J77" s="166">
        <f t="shared" si="4"/>
        <v>-3058</v>
      </c>
      <c r="K77" s="166">
        <f t="shared" si="4"/>
        <v>0</v>
      </c>
      <c r="L77" s="166">
        <f t="shared" si="4"/>
        <v>0</v>
      </c>
      <c r="M77" s="166">
        <f t="shared" si="4"/>
        <v>0</v>
      </c>
      <c r="N77" s="166">
        <f t="shared" si="4"/>
        <v>0</v>
      </c>
      <c r="O77" s="166">
        <f t="shared" si="4"/>
        <v>0</v>
      </c>
      <c r="P77" s="166">
        <f t="shared" si="4"/>
        <v>-3904</v>
      </c>
      <c r="Q77" s="533"/>
    </row>
    <row r="78" spans="1:17" ht="14.1" customHeight="1" x14ac:dyDescent="0.2">
      <c r="A78" s="17"/>
      <c r="B78" s="17"/>
      <c r="C78" s="32" t="s">
        <v>389</v>
      </c>
      <c r="D78" s="174"/>
      <c r="E78" s="29"/>
      <c r="F78" s="20"/>
      <c r="G78" s="20"/>
      <c r="H78" s="20"/>
      <c r="I78" s="20"/>
      <c r="J78" s="20"/>
      <c r="K78" s="162">
        <f>'7'!J123</f>
        <v>6757</v>
      </c>
      <c r="L78" s="162"/>
      <c r="M78" s="162">
        <f>'7'!K123</f>
        <v>-33986</v>
      </c>
      <c r="N78" s="162"/>
      <c r="O78" s="20"/>
      <c r="P78" s="28">
        <f>SUM(F78:O78)</f>
        <v>-27229</v>
      </c>
      <c r="Q78" s="534"/>
    </row>
    <row r="79" spans="1:17" ht="14.1" customHeight="1" x14ac:dyDescent="0.2">
      <c r="A79" s="17"/>
      <c r="B79" s="17"/>
      <c r="C79" s="32" t="s">
        <v>917</v>
      </c>
      <c r="D79" s="174"/>
      <c r="E79" s="29"/>
      <c r="F79" s="20"/>
      <c r="G79" s="20"/>
      <c r="H79" s="20"/>
      <c r="I79" s="20"/>
      <c r="J79" s="20"/>
      <c r="K79" s="162"/>
      <c r="L79" s="162">
        <f>'8'!J159</f>
        <v>-2219</v>
      </c>
      <c r="M79" s="162">
        <f>'8'!K159</f>
        <v>0</v>
      </c>
      <c r="N79" s="162"/>
      <c r="O79" s="20"/>
      <c r="P79" s="28">
        <f>SUM(F79:O79)</f>
        <v>-2219</v>
      </c>
      <c r="Q79" s="534"/>
    </row>
    <row r="80" spans="1:17" ht="14.1" customHeight="1" x14ac:dyDescent="0.2">
      <c r="A80" s="165"/>
      <c r="B80" s="165"/>
      <c r="C80" s="34" t="s">
        <v>643</v>
      </c>
      <c r="D80" s="172"/>
      <c r="E80" s="33"/>
      <c r="F80" s="166">
        <f>SUM(F77:F79)</f>
        <v>655</v>
      </c>
      <c r="G80" s="166">
        <f t="shared" ref="G80:P80" si="5">SUM(G77:G79)</f>
        <v>80</v>
      </c>
      <c r="H80" s="166">
        <f t="shared" si="5"/>
        <v>-1581</v>
      </c>
      <c r="I80" s="166">
        <f t="shared" si="5"/>
        <v>0</v>
      </c>
      <c r="J80" s="166">
        <f t="shared" si="5"/>
        <v>-3058</v>
      </c>
      <c r="K80" s="166">
        <f t="shared" si="5"/>
        <v>6757</v>
      </c>
      <c r="L80" s="166">
        <f t="shared" si="5"/>
        <v>-2219</v>
      </c>
      <c r="M80" s="166">
        <f t="shared" si="5"/>
        <v>-33986</v>
      </c>
      <c r="N80" s="166">
        <f t="shared" si="5"/>
        <v>0</v>
      </c>
      <c r="O80" s="166">
        <f t="shared" si="5"/>
        <v>0</v>
      </c>
      <c r="P80" s="166">
        <f t="shared" si="5"/>
        <v>-33352</v>
      </c>
      <c r="Q80" s="535"/>
    </row>
    <row r="81" spans="1:17" ht="14.1" customHeight="1" x14ac:dyDescent="0.2">
      <c r="A81" s="17">
        <v>1</v>
      </c>
      <c r="B81" s="17">
        <v>16</v>
      </c>
      <c r="C81" s="37" t="s">
        <v>657</v>
      </c>
      <c r="D81" s="171"/>
      <c r="E81" s="644"/>
      <c r="F81" s="20"/>
      <c r="G81" s="20"/>
      <c r="H81" s="20"/>
      <c r="I81" s="20"/>
      <c r="J81" s="20"/>
      <c r="K81" s="168"/>
      <c r="L81" s="168"/>
      <c r="M81" s="168"/>
      <c r="N81" s="168"/>
      <c r="O81" s="20"/>
      <c r="P81" s="28"/>
      <c r="Q81" s="536"/>
    </row>
    <row r="82" spans="1:17" ht="14.1" customHeight="1" x14ac:dyDescent="0.2">
      <c r="A82" s="17"/>
      <c r="B82" s="17"/>
      <c r="C82" s="771" t="s">
        <v>110</v>
      </c>
      <c r="D82" s="772"/>
      <c r="E82" s="644"/>
      <c r="F82" s="20"/>
      <c r="G82" s="20"/>
      <c r="H82" s="20"/>
      <c r="I82" s="20"/>
      <c r="J82" s="20"/>
      <c r="K82" s="168"/>
      <c r="L82" s="168"/>
      <c r="M82" s="168"/>
      <c r="N82" s="168"/>
      <c r="O82" s="20"/>
      <c r="P82" s="28"/>
      <c r="Q82" s="536"/>
    </row>
    <row r="83" spans="1:17" ht="36" customHeight="1" x14ac:dyDescent="0.2">
      <c r="A83" s="17"/>
      <c r="B83" s="17"/>
      <c r="C83" s="779" t="s">
        <v>138</v>
      </c>
      <c r="D83" s="780"/>
      <c r="E83" s="641">
        <v>2</v>
      </c>
      <c r="F83" s="20"/>
      <c r="G83" s="20"/>
      <c r="H83" s="162">
        <v>13208</v>
      </c>
      <c r="I83" s="162"/>
      <c r="J83" s="162">
        <v>13208</v>
      </c>
      <c r="K83" s="162"/>
      <c r="L83" s="162"/>
      <c r="M83" s="162"/>
      <c r="N83" s="162"/>
      <c r="O83" s="162"/>
      <c r="P83" s="677">
        <f>SUM(H83:O83)</f>
        <v>26416</v>
      </c>
      <c r="Q83" s="537" t="s">
        <v>693</v>
      </c>
    </row>
    <row r="84" spans="1:17" ht="14.1" customHeight="1" x14ac:dyDescent="0.2">
      <c r="A84" s="163"/>
      <c r="B84" s="163"/>
      <c r="C84" s="34" t="s">
        <v>950</v>
      </c>
      <c r="D84" s="172"/>
      <c r="E84" s="33"/>
      <c r="F84" s="166"/>
      <c r="G84" s="166"/>
      <c r="H84" s="166">
        <f>SUM(H83)</f>
        <v>13208</v>
      </c>
      <c r="I84" s="166"/>
      <c r="J84" s="166">
        <f>SUM(J83)</f>
        <v>13208</v>
      </c>
      <c r="K84" s="166"/>
      <c r="L84" s="166"/>
      <c r="M84" s="166"/>
      <c r="N84" s="166"/>
      <c r="O84" s="166"/>
      <c r="P84" s="166">
        <f>SUM(P83)</f>
        <v>26416</v>
      </c>
      <c r="Q84" s="535"/>
    </row>
    <row r="85" spans="1:17" ht="14.1" customHeight="1" x14ac:dyDescent="0.2">
      <c r="A85" s="20"/>
      <c r="B85" s="20"/>
      <c r="C85" s="32" t="s">
        <v>390</v>
      </c>
      <c r="D85" s="171"/>
      <c r="E85" s="644"/>
      <c r="F85" s="20"/>
      <c r="G85" s="20"/>
      <c r="H85" s="20"/>
      <c r="I85" s="20"/>
      <c r="J85" s="20"/>
      <c r="K85" s="162">
        <f>'7'!J234</f>
        <v>-42384</v>
      </c>
      <c r="L85" s="162"/>
      <c r="M85" s="162">
        <f>'7'!K234</f>
        <v>0</v>
      </c>
      <c r="N85" s="162"/>
      <c r="O85" s="20"/>
      <c r="P85" s="28">
        <f>SUM(F85:O85)</f>
        <v>-42384</v>
      </c>
      <c r="Q85" s="536"/>
    </row>
    <row r="86" spans="1:17" ht="14.1" customHeight="1" x14ac:dyDescent="0.2">
      <c r="A86" s="20"/>
      <c r="B86" s="20"/>
      <c r="C86" s="32" t="s">
        <v>921</v>
      </c>
      <c r="D86" s="171"/>
      <c r="E86" s="644"/>
      <c r="F86" s="20"/>
      <c r="G86" s="20"/>
      <c r="H86" s="20"/>
      <c r="I86" s="20"/>
      <c r="J86" s="20"/>
      <c r="K86" s="162"/>
      <c r="L86" s="162">
        <f>'8'!J179</f>
        <v>0</v>
      </c>
      <c r="M86" s="162">
        <f>'8'!K179</f>
        <v>0</v>
      </c>
      <c r="N86" s="162"/>
      <c r="O86" s="20"/>
      <c r="P86" s="28">
        <f>SUM(F86:O86)</f>
        <v>0</v>
      </c>
      <c r="Q86" s="536"/>
    </row>
    <row r="87" spans="1:17" ht="14.1" customHeight="1" x14ac:dyDescent="0.2">
      <c r="A87" s="165"/>
      <c r="B87" s="165"/>
      <c r="C87" s="34" t="s">
        <v>644</v>
      </c>
      <c r="D87" s="172"/>
      <c r="E87" s="33"/>
      <c r="F87" s="166">
        <f>SUM(F84:F86)</f>
        <v>0</v>
      </c>
      <c r="G87" s="166">
        <f t="shared" ref="G87:P87" si="6">SUM(G84:G86)</f>
        <v>0</v>
      </c>
      <c r="H87" s="166">
        <f t="shared" si="6"/>
        <v>13208</v>
      </c>
      <c r="I87" s="166">
        <f t="shared" si="6"/>
        <v>0</v>
      </c>
      <c r="J87" s="166">
        <f t="shared" si="6"/>
        <v>13208</v>
      </c>
      <c r="K87" s="166">
        <f t="shared" si="6"/>
        <v>-42384</v>
      </c>
      <c r="L87" s="166">
        <f t="shared" si="6"/>
        <v>0</v>
      </c>
      <c r="M87" s="166">
        <f t="shared" si="6"/>
        <v>0</v>
      </c>
      <c r="N87" s="166"/>
      <c r="O87" s="166">
        <f t="shared" si="6"/>
        <v>0</v>
      </c>
      <c r="P87" s="166">
        <f t="shared" si="6"/>
        <v>-15968</v>
      </c>
      <c r="Q87" s="535"/>
    </row>
    <row r="88" spans="1:17" ht="14.1" customHeight="1" x14ac:dyDescent="0.2">
      <c r="A88" s="17">
        <v>1</v>
      </c>
      <c r="B88" s="17">
        <v>17</v>
      </c>
      <c r="C88" s="37" t="s">
        <v>911</v>
      </c>
      <c r="D88" s="171"/>
      <c r="E88" s="644"/>
      <c r="F88" s="20"/>
      <c r="G88" s="20"/>
      <c r="H88" s="20"/>
      <c r="I88" s="20"/>
      <c r="J88" s="20"/>
      <c r="K88" s="168"/>
      <c r="L88" s="168"/>
      <c r="M88" s="168"/>
      <c r="N88" s="168"/>
      <c r="O88" s="20"/>
      <c r="P88" s="28"/>
      <c r="Q88" s="536"/>
    </row>
    <row r="89" spans="1:17" ht="15" customHeight="1" x14ac:dyDescent="0.2">
      <c r="A89" s="17"/>
      <c r="B89" s="17"/>
      <c r="C89" s="775" t="s">
        <v>482</v>
      </c>
      <c r="D89" s="776"/>
      <c r="E89" s="643"/>
      <c r="F89" s="20"/>
      <c r="G89" s="20"/>
      <c r="H89" s="20"/>
      <c r="I89" s="20"/>
      <c r="J89" s="20"/>
      <c r="K89" s="168"/>
      <c r="L89" s="168"/>
      <c r="M89" s="168"/>
      <c r="N89" s="168"/>
      <c r="O89" s="20"/>
      <c r="P89" s="28"/>
      <c r="Q89" s="536"/>
    </row>
    <row r="90" spans="1:17" ht="15" customHeight="1" x14ac:dyDescent="0.2">
      <c r="A90" s="17"/>
      <c r="B90" s="17"/>
      <c r="C90" s="777" t="s">
        <v>1087</v>
      </c>
      <c r="D90" s="778"/>
      <c r="E90" s="29">
        <v>1</v>
      </c>
      <c r="F90" s="20"/>
      <c r="G90" s="20"/>
      <c r="H90" s="162">
        <v>2500</v>
      </c>
      <c r="I90" s="20"/>
      <c r="J90" s="162"/>
      <c r="K90" s="168"/>
      <c r="L90" s="168"/>
      <c r="M90" s="168"/>
      <c r="N90" s="168"/>
      <c r="O90" s="20"/>
      <c r="P90" s="28">
        <f>SUM(F90:O90)</f>
        <v>2500</v>
      </c>
      <c r="Q90" s="534" t="s">
        <v>693</v>
      </c>
    </row>
    <row r="91" spans="1:17" ht="24.95" customHeight="1" x14ac:dyDescent="0.2">
      <c r="A91" s="17"/>
      <c r="B91" s="17"/>
      <c r="C91" s="798" t="s">
        <v>487</v>
      </c>
      <c r="D91" s="799"/>
      <c r="E91" s="29"/>
      <c r="F91" s="20"/>
      <c r="G91" s="20"/>
      <c r="H91" s="162"/>
      <c r="I91" s="20"/>
      <c r="J91" s="162"/>
      <c r="K91" s="168"/>
      <c r="L91" s="168"/>
      <c r="M91" s="168"/>
      <c r="N91" s="168"/>
      <c r="O91" s="20"/>
      <c r="P91" s="28"/>
      <c r="Q91" s="534"/>
    </row>
    <row r="92" spans="1:17" ht="15" customHeight="1" x14ac:dyDescent="0.2">
      <c r="A92" s="17"/>
      <c r="B92" s="17"/>
      <c r="C92" s="800" t="s">
        <v>555</v>
      </c>
      <c r="D92" s="801"/>
      <c r="E92" s="29">
        <v>1</v>
      </c>
      <c r="F92" s="20"/>
      <c r="G92" s="20"/>
      <c r="H92" s="162"/>
      <c r="I92" s="20"/>
      <c r="J92" s="162"/>
      <c r="K92" s="168"/>
      <c r="L92" s="168"/>
      <c r="M92" s="168"/>
      <c r="N92" s="168"/>
      <c r="O92" s="162">
        <v>61342</v>
      </c>
      <c r="P92" s="28">
        <f>SUM(F92:O92)</f>
        <v>61342</v>
      </c>
      <c r="Q92" s="534" t="s">
        <v>693</v>
      </c>
    </row>
    <row r="93" spans="1:17" ht="14.1" customHeight="1" x14ac:dyDescent="0.2">
      <c r="A93" s="163"/>
      <c r="B93" s="163"/>
      <c r="C93" s="34" t="s">
        <v>564</v>
      </c>
      <c r="D93" s="172"/>
      <c r="E93" s="33"/>
      <c r="F93" s="166">
        <f>SUM(F90+F92)</f>
        <v>0</v>
      </c>
      <c r="G93" s="166">
        <f t="shared" ref="G93:P93" si="7">SUM(G90+G92)</f>
        <v>0</v>
      </c>
      <c r="H93" s="166">
        <f t="shared" si="7"/>
        <v>2500</v>
      </c>
      <c r="I93" s="166">
        <f t="shared" si="7"/>
        <v>0</v>
      </c>
      <c r="J93" s="166">
        <f t="shared" si="7"/>
        <v>0</v>
      </c>
      <c r="K93" s="166">
        <f t="shared" si="7"/>
        <v>0</v>
      </c>
      <c r="L93" s="166">
        <f t="shared" si="7"/>
        <v>0</v>
      </c>
      <c r="M93" s="166">
        <f t="shared" si="7"/>
        <v>0</v>
      </c>
      <c r="N93" s="166">
        <f t="shared" si="7"/>
        <v>0</v>
      </c>
      <c r="O93" s="166">
        <f t="shared" si="7"/>
        <v>61342</v>
      </c>
      <c r="P93" s="166">
        <f t="shared" si="7"/>
        <v>63842</v>
      </c>
      <c r="Q93" s="535"/>
    </row>
    <row r="94" spans="1:17" ht="14.1" customHeight="1" x14ac:dyDescent="0.2">
      <c r="A94" s="17"/>
      <c r="B94" s="17"/>
      <c r="C94" s="32" t="s">
        <v>388</v>
      </c>
      <c r="D94" s="171"/>
      <c r="E94" s="644"/>
      <c r="F94" s="20"/>
      <c r="G94" s="20"/>
      <c r="H94" s="20"/>
      <c r="I94" s="20"/>
      <c r="J94" s="20"/>
      <c r="K94" s="168">
        <f>'7'!J245</f>
        <v>2500</v>
      </c>
      <c r="L94" s="162"/>
      <c r="M94" s="162">
        <f>'7'!K245</f>
        <v>0</v>
      </c>
      <c r="N94" s="162"/>
      <c r="O94" s="20"/>
      <c r="P94" s="28">
        <f>SUM(F94:O94)</f>
        <v>2500</v>
      </c>
      <c r="Q94" s="536"/>
    </row>
    <row r="95" spans="1:17" ht="14.1" customHeight="1" x14ac:dyDescent="0.2">
      <c r="A95" s="17"/>
      <c r="B95" s="17"/>
      <c r="C95" s="32" t="s">
        <v>917</v>
      </c>
      <c r="D95" s="171"/>
      <c r="E95" s="644"/>
      <c r="F95" s="20"/>
      <c r="G95" s="20"/>
      <c r="H95" s="20"/>
      <c r="I95" s="20"/>
      <c r="J95" s="20"/>
      <c r="K95" s="168"/>
      <c r="L95" s="162">
        <f>'8'!J185</f>
        <v>0</v>
      </c>
      <c r="M95" s="162">
        <f>'8'!K185</f>
        <v>0</v>
      </c>
      <c r="N95" s="162"/>
      <c r="O95" s="20"/>
      <c r="P95" s="28">
        <f>SUM(F95:O95)</f>
        <v>0</v>
      </c>
      <c r="Q95" s="536"/>
    </row>
    <row r="96" spans="1:17" ht="14.1" customHeight="1" x14ac:dyDescent="0.2">
      <c r="A96" s="163"/>
      <c r="B96" s="163"/>
      <c r="C96" s="34" t="s">
        <v>645</v>
      </c>
      <c r="D96" s="172"/>
      <c r="E96" s="33"/>
      <c r="F96" s="166">
        <f>SUM(F93:F95)</f>
        <v>0</v>
      </c>
      <c r="G96" s="166">
        <f t="shared" ref="G96:P96" si="8">SUM(G93:G95)</f>
        <v>0</v>
      </c>
      <c r="H96" s="166">
        <f t="shared" si="8"/>
        <v>2500</v>
      </c>
      <c r="I96" s="166">
        <f t="shared" si="8"/>
        <v>0</v>
      </c>
      <c r="J96" s="166">
        <f t="shared" si="8"/>
        <v>0</v>
      </c>
      <c r="K96" s="166">
        <f t="shared" si="8"/>
        <v>2500</v>
      </c>
      <c r="L96" s="166">
        <f t="shared" si="8"/>
        <v>0</v>
      </c>
      <c r="M96" s="166">
        <f t="shared" si="8"/>
        <v>0</v>
      </c>
      <c r="N96" s="166">
        <f t="shared" si="8"/>
        <v>0</v>
      </c>
      <c r="O96" s="166">
        <f t="shared" si="8"/>
        <v>61342</v>
      </c>
      <c r="P96" s="166">
        <f t="shared" si="8"/>
        <v>66342</v>
      </c>
      <c r="Q96" s="535"/>
    </row>
    <row r="97" spans="1:17" ht="14.1" customHeight="1" x14ac:dyDescent="0.2">
      <c r="A97" s="17">
        <v>1</v>
      </c>
      <c r="B97" s="17">
        <v>18</v>
      </c>
      <c r="C97" s="37" t="s">
        <v>565</v>
      </c>
      <c r="D97" s="171"/>
      <c r="E97" s="644"/>
      <c r="F97" s="20"/>
      <c r="G97" s="20"/>
      <c r="H97" s="20"/>
      <c r="I97" s="20"/>
      <c r="J97" s="20"/>
      <c r="K97" s="168"/>
      <c r="L97" s="168"/>
      <c r="M97" s="168"/>
      <c r="N97" s="168"/>
      <c r="O97" s="20"/>
      <c r="P97" s="28"/>
      <c r="Q97" s="536"/>
    </row>
    <row r="98" spans="1:17" ht="14.1" customHeight="1" x14ac:dyDescent="0.2">
      <c r="A98" s="17"/>
      <c r="B98" s="17"/>
      <c r="C98" s="796" t="s">
        <v>538</v>
      </c>
      <c r="D98" s="797"/>
      <c r="E98" s="644"/>
      <c r="F98" s="20"/>
      <c r="G98" s="20"/>
      <c r="H98" s="20"/>
      <c r="I98" s="20"/>
      <c r="J98" s="20"/>
      <c r="K98" s="168"/>
      <c r="L98" s="168"/>
      <c r="M98" s="168"/>
      <c r="N98" s="168"/>
      <c r="O98" s="20"/>
      <c r="P98" s="28"/>
      <c r="Q98" s="536"/>
    </row>
    <row r="99" spans="1:17" ht="24.95" customHeight="1" x14ac:dyDescent="0.2">
      <c r="A99" s="17"/>
      <c r="B99" s="17"/>
      <c r="C99" s="767" t="s">
        <v>861</v>
      </c>
      <c r="D99" s="768"/>
      <c r="E99" s="631"/>
      <c r="F99" s="20"/>
      <c r="G99" s="20"/>
      <c r="H99" s="162">
        <v>6000</v>
      </c>
      <c r="I99" s="20"/>
      <c r="J99" s="20"/>
      <c r="K99" s="168"/>
      <c r="L99" s="168"/>
      <c r="M99" s="168"/>
      <c r="N99" s="168"/>
      <c r="O99" s="20"/>
      <c r="P99" s="28">
        <f>SUM(H99:O99)</f>
        <v>6000</v>
      </c>
      <c r="Q99" s="537" t="s">
        <v>693</v>
      </c>
    </row>
    <row r="100" spans="1:17" ht="14.1" customHeight="1" x14ac:dyDescent="0.2">
      <c r="A100" s="163"/>
      <c r="B100" s="163"/>
      <c r="C100" s="34" t="s">
        <v>566</v>
      </c>
      <c r="D100" s="172"/>
      <c r="E100" s="33"/>
      <c r="F100" s="166">
        <f t="shared" ref="F100:P100" si="9">SUM(F99:F99)</f>
        <v>0</v>
      </c>
      <c r="G100" s="166">
        <f t="shared" si="9"/>
        <v>0</v>
      </c>
      <c r="H100" s="166">
        <f t="shared" si="9"/>
        <v>6000</v>
      </c>
      <c r="I100" s="166">
        <f t="shared" si="9"/>
        <v>0</v>
      </c>
      <c r="J100" s="166">
        <f t="shared" si="9"/>
        <v>0</v>
      </c>
      <c r="K100" s="166">
        <f t="shared" si="9"/>
        <v>0</v>
      </c>
      <c r="L100" s="166">
        <f t="shared" si="9"/>
        <v>0</v>
      </c>
      <c r="M100" s="166">
        <f t="shared" si="9"/>
        <v>0</v>
      </c>
      <c r="N100" s="166">
        <f t="shared" si="9"/>
        <v>0</v>
      </c>
      <c r="O100" s="166">
        <f t="shared" si="9"/>
        <v>0</v>
      </c>
      <c r="P100" s="166">
        <f t="shared" si="9"/>
        <v>6000</v>
      </c>
      <c r="Q100" s="535"/>
    </row>
    <row r="101" spans="1:17" ht="14.1" customHeight="1" x14ac:dyDescent="0.2">
      <c r="A101" s="17"/>
      <c r="B101" s="17"/>
      <c r="C101" s="32" t="s">
        <v>388</v>
      </c>
      <c r="D101" s="171"/>
      <c r="E101" s="644"/>
      <c r="F101" s="20"/>
      <c r="G101" s="20"/>
      <c r="H101" s="20"/>
      <c r="I101" s="20"/>
      <c r="J101" s="20"/>
      <c r="K101" s="168">
        <f>'7'!J248</f>
        <v>0</v>
      </c>
      <c r="L101" s="168"/>
      <c r="M101" s="168">
        <f>'7'!K248</f>
        <v>0</v>
      </c>
      <c r="N101" s="168"/>
      <c r="O101" s="20"/>
      <c r="P101" s="28">
        <f>SUM(F101:O101)</f>
        <v>0</v>
      </c>
      <c r="Q101" s="536"/>
    </row>
    <row r="102" spans="1:17" ht="14.1" customHeight="1" x14ac:dyDescent="0.2">
      <c r="A102" s="163"/>
      <c r="B102" s="163"/>
      <c r="C102" s="34" t="s">
        <v>646</v>
      </c>
      <c r="D102" s="172"/>
      <c r="E102" s="33"/>
      <c r="F102" s="166">
        <f>SUM(F100:F101)</f>
        <v>0</v>
      </c>
      <c r="G102" s="166">
        <f t="shared" ref="G102:P102" si="10">SUM(G100:G101)</f>
        <v>0</v>
      </c>
      <c r="H102" s="166">
        <f t="shared" si="10"/>
        <v>6000</v>
      </c>
      <c r="I102" s="166">
        <f t="shared" si="10"/>
        <v>0</v>
      </c>
      <c r="J102" s="166">
        <f t="shared" si="10"/>
        <v>0</v>
      </c>
      <c r="K102" s="166">
        <f t="shared" si="10"/>
        <v>0</v>
      </c>
      <c r="L102" s="166">
        <f t="shared" si="10"/>
        <v>0</v>
      </c>
      <c r="M102" s="166">
        <f t="shared" si="10"/>
        <v>0</v>
      </c>
      <c r="N102" s="166">
        <f t="shared" si="10"/>
        <v>0</v>
      </c>
      <c r="O102" s="166">
        <f t="shared" si="10"/>
        <v>0</v>
      </c>
      <c r="P102" s="166">
        <f t="shared" si="10"/>
        <v>6000</v>
      </c>
      <c r="Q102" s="535"/>
    </row>
    <row r="103" spans="1:17" ht="14.1" customHeight="1" x14ac:dyDescent="0.2">
      <c r="A103" s="39">
        <v>1</v>
      </c>
      <c r="B103" s="39">
        <v>19</v>
      </c>
      <c r="C103" s="44" t="s">
        <v>912</v>
      </c>
      <c r="D103" s="627"/>
      <c r="E103" s="3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8"/>
      <c r="Q103" s="532"/>
    </row>
    <row r="104" spans="1:17" ht="14.1" customHeight="1" x14ac:dyDescent="0.2">
      <c r="A104" s="39"/>
      <c r="B104" s="39"/>
      <c r="C104" s="769" t="s">
        <v>483</v>
      </c>
      <c r="D104" s="785"/>
      <c r="E104" s="64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28"/>
      <c r="Q104" s="532"/>
    </row>
    <row r="105" spans="1:17" ht="14.1" customHeight="1" x14ac:dyDescent="0.2">
      <c r="A105" s="39"/>
      <c r="B105" s="39"/>
      <c r="C105" s="783" t="s">
        <v>484</v>
      </c>
      <c r="D105" s="786"/>
      <c r="E105" s="642">
        <v>1</v>
      </c>
      <c r="F105" s="162"/>
      <c r="G105" s="162"/>
      <c r="H105" s="162">
        <v>105</v>
      </c>
      <c r="I105" s="162"/>
      <c r="J105" s="162">
        <v>-105</v>
      </c>
      <c r="K105" s="162"/>
      <c r="L105" s="162"/>
      <c r="M105" s="162"/>
      <c r="N105" s="162"/>
      <c r="O105" s="162"/>
      <c r="P105" s="28">
        <f>SUM(F105:O105)</f>
        <v>0</v>
      </c>
      <c r="Q105" s="532" t="s">
        <v>693</v>
      </c>
    </row>
    <row r="106" spans="1:17" ht="24.95" customHeight="1" x14ac:dyDescent="0.2">
      <c r="A106" s="39"/>
      <c r="B106" s="39"/>
      <c r="C106" s="792" t="s">
        <v>538</v>
      </c>
      <c r="D106" s="793"/>
      <c r="E106" s="629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28"/>
      <c r="Q106" s="532"/>
    </row>
    <row r="107" spans="1:17" ht="14.1" customHeight="1" x14ac:dyDescent="0.2">
      <c r="A107" s="39"/>
      <c r="B107" s="39"/>
      <c r="C107" s="40" t="s">
        <v>951</v>
      </c>
      <c r="D107" s="637"/>
      <c r="E107" s="642">
        <v>1</v>
      </c>
      <c r="F107" s="162"/>
      <c r="G107" s="162"/>
      <c r="H107" s="162">
        <v>-38408</v>
      </c>
      <c r="I107" s="162"/>
      <c r="J107" s="162"/>
      <c r="K107" s="162"/>
      <c r="L107" s="162"/>
      <c r="M107" s="162"/>
      <c r="N107" s="162"/>
      <c r="O107" s="162"/>
      <c r="P107" s="28">
        <f>SUM(F107:O107)</f>
        <v>-38408</v>
      </c>
      <c r="Q107" s="532" t="s">
        <v>693</v>
      </c>
    </row>
    <row r="108" spans="1:17" ht="24.95" customHeight="1" x14ac:dyDescent="0.2">
      <c r="A108" s="39"/>
      <c r="B108" s="39"/>
      <c r="C108" s="794" t="s">
        <v>485</v>
      </c>
      <c r="D108" s="795"/>
      <c r="E108" s="39">
        <v>1</v>
      </c>
      <c r="F108" s="162"/>
      <c r="G108" s="162"/>
      <c r="H108" s="162"/>
      <c r="I108" s="162"/>
      <c r="J108" s="162">
        <v>4704</v>
      </c>
      <c r="K108" s="162"/>
      <c r="L108" s="162"/>
      <c r="M108" s="162"/>
      <c r="N108" s="162"/>
      <c r="O108" s="162"/>
      <c r="P108" s="28">
        <f>SUM(F108:O108)</f>
        <v>4704</v>
      </c>
      <c r="Q108" s="532" t="s">
        <v>693</v>
      </c>
    </row>
    <row r="109" spans="1:17" ht="24.95" customHeight="1" x14ac:dyDescent="0.2">
      <c r="A109" s="39"/>
      <c r="B109" s="39"/>
      <c r="C109" s="758" t="s">
        <v>486</v>
      </c>
      <c r="D109" s="822"/>
      <c r="E109" s="642">
        <v>1</v>
      </c>
      <c r="F109" s="162"/>
      <c r="G109" s="162"/>
      <c r="H109" s="162"/>
      <c r="I109" s="162"/>
      <c r="J109" s="162">
        <v>8298</v>
      </c>
      <c r="K109" s="162"/>
      <c r="L109" s="162"/>
      <c r="M109" s="162"/>
      <c r="N109" s="162"/>
      <c r="O109" s="162"/>
      <c r="P109" s="28">
        <f>SUM(F109:O109)</f>
        <v>8298</v>
      </c>
      <c r="Q109" s="532" t="s">
        <v>693</v>
      </c>
    </row>
    <row r="110" spans="1:17" ht="24.95" customHeight="1" x14ac:dyDescent="0.2">
      <c r="A110" s="39"/>
      <c r="B110" s="39"/>
      <c r="C110" s="798" t="s">
        <v>487</v>
      </c>
      <c r="D110" s="799"/>
      <c r="E110" s="645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28"/>
      <c r="Q110" s="532"/>
    </row>
    <row r="111" spans="1:17" ht="15" customHeight="1" x14ac:dyDescent="0.2">
      <c r="A111" s="39"/>
      <c r="B111" s="39"/>
      <c r="C111" s="767" t="s">
        <v>449</v>
      </c>
      <c r="D111" s="768"/>
      <c r="E111" s="645">
        <v>1</v>
      </c>
      <c r="F111" s="162"/>
      <c r="G111" s="162"/>
      <c r="H111" s="162"/>
      <c r="I111" s="162"/>
      <c r="J111" s="162"/>
      <c r="K111" s="162"/>
      <c r="L111" s="162"/>
      <c r="M111" s="162"/>
      <c r="N111" s="162"/>
      <c r="O111" s="162">
        <v>-5572</v>
      </c>
      <c r="P111" s="28">
        <v>-5572</v>
      </c>
      <c r="Q111" s="532" t="s">
        <v>693</v>
      </c>
    </row>
    <row r="112" spans="1:17" ht="15" customHeight="1" x14ac:dyDescent="0.2">
      <c r="A112" s="39"/>
      <c r="B112" s="39"/>
      <c r="C112" s="758" t="s">
        <v>488</v>
      </c>
      <c r="D112" s="822"/>
      <c r="E112" s="645">
        <v>1</v>
      </c>
      <c r="F112" s="162"/>
      <c r="G112" s="162"/>
      <c r="H112" s="162">
        <v>84913</v>
      </c>
      <c r="I112" s="162"/>
      <c r="J112" s="162"/>
      <c r="K112" s="162"/>
      <c r="L112" s="162"/>
      <c r="M112" s="162"/>
      <c r="N112" s="162"/>
      <c r="O112" s="162">
        <v>-22400</v>
      </c>
      <c r="P112" s="28">
        <f>SUM(H112:O112)</f>
        <v>62513</v>
      </c>
      <c r="Q112" s="532" t="s">
        <v>693</v>
      </c>
    </row>
    <row r="113" spans="1:17" ht="15" customHeight="1" x14ac:dyDescent="0.2">
      <c r="A113" s="39"/>
      <c r="B113" s="39"/>
      <c r="C113" s="758" t="s">
        <v>555</v>
      </c>
      <c r="D113" s="759"/>
      <c r="E113" s="645">
        <v>1</v>
      </c>
      <c r="F113" s="162"/>
      <c r="G113" s="162"/>
      <c r="H113" s="162"/>
      <c r="I113" s="162"/>
      <c r="J113" s="162"/>
      <c r="K113" s="162"/>
      <c r="L113" s="162"/>
      <c r="M113" s="162"/>
      <c r="N113" s="162"/>
      <c r="O113" s="162">
        <v>161359</v>
      </c>
      <c r="P113" s="28">
        <f>SUM(H113:O113)</f>
        <v>161359</v>
      </c>
      <c r="Q113" s="532" t="s">
        <v>693</v>
      </c>
    </row>
    <row r="114" spans="1:17" ht="14.1" customHeight="1" x14ac:dyDescent="0.2">
      <c r="A114" s="167"/>
      <c r="B114" s="167"/>
      <c r="C114" s="34" t="s">
        <v>567</v>
      </c>
      <c r="D114" s="164"/>
      <c r="E114" s="167"/>
      <c r="F114" s="166">
        <f>SUM(F104:F113)</f>
        <v>0</v>
      </c>
      <c r="G114" s="166">
        <f t="shared" ref="G114:P114" si="11">SUM(G104:G113)</f>
        <v>0</v>
      </c>
      <c r="H114" s="166">
        <f t="shared" si="11"/>
        <v>46610</v>
      </c>
      <c r="I114" s="166">
        <f t="shared" si="11"/>
        <v>0</v>
      </c>
      <c r="J114" s="166">
        <f t="shared" si="11"/>
        <v>12897</v>
      </c>
      <c r="K114" s="166">
        <f t="shared" si="11"/>
        <v>0</v>
      </c>
      <c r="L114" s="166">
        <f t="shared" si="11"/>
        <v>0</v>
      </c>
      <c r="M114" s="166">
        <f t="shared" si="11"/>
        <v>0</v>
      </c>
      <c r="N114" s="166">
        <f t="shared" si="11"/>
        <v>0</v>
      </c>
      <c r="O114" s="166">
        <f t="shared" si="11"/>
        <v>133387</v>
      </c>
      <c r="P114" s="166">
        <f t="shared" si="11"/>
        <v>192894</v>
      </c>
      <c r="Q114" s="533"/>
    </row>
    <row r="115" spans="1:17" ht="14.1" customHeight="1" x14ac:dyDescent="0.2">
      <c r="A115" s="17"/>
      <c r="B115" s="17"/>
      <c r="C115" s="40" t="s">
        <v>388</v>
      </c>
      <c r="D115" s="19"/>
      <c r="E115" s="39"/>
      <c r="F115" s="20"/>
      <c r="G115" s="20"/>
      <c r="H115" s="20"/>
      <c r="I115" s="20"/>
      <c r="J115" s="20"/>
      <c r="K115" s="168">
        <f>'7'!J255</f>
        <v>0</v>
      </c>
      <c r="L115" s="168"/>
      <c r="M115" s="162">
        <f>'7'!K255</f>
        <v>0</v>
      </c>
      <c r="N115" s="162"/>
      <c r="O115" s="20"/>
      <c r="P115" s="28">
        <f>SUM(F115:O115)</f>
        <v>0</v>
      </c>
      <c r="Q115" s="532"/>
    </row>
    <row r="116" spans="1:17" ht="14.1" customHeight="1" x14ac:dyDescent="0.2">
      <c r="A116" s="17"/>
      <c r="B116" s="17"/>
      <c r="C116" s="40" t="s">
        <v>917</v>
      </c>
      <c r="D116" s="19"/>
      <c r="E116" s="39"/>
      <c r="F116" s="20"/>
      <c r="G116" s="20"/>
      <c r="H116" s="20"/>
      <c r="I116" s="20"/>
      <c r="J116" s="20"/>
      <c r="K116" s="168"/>
      <c r="L116" s="168">
        <f>'8'!K189</f>
        <v>0</v>
      </c>
      <c r="M116" s="162">
        <f>'8'!K189</f>
        <v>0</v>
      </c>
      <c r="N116" s="162"/>
      <c r="O116" s="20"/>
      <c r="P116" s="28">
        <f>SUM(F116:O116)</f>
        <v>0</v>
      </c>
      <c r="Q116" s="532"/>
    </row>
    <row r="117" spans="1:17" ht="14.1" customHeight="1" x14ac:dyDescent="0.2">
      <c r="A117" s="163"/>
      <c r="B117" s="163"/>
      <c r="C117" s="34" t="s">
        <v>913</v>
      </c>
      <c r="D117" s="164"/>
      <c r="E117" s="167"/>
      <c r="F117" s="166">
        <f>SUM(F114:F116)</f>
        <v>0</v>
      </c>
      <c r="G117" s="166">
        <f t="shared" ref="G117:P117" si="12">SUM(G114:G116)</f>
        <v>0</v>
      </c>
      <c r="H117" s="166">
        <f t="shared" si="12"/>
        <v>46610</v>
      </c>
      <c r="I117" s="166">
        <f t="shared" si="12"/>
        <v>0</v>
      </c>
      <c r="J117" s="166">
        <f t="shared" si="12"/>
        <v>12897</v>
      </c>
      <c r="K117" s="166">
        <f t="shared" si="12"/>
        <v>0</v>
      </c>
      <c r="L117" s="166">
        <f t="shared" si="12"/>
        <v>0</v>
      </c>
      <c r="M117" s="166">
        <f t="shared" si="12"/>
        <v>0</v>
      </c>
      <c r="N117" s="166">
        <f t="shared" si="12"/>
        <v>0</v>
      </c>
      <c r="O117" s="166">
        <f t="shared" si="12"/>
        <v>133387</v>
      </c>
      <c r="P117" s="166">
        <f t="shared" si="12"/>
        <v>192894</v>
      </c>
      <c r="Q117" s="533"/>
    </row>
    <row r="118" spans="1:17" ht="24.95" customHeight="1" x14ac:dyDescent="0.2">
      <c r="A118" s="17">
        <v>1</v>
      </c>
      <c r="B118" s="17">
        <v>20</v>
      </c>
      <c r="C118" s="756" t="s">
        <v>538</v>
      </c>
      <c r="D118" s="812"/>
      <c r="E118" s="29"/>
      <c r="F118" s="20"/>
      <c r="G118" s="20"/>
      <c r="H118" s="175"/>
      <c r="I118" s="175"/>
      <c r="J118" s="175"/>
      <c r="K118" s="175"/>
      <c r="L118" s="175"/>
      <c r="M118" s="175"/>
      <c r="N118" s="175"/>
      <c r="O118" s="175"/>
      <c r="P118" s="28">
        <f t="shared" ref="P118:P125" si="13">SUM(F118:O118)</f>
        <v>0</v>
      </c>
      <c r="Q118" s="534"/>
    </row>
    <row r="119" spans="1:17" ht="14.1" customHeight="1" x14ac:dyDescent="0.2">
      <c r="A119" s="163"/>
      <c r="B119" s="163"/>
      <c r="C119" s="34" t="s">
        <v>823</v>
      </c>
      <c r="D119" s="164"/>
      <c r="E119" s="167">
        <v>1</v>
      </c>
      <c r="F119" s="166">
        <f>SUM(F118:F118)</f>
        <v>0</v>
      </c>
      <c r="G119" s="166">
        <f>SUM(G118:G118)</f>
        <v>0</v>
      </c>
      <c r="H119" s="166">
        <v>0</v>
      </c>
      <c r="I119" s="166">
        <f t="shared" ref="I119:O119" si="14">SUM(I118:I118)</f>
        <v>0</v>
      </c>
      <c r="J119" s="166">
        <f t="shared" si="14"/>
        <v>0</v>
      </c>
      <c r="K119" s="166">
        <f t="shared" si="14"/>
        <v>0</v>
      </c>
      <c r="L119" s="166">
        <f t="shared" si="14"/>
        <v>0</v>
      </c>
      <c r="M119" s="166">
        <f t="shared" si="14"/>
        <v>0</v>
      </c>
      <c r="N119" s="166">
        <f t="shared" si="14"/>
        <v>0</v>
      </c>
      <c r="O119" s="166">
        <f t="shared" si="14"/>
        <v>0</v>
      </c>
      <c r="P119" s="166">
        <f t="shared" si="13"/>
        <v>0</v>
      </c>
      <c r="Q119" s="533" t="s">
        <v>693</v>
      </c>
    </row>
    <row r="120" spans="1:17" ht="14.1" customHeight="1" x14ac:dyDescent="0.2">
      <c r="A120" s="169">
        <v>1</v>
      </c>
      <c r="B120" s="169">
        <v>22</v>
      </c>
      <c r="C120" s="820" t="s">
        <v>474</v>
      </c>
      <c r="D120" s="821"/>
      <c r="E120" s="646"/>
      <c r="F120" s="20"/>
      <c r="G120" s="20"/>
      <c r="H120" s="20"/>
      <c r="I120" s="20"/>
      <c r="J120" s="20"/>
      <c r="K120" s="168"/>
      <c r="L120" s="168"/>
      <c r="M120" s="168"/>
      <c r="N120" s="168"/>
      <c r="O120" s="20"/>
      <c r="P120" s="28"/>
      <c r="Q120" s="532"/>
    </row>
    <row r="121" spans="1:17" ht="14.1" customHeight="1" x14ac:dyDescent="0.2">
      <c r="A121" s="169"/>
      <c r="B121" s="169"/>
      <c r="C121" s="796" t="s">
        <v>538</v>
      </c>
      <c r="D121" s="823"/>
      <c r="E121" s="64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28"/>
      <c r="Q121" s="532"/>
    </row>
    <row r="122" spans="1:17" ht="14.1" customHeight="1" x14ac:dyDescent="0.2">
      <c r="A122" s="169"/>
      <c r="B122" s="169"/>
      <c r="C122" s="182" t="s">
        <v>952</v>
      </c>
      <c r="D122" s="638"/>
      <c r="E122" s="628">
        <v>2</v>
      </c>
      <c r="F122" s="162">
        <v>3000</v>
      </c>
      <c r="G122" s="162">
        <v>1500</v>
      </c>
      <c r="H122" s="162">
        <v>-4500</v>
      </c>
      <c r="I122" s="162"/>
      <c r="J122" s="162"/>
      <c r="K122" s="162"/>
      <c r="L122" s="162"/>
      <c r="M122" s="162"/>
      <c r="N122" s="162"/>
      <c r="O122" s="162"/>
      <c r="P122" s="28">
        <f t="shared" si="13"/>
        <v>0</v>
      </c>
      <c r="Q122" s="534" t="s">
        <v>693</v>
      </c>
    </row>
    <row r="123" spans="1:17" ht="14.1" customHeight="1" x14ac:dyDescent="0.2">
      <c r="A123" s="169"/>
      <c r="B123" s="169"/>
      <c r="C123" s="40" t="s">
        <v>266</v>
      </c>
      <c r="D123" s="638"/>
      <c r="E123" s="628">
        <v>2</v>
      </c>
      <c r="F123" s="162"/>
      <c r="G123" s="162"/>
      <c r="H123" s="162"/>
      <c r="I123" s="162"/>
      <c r="J123" s="162">
        <v>1000</v>
      </c>
      <c r="K123" s="162"/>
      <c r="L123" s="162"/>
      <c r="M123" s="162"/>
      <c r="N123" s="162"/>
      <c r="O123" s="162"/>
      <c r="P123" s="28">
        <v>1000</v>
      </c>
      <c r="Q123" s="534" t="s">
        <v>693</v>
      </c>
    </row>
    <row r="124" spans="1:17" ht="14.1" customHeight="1" x14ac:dyDescent="0.2">
      <c r="A124" s="169"/>
      <c r="B124" s="169"/>
      <c r="C124" s="783" t="s">
        <v>489</v>
      </c>
      <c r="D124" s="817"/>
      <c r="E124" s="628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28"/>
      <c r="Q124" s="534"/>
    </row>
    <row r="125" spans="1:17" ht="14.1" customHeight="1" x14ac:dyDescent="0.2">
      <c r="A125" s="169"/>
      <c r="B125" s="169"/>
      <c r="C125" s="40" t="s">
        <v>490</v>
      </c>
      <c r="D125" s="627"/>
      <c r="E125" s="628">
        <v>2</v>
      </c>
      <c r="F125" s="162">
        <v>5000</v>
      </c>
      <c r="G125" s="162">
        <v>2500</v>
      </c>
      <c r="H125" s="162">
        <v>-7000</v>
      </c>
      <c r="I125" s="162"/>
      <c r="J125" s="162"/>
      <c r="K125" s="162"/>
      <c r="L125" s="162"/>
      <c r="M125" s="162"/>
      <c r="N125" s="162"/>
      <c r="O125" s="162"/>
      <c r="P125" s="28">
        <f t="shared" si="13"/>
        <v>500</v>
      </c>
      <c r="Q125" s="534" t="s">
        <v>693</v>
      </c>
    </row>
    <row r="126" spans="1:17" ht="14.1" customHeight="1" x14ac:dyDescent="0.2">
      <c r="A126" s="169"/>
      <c r="B126" s="169"/>
      <c r="C126" s="178" t="s">
        <v>480</v>
      </c>
      <c r="D126" s="186"/>
      <c r="E126" s="29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28"/>
      <c r="Q126" s="534"/>
    </row>
    <row r="127" spans="1:17" ht="14.1" customHeight="1" x14ac:dyDescent="0.2">
      <c r="A127" s="169"/>
      <c r="B127" s="169"/>
      <c r="C127" s="185" t="s">
        <v>953</v>
      </c>
      <c r="D127" s="184"/>
      <c r="E127" s="629">
        <v>2</v>
      </c>
      <c r="F127" s="162">
        <v>62</v>
      </c>
      <c r="G127" s="162">
        <v>31</v>
      </c>
      <c r="H127" s="162">
        <v>-1576</v>
      </c>
      <c r="I127" s="162"/>
      <c r="J127" s="162">
        <v>1353</v>
      </c>
      <c r="K127" s="162"/>
      <c r="L127" s="162"/>
      <c r="M127" s="162"/>
      <c r="N127" s="162"/>
      <c r="O127" s="162"/>
      <c r="P127" s="28">
        <f>SUM(F127:O127)</f>
        <v>-130</v>
      </c>
      <c r="Q127" s="534" t="s">
        <v>693</v>
      </c>
    </row>
    <row r="128" spans="1:17" ht="14.1" customHeight="1" x14ac:dyDescent="0.25">
      <c r="A128" s="176"/>
      <c r="B128" s="176"/>
      <c r="C128" s="79" t="s">
        <v>842</v>
      </c>
      <c r="D128" s="177"/>
      <c r="E128" s="647"/>
      <c r="F128" s="166">
        <f t="shared" ref="F128:P128" si="15">SUM(F120:F127)</f>
        <v>8062</v>
      </c>
      <c r="G128" s="166">
        <f t="shared" si="15"/>
        <v>4031</v>
      </c>
      <c r="H128" s="166">
        <f t="shared" si="15"/>
        <v>-13076</v>
      </c>
      <c r="I128" s="166">
        <f t="shared" si="15"/>
        <v>0</v>
      </c>
      <c r="J128" s="166">
        <f t="shared" si="15"/>
        <v>2353</v>
      </c>
      <c r="K128" s="166">
        <f t="shared" si="15"/>
        <v>0</v>
      </c>
      <c r="L128" s="166">
        <f t="shared" si="15"/>
        <v>0</v>
      </c>
      <c r="M128" s="166">
        <f t="shared" si="15"/>
        <v>0</v>
      </c>
      <c r="N128" s="166">
        <f t="shared" si="15"/>
        <v>0</v>
      </c>
      <c r="O128" s="166">
        <f t="shared" si="15"/>
        <v>0</v>
      </c>
      <c r="P128" s="166">
        <f t="shared" si="15"/>
        <v>1370</v>
      </c>
      <c r="Q128" s="535"/>
    </row>
    <row r="129" spans="1:17" ht="14.1" customHeight="1" x14ac:dyDescent="0.2">
      <c r="A129" s="17"/>
      <c r="B129" s="17"/>
      <c r="C129" s="40" t="s">
        <v>388</v>
      </c>
      <c r="D129" s="19"/>
      <c r="E129" s="39"/>
      <c r="F129" s="20"/>
      <c r="G129" s="20"/>
      <c r="H129" s="20"/>
      <c r="I129" s="20"/>
      <c r="J129" s="20"/>
      <c r="K129" s="162">
        <f>'7'!J258</f>
        <v>0</v>
      </c>
      <c r="L129" s="162"/>
      <c r="M129" s="162">
        <f>'7'!K258</f>
        <v>130</v>
      </c>
      <c r="N129" s="162"/>
      <c r="O129" s="20"/>
      <c r="P129" s="28">
        <f>SUM(F129:O129)</f>
        <v>130</v>
      </c>
      <c r="Q129" s="532" t="s">
        <v>693</v>
      </c>
    </row>
    <row r="130" spans="1:17" ht="14.1" customHeight="1" x14ac:dyDescent="0.2">
      <c r="A130" s="163"/>
      <c r="B130" s="163"/>
      <c r="C130" s="34" t="s">
        <v>475</v>
      </c>
      <c r="D130" s="164"/>
      <c r="E130" s="167"/>
      <c r="F130" s="166">
        <f>SUM(F128:F129)</f>
        <v>8062</v>
      </c>
      <c r="G130" s="166">
        <f t="shared" ref="G130:P130" si="16">SUM(G128:G129)</f>
        <v>4031</v>
      </c>
      <c r="H130" s="166">
        <f t="shared" si="16"/>
        <v>-13076</v>
      </c>
      <c r="I130" s="166">
        <f t="shared" si="16"/>
        <v>0</v>
      </c>
      <c r="J130" s="166">
        <f t="shared" si="16"/>
        <v>2353</v>
      </c>
      <c r="K130" s="166">
        <f t="shared" si="16"/>
        <v>0</v>
      </c>
      <c r="L130" s="166">
        <f t="shared" si="16"/>
        <v>0</v>
      </c>
      <c r="M130" s="166">
        <f t="shared" si="16"/>
        <v>130</v>
      </c>
      <c r="N130" s="166">
        <f t="shared" si="16"/>
        <v>0</v>
      </c>
      <c r="O130" s="166">
        <f t="shared" si="16"/>
        <v>0</v>
      </c>
      <c r="P130" s="166">
        <f t="shared" si="16"/>
        <v>1500</v>
      </c>
      <c r="Q130" s="533"/>
    </row>
    <row r="131" spans="1:17" ht="14.1" customHeight="1" x14ac:dyDescent="0.2">
      <c r="A131" s="39">
        <v>1</v>
      </c>
      <c r="B131" s="39">
        <v>30</v>
      </c>
      <c r="C131" s="44" t="s">
        <v>695</v>
      </c>
      <c r="D131" s="627"/>
      <c r="E131" s="39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28"/>
      <c r="Q131" s="532"/>
    </row>
    <row r="132" spans="1:17" ht="14.1" customHeight="1" x14ac:dyDescent="0.2">
      <c r="A132" s="39"/>
      <c r="B132" s="690">
        <v>31</v>
      </c>
      <c r="C132" s="44" t="s">
        <v>780</v>
      </c>
      <c r="D132" s="43"/>
      <c r="E132" s="39">
        <v>1</v>
      </c>
      <c r="F132" s="41"/>
      <c r="G132" s="41"/>
      <c r="H132" s="41"/>
      <c r="I132" s="41"/>
      <c r="J132" s="41">
        <v>-1000</v>
      </c>
      <c r="K132" s="41"/>
      <c r="L132" s="41"/>
      <c r="M132" s="41"/>
      <c r="N132" s="41"/>
      <c r="O132" s="41"/>
      <c r="P132" s="28">
        <v>-1000</v>
      </c>
      <c r="Q132" s="532" t="s">
        <v>693</v>
      </c>
    </row>
    <row r="133" spans="1:17" ht="14.1" customHeight="1" x14ac:dyDescent="0.2">
      <c r="A133" s="39"/>
      <c r="B133" s="39">
        <v>32</v>
      </c>
      <c r="C133" s="44" t="s">
        <v>892</v>
      </c>
      <c r="D133" s="627"/>
      <c r="E133" s="39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28"/>
      <c r="Q133" s="532"/>
    </row>
    <row r="134" spans="1:17" ht="12.95" customHeight="1" x14ac:dyDescent="0.2">
      <c r="A134" s="39"/>
      <c r="B134" s="39"/>
      <c r="C134" s="40" t="s">
        <v>689</v>
      </c>
      <c r="D134" s="627"/>
      <c r="E134" s="39">
        <v>1</v>
      </c>
      <c r="F134" s="41"/>
      <c r="G134" s="41"/>
      <c r="H134" s="41"/>
      <c r="I134" s="41"/>
      <c r="J134" s="41">
        <v>-37000</v>
      </c>
      <c r="K134" s="41"/>
      <c r="L134" s="41"/>
      <c r="M134" s="41"/>
      <c r="N134" s="41"/>
      <c r="O134" s="41"/>
      <c r="P134" s="28">
        <f>SUM(F134:O134)</f>
        <v>-37000</v>
      </c>
      <c r="Q134" s="532" t="s">
        <v>693</v>
      </c>
    </row>
    <row r="135" spans="1:17" ht="36" customHeight="1" x14ac:dyDescent="0.2">
      <c r="A135" s="39"/>
      <c r="B135" s="39"/>
      <c r="C135" s="813" t="s">
        <v>954</v>
      </c>
      <c r="D135" s="814"/>
      <c r="E135" s="629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28"/>
      <c r="Q135" s="532"/>
    </row>
    <row r="136" spans="1:17" ht="12.95" customHeight="1" x14ac:dyDescent="0.2">
      <c r="A136" s="39"/>
      <c r="B136" s="39"/>
      <c r="C136" s="810" t="s">
        <v>1088</v>
      </c>
      <c r="D136" s="811"/>
      <c r="E136" s="629">
        <v>2</v>
      </c>
      <c r="F136" s="41"/>
      <c r="G136" s="41"/>
      <c r="H136" s="41"/>
      <c r="I136" s="41"/>
      <c r="J136" s="41">
        <v>-4450</v>
      </c>
      <c r="K136" s="41"/>
      <c r="L136" s="41"/>
      <c r="M136" s="41"/>
      <c r="N136" s="41"/>
      <c r="O136" s="41"/>
      <c r="P136" s="28">
        <f>SUM(F136:O136)</f>
        <v>-4450</v>
      </c>
      <c r="Q136" s="532" t="s">
        <v>1090</v>
      </c>
    </row>
    <row r="137" spans="1:17" ht="12.95" customHeight="1" x14ac:dyDescent="0.2">
      <c r="A137" s="39"/>
      <c r="B137" s="39"/>
      <c r="C137" s="40" t="s">
        <v>1089</v>
      </c>
      <c r="D137" s="639"/>
      <c r="E137" s="629">
        <v>2</v>
      </c>
      <c r="F137" s="41"/>
      <c r="G137" s="41"/>
      <c r="H137" s="41"/>
      <c r="I137" s="41"/>
      <c r="J137" s="41">
        <v>-900</v>
      </c>
      <c r="K137" s="41"/>
      <c r="L137" s="41"/>
      <c r="M137" s="41"/>
      <c r="N137" s="41"/>
      <c r="O137" s="41"/>
      <c r="P137" s="28">
        <f>SUM(F137:O137)</f>
        <v>-900</v>
      </c>
      <c r="Q137" s="532" t="s">
        <v>1090</v>
      </c>
    </row>
    <row r="138" spans="1:17" ht="12.95" customHeight="1" x14ac:dyDescent="0.2">
      <c r="A138" s="39"/>
      <c r="B138" s="39"/>
      <c r="C138" s="179" t="s">
        <v>927</v>
      </c>
      <c r="D138" s="627"/>
      <c r="E138" s="39"/>
      <c r="F138" s="41"/>
      <c r="G138" s="41"/>
      <c r="H138" s="41"/>
      <c r="I138" s="41"/>
      <c r="J138" s="41"/>
      <c r="K138" s="41">
        <f>'7'!J261</f>
        <v>0</v>
      </c>
      <c r="L138" s="41">
        <f>'8'!J192</f>
        <v>0</v>
      </c>
      <c r="M138" s="41"/>
      <c r="N138" s="41"/>
      <c r="O138" s="41"/>
      <c r="P138" s="28">
        <f>SUM(K138:O138)</f>
        <v>0</v>
      </c>
      <c r="Q138" s="532"/>
    </row>
    <row r="139" spans="1:17" ht="14.1" customHeight="1" x14ac:dyDescent="0.2">
      <c r="A139" s="33"/>
      <c r="B139" s="33"/>
      <c r="C139" s="34" t="s">
        <v>650</v>
      </c>
      <c r="D139" s="640"/>
      <c r="E139" s="33"/>
      <c r="F139" s="35">
        <f t="shared" ref="F139:P139" si="17">SUM(F131:F138)</f>
        <v>0</v>
      </c>
      <c r="G139" s="35">
        <f t="shared" si="17"/>
        <v>0</v>
      </c>
      <c r="H139" s="35">
        <f t="shared" si="17"/>
        <v>0</v>
      </c>
      <c r="I139" s="35">
        <f t="shared" si="17"/>
        <v>0</v>
      </c>
      <c r="J139" s="35">
        <f t="shared" si="17"/>
        <v>-43350</v>
      </c>
      <c r="K139" s="35">
        <f t="shared" si="17"/>
        <v>0</v>
      </c>
      <c r="L139" s="35">
        <f t="shared" si="17"/>
        <v>0</v>
      </c>
      <c r="M139" s="35">
        <f t="shared" si="17"/>
        <v>0</v>
      </c>
      <c r="N139" s="35">
        <f t="shared" si="17"/>
        <v>0</v>
      </c>
      <c r="O139" s="35">
        <f t="shared" si="17"/>
        <v>0</v>
      </c>
      <c r="P139" s="35">
        <f t="shared" si="17"/>
        <v>-43350</v>
      </c>
      <c r="Q139" s="533"/>
    </row>
    <row r="140" spans="1:17" ht="26.1" customHeight="1" x14ac:dyDescent="0.2">
      <c r="A140" s="33"/>
      <c r="B140" s="33"/>
      <c r="C140" s="809" t="s">
        <v>684</v>
      </c>
      <c r="D140" s="780"/>
      <c r="E140" s="648"/>
      <c r="F140" s="35">
        <f t="shared" ref="F140:P140" si="18">SUM(F26+F64+F80+F87+F96+F102+F117+F119+F130+F139)</f>
        <v>14568</v>
      </c>
      <c r="G140" s="35">
        <f t="shared" si="18"/>
        <v>5708</v>
      </c>
      <c r="H140" s="35">
        <f t="shared" si="18"/>
        <v>65533</v>
      </c>
      <c r="I140" s="35">
        <f t="shared" si="18"/>
        <v>173196</v>
      </c>
      <c r="J140" s="35">
        <f t="shared" si="18"/>
        <v>-4100</v>
      </c>
      <c r="K140" s="35">
        <f t="shared" si="18"/>
        <v>-12445</v>
      </c>
      <c r="L140" s="35">
        <f t="shared" si="18"/>
        <v>-19219</v>
      </c>
      <c r="M140" s="35">
        <f t="shared" si="18"/>
        <v>-16856</v>
      </c>
      <c r="N140" s="35">
        <f t="shared" si="18"/>
        <v>0</v>
      </c>
      <c r="O140" s="35">
        <f t="shared" si="18"/>
        <v>194729</v>
      </c>
      <c r="P140" s="35">
        <f t="shared" si="18"/>
        <v>401114</v>
      </c>
      <c r="Q140" s="35"/>
    </row>
    <row r="141" spans="1:17" ht="12.95" customHeight="1" x14ac:dyDescent="0.2">
      <c r="A141" s="29">
        <v>2</v>
      </c>
      <c r="B141" s="29"/>
      <c r="C141" s="78" t="s">
        <v>681</v>
      </c>
      <c r="D141" s="181"/>
      <c r="E141" s="29"/>
      <c r="F141" s="31">
        <f>táj.2.!C20</f>
        <v>16790</v>
      </c>
      <c r="G141" s="31">
        <f>táj.2.!D20</f>
        <v>581</v>
      </c>
      <c r="H141" s="31">
        <f>táj.2.!E20</f>
        <v>3585</v>
      </c>
      <c r="I141" s="31">
        <f>táj.2.!F20</f>
        <v>0</v>
      </c>
      <c r="J141" s="31">
        <f>táj.2.!G20</f>
        <v>1379</v>
      </c>
      <c r="K141" s="31">
        <f>táj.2.!H20</f>
        <v>37742</v>
      </c>
      <c r="L141" s="31">
        <f>táj.2.!I20</f>
        <v>7528</v>
      </c>
      <c r="M141" s="31">
        <f>táj.2.!J20</f>
        <v>0</v>
      </c>
      <c r="N141" s="31"/>
      <c r="O141" s="31"/>
      <c r="P141" s="28">
        <f>SUM(F141:O141)</f>
        <v>67605</v>
      </c>
      <c r="Q141" s="36"/>
    </row>
    <row r="142" spans="1:17" ht="12.95" customHeight="1" x14ac:dyDescent="0.2">
      <c r="A142" s="33"/>
      <c r="B142" s="33"/>
      <c r="C142" s="61" t="s">
        <v>651</v>
      </c>
      <c r="D142" s="640"/>
      <c r="E142" s="33"/>
      <c r="F142" s="35">
        <f>SUM(F140:F141)</f>
        <v>31358</v>
      </c>
      <c r="G142" s="35">
        <f t="shared" ref="G142:P142" si="19">SUM(G140:G141)</f>
        <v>6289</v>
      </c>
      <c r="H142" s="35">
        <f t="shared" si="19"/>
        <v>69118</v>
      </c>
      <c r="I142" s="35">
        <f t="shared" si="19"/>
        <v>173196</v>
      </c>
      <c r="J142" s="35">
        <f t="shared" si="19"/>
        <v>-2721</v>
      </c>
      <c r="K142" s="35">
        <f t="shared" si="19"/>
        <v>25297</v>
      </c>
      <c r="L142" s="35">
        <f t="shared" si="19"/>
        <v>-11691</v>
      </c>
      <c r="M142" s="35">
        <f t="shared" si="19"/>
        <v>-16856</v>
      </c>
      <c r="N142" s="35">
        <f t="shared" si="19"/>
        <v>0</v>
      </c>
      <c r="O142" s="35">
        <f t="shared" si="19"/>
        <v>194729</v>
      </c>
      <c r="P142" s="35">
        <f t="shared" si="19"/>
        <v>468719</v>
      </c>
      <c r="Q142" s="35"/>
    </row>
    <row r="143" spans="1:17" ht="12.75" x14ac:dyDescent="0.2">
      <c r="C143" s="818"/>
      <c r="D143" s="819"/>
      <c r="E143" s="205"/>
    </row>
  </sheetData>
  <mergeCells count="71">
    <mergeCell ref="Q1:Q2"/>
    <mergeCell ref="C6:D6"/>
    <mergeCell ref="P1:P2"/>
    <mergeCell ref="C8:D8"/>
    <mergeCell ref="E1:E2"/>
    <mergeCell ref="F1:M1"/>
    <mergeCell ref="C5:D5"/>
    <mergeCell ref="N1:O1"/>
    <mergeCell ref="C143:D143"/>
    <mergeCell ref="C120:D120"/>
    <mergeCell ref="C104:D104"/>
    <mergeCell ref="C136:D136"/>
    <mergeCell ref="C124:D124"/>
    <mergeCell ref="C112:D112"/>
    <mergeCell ref="C109:D109"/>
    <mergeCell ref="C121:D121"/>
    <mergeCell ref="C110:D110"/>
    <mergeCell ref="C105:D105"/>
    <mergeCell ref="C140:D140"/>
    <mergeCell ref="C42:D42"/>
    <mergeCell ref="C44:D44"/>
    <mergeCell ref="C45:D45"/>
    <mergeCell ref="C99:D99"/>
    <mergeCell ref="C118:D118"/>
    <mergeCell ref="C135:D135"/>
    <mergeCell ref="C113:D113"/>
    <mergeCell ref="C72:D72"/>
    <mergeCell ref="C68:D68"/>
    <mergeCell ref="A1:A2"/>
    <mergeCell ref="B1:B2"/>
    <mergeCell ref="C1:D2"/>
    <mergeCell ref="C59:D59"/>
    <mergeCell ref="C56:D56"/>
    <mergeCell ref="C11:D11"/>
    <mergeCell ref="C40:D40"/>
    <mergeCell ref="C21:D21"/>
    <mergeCell ref="C31:D31"/>
    <mergeCell ref="C32:D32"/>
    <mergeCell ref="C17:D17"/>
    <mergeCell ref="C30:D30"/>
    <mergeCell ref="C29:D29"/>
    <mergeCell ref="C38:D38"/>
    <mergeCell ref="C53:D53"/>
    <mergeCell ref="C57:D57"/>
    <mergeCell ref="C34:D34"/>
    <mergeCell ref="C35:D35"/>
    <mergeCell ref="C71:D71"/>
    <mergeCell ref="C70:D70"/>
    <mergeCell ref="C50:D50"/>
    <mergeCell ref="C51:D51"/>
    <mergeCell ref="C41:D41"/>
    <mergeCell ref="C111:D111"/>
    <mergeCell ref="C73:D73"/>
    <mergeCell ref="C74:D74"/>
    <mergeCell ref="C82:D82"/>
    <mergeCell ref="C76:D76"/>
    <mergeCell ref="C89:D89"/>
    <mergeCell ref="C90:D90"/>
    <mergeCell ref="C83:D83"/>
    <mergeCell ref="C106:D106"/>
    <mergeCell ref="C108:D108"/>
    <mergeCell ref="C98:D98"/>
    <mergeCell ref="C91:D91"/>
    <mergeCell ref="C92:D92"/>
    <mergeCell ref="C13:D13"/>
    <mergeCell ref="C46:D46"/>
    <mergeCell ref="C39:D39"/>
    <mergeCell ref="C19:D19"/>
    <mergeCell ref="C15:D15"/>
    <mergeCell ref="C16:D16"/>
    <mergeCell ref="C33:D33"/>
  </mergeCells>
  <phoneticPr fontId="20" type="noConversion"/>
  <printOptions horizontalCentered="1" verticalCentered="1"/>
  <pageMargins left="0" right="0.23622047244094491" top="0.6692913385826772" bottom="1.1811023622047245" header="0.11811023622047245" footer="0.70866141732283472"/>
  <pageSetup paperSize="9" scale="90" orientation="landscape" horizontalDpi="300" verticalDpi="300" r:id="rId1"/>
  <headerFooter alignWithMargins="0">
    <oddHeader>&amp;CZALAEGERSZEG MEGYEI JOGÚ VÁROS ÖNKORMÁNYZATA
2014. ÉVI KIADÁSI ELŐIRÁNYZATAINAK MÓDOSÍTÁSA A II. NEGYEDÉVBEN
&amp;R&amp;"Times New Roman CE,Félkövér dőlt"12.  melléklet
Adatok: ezer Ft-ban</oddHeader>
    <oddFooter>&amp;L* kgy= közgyűlési hatáskörben           
   pm= polgármesteri hatáskörben
   biz = bizottsági hatáskörben&amp;C&amp;P. oldal&amp;RFeladat jellege:
1 =    kötelező
2=önként vállalt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10" zoomScaleNormal="120" workbookViewId="0">
      <selection activeCell="L6" sqref="L6"/>
    </sheetView>
  </sheetViews>
  <sheetFormatPr defaultRowHeight="12.75" x14ac:dyDescent="0.2"/>
  <cols>
    <col min="1" max="1" width="3" style="56" customWidth="1"/>
    <col min="2" max="2" width="35" style="53" customWidth="1"/>
    <col min="3" max="3" width="12.6640625" style="53" customWidth="1"/>
    <col min="4" max="4" width="14.1640625" style="53" customWidth="1"/>
    <col min="5" max="5" width="10.5" style="53" customWidth="1"/>
    <col min="6" max="6" width="14.1640625" style="53" customWidth="1"/>
    <col min="7" max="7" width="12.5" style="53" customWidth="1"/>
    <col min="8" max="8" width="13.1640625" style="53" customWidth="1"/>
    <col min="9" max="9" width="14.5" style="53" customWidth="1"/>
    <col min="10" max="10" width="12.5" style="53" customWidth="1"/>
    <col min="11" max="11" width="14.1640625" style="53" customWidth="1"/>
    <col min="12" max="12" width="14.6640625" style="53" customWidth="1"/>
    <col min="13" max="13" width="13.1640625" style="53" customWidth="1"/>
    <col min="14" max="16384" width="9.33203125" style="53"/>
  </cols>
  <sheetData>
    <row r="1" spans="1:13" ht="14.25" customHeight="1" x14ac:dyDescent="0.2">
      <c r="A1" s="739" t="s">
        <v>965</v>
      </c>
      <c r="B1" s="739" t="s">
        <v>685</v>
      </c>
      <c r="C1" s="739" t="s">
        <v>972</v>
      </c>
      <c r="D1" s="741"/>
      <c r="E1" s="741"/>
      <c r="F1" s="741"/>
      <c r="G1" s="741"/>
      <c r="H1" s="741"/>
      <c r="I1" s="741"/>
      <c r="J1" s="742" t="s">
        <v>973</v>
      </c>
      <c r="K1" s="741"/>
      <c r="L1" s="741"/>
      <c r="M1" s="739" t="s">
        <v>974</v>
      </c>
    </row>
    <row r="2" spans="1:13" ht="90" customHeight="1" x14ac:dyDescent="0.2">
      <c r="A2" s="740"/>
      <c r="B2" s="740"/>
      <c r="C2" s="217" t="s">
        <v>975</v>
      </c>
      <c r="D2" s="217" t="s">
        <v>976</v>
      </c>
      <c r="E2" s="217" t="s">
        <v>464</v>
      </c>
      <c r="F2" s="217" t="s">
        <v>977</v>
      </c>
      <c r="G2" s="217" t="s">
        <v>682</v>
      </c>
      <c r="H2" s="217" t="s">
        <v>978</v>
      </c>
      <c r="I2" s="217" t="s">
        <v>979</v>
      </c>
      <c r="J2" s="217" t="s">
        <v>980</v>
      </c>
      <c r="K2" s="217" t="s">
        <v>981</v>
      </c>
      <c r="L2" s="217" t="s">
        <v>982</v>
      </c>
      <c r="M2" s="739"/>
    </row>
    <row r="3" spans="1:13" ht="15" customHeight="1" x14ac:dyDescent="0.2">
      <c r="A3" s="216">
        <v>2</v>
      </c>
      <c r="B3" s="152" t="s">
        <v>909</v>
      </c>
      <c r="C3" s="218">
        <v>7506</v>
      </c>
      <c r="D3" s="218"/>
      <c r="E3" s="218"/>
      <c r="F3" s="219"/>
      <c r="G3" s="219"/>
      <c r="H3" s="219"/>
      <c r="I3" s="219"/>
      <c r="J3" s="219"/>
      <c r="K3" s="219">
        <v>129</v>
      </c>
      <c r="L3" s="219"/>
      <c r="M3" s="219">
        <f>SUM(C3:L3)</f>
        <v>7635</v>
      </c>
    </row>
    <row r="4" spans="1:13" s="54" customFormat="1" ht="28.5" customHeight="1" x14ac:dyDescent="0.2">
      <c r="A4" s="216">
        <v>3</v>
      </c>
      <c r="B4" s="152" t="s">
        <v>955</v>
      </c>
      <c r="C4" s="606"/>
      <c r="D4" s="606">
        <v>2000</v>
      </c>
      <c r="E4" s="606"/>
      <c r="F4" s="606"/>
      <c r="G4" s="606"/>
      <c r="H4" s="606"/>
      <c r="I4" s="606"/>
      <c r="J4" s="606"/>
      <c r="K4" s="606">
        <v>1322</v>
      </c>
      <c r="L4" s="219"/>
      <c r="M4" s="219">
        <f t="shared" ref="M4:M19" si="0">SUM(C4:L4)</f>
        <v>3322</v>
      </c>
    </row>
    <row r="5" spans="1:13" s="54" customFormat="1" ht="19.5" customHeight="1" x14ac:dyDescent="0.2">
      <c r="A5" s="216">
        <v>4</v>
      </c>
      <c r="B5" s="152" t="s">
        <v>956</v>
      </c>
      <c r="C5" s="606"/>
      <c r="D5" s="606">
        <v>15000</v>
      </c>
      <c r="E5" s="606"/>
      <c r="F5" s="606"/>
      <c r="G5" s="606"/>
      <c r="H5" s="606"/>
      <c r="I5" s="606"/>
      <c r="J5" s="606"/>
      <c r="K5" s="606">
        <v>584</v>
      </c>
      <c r="L5" s="219"/>
      <c r="M5" s="219">
        <f t="shared" si="0"/>
        <v>15584</v>
      </c>
    </row>
    <row r="6" spans="1:13" s="54" customFormat="1" ht="15" customHeight="1" x14ac:dyDescent="0.2">
      <c r="A6" s="216">
        <v>5</v>
      </c>
      <c r="B6" s="117" t="s">
        <v>957</v>
      </c>
      <c r="C6" s="606"/>
      <c r="D6" s="606"/>
      <c r="E6" s="606"/>
      <c r="F6" s="606"/>
      <c r="G6" s="606"/>
      <c r="H6" s="606"/>
      <c r="I6" s="606"/>
      <c r="J6" s="606"/>
      <c r="K6" s="606">
        <v>699</v>
      </c>
      <c r="L6" s="219"/>
      <c r="M6" s="219">
        <f t="shared" si="0"/>
        <v>699</v>
      </c>
    </row>
    <row r="7" spans="1:13" s="54" customFormat="1" x14ac:dyDescent="0.2">
      <c r="A7" s="216">
        <v>6</v>
      </c>
      <c r="B7" s="117" t="s">
        <v>958</v>
      </c>
      <c r="C7" s="606"/>
      <c r="D7" s="606"/>
      <c r="E7" s="606"/>
      <c r="F7" s="606"/>
      <c r="G7" s="606"/>
      <c r="H7" s="606"/>
      <c r="I7" s="606"/>
      <c r="J7" s="606"/>
      <c r="K7" s="606">
        <v>438</v>
      </c>
      <c r="L7" s="219"/>
      <c r="M7" s="219">
        <f t="shared" si="0"/>
        <v>438</v>
      </c>
    </row>
    <row r="8" spans="1:13" s="54" customFormat="1" ht="17.25" customHeight="1" x14ac:dyDescent="0.2">
      <c r="A8" s="216">
        <v>7</v>
      </c>
      <c r="B8" s="117" t="s">
        <v>959</v>
      </c>
      <c r="C8" s="606"/>
      <c r="D8" s="606"/>
      <c r="E8" s="606"/>
      <c r="F8" s="606"/>
      <c r="G8" s="606"/>
      <c r="H8" s="606"/>
      <c r="I8" s="606"/>
      <c r="J8" s="606"/>
      <c r="K8" s="606">
        <v>336</v>
      </c>
      <c r="L8" s="219"/>
      <c r="M8" s="219">
        <f t="shared" si="0"/>
        <v>336</v>
      </c>
    </row>
    <row r="9" spans="1:13" s="54" customFormat="1" ht="15" customHeight="1" x14ac:dyDescent="0.2">
      <c r="A9" s="216">
        <v>8</v>
      </c>
      <c r="B9" s="117" t="s">
        <v>960</v>
      </c>
      <c r="C9" s="606"/>
      <c r="D9" s="606"/>
      <c r="E9" s="606"/>
      <c r="F9" s="606"/>
      <c r="G9" s="606"/>
      <c r="H9" s="606"/>
      <c r="I9" s="606"/>
      <c r="J9" s="606"/>
      <c r="K9" s="606">
        <v>363</v>
      </c>
      <c r="L9" s="219"/>
      <c r="M9" s="219">
        <f t="shared" si="0"/>
        <v>363</v>
      </c>
    </row>
    <row r="10" spans="1:13" s="54" customFormat="1" ht="19.5" customHeight="1" x14ac:dyDescent="0.2">
      <c r="A10" s="216">
        <v>9</v>
      </c>
      <c r="B10" s="117" t="s">
        <v>961</v>
      </c>
      <c r="C10" s="606"/>
      <c r="D10" s="606"/>
      <c r="E10" s="606"/>
      <c r="F10" s="606"/>
      <c r="G10" s="606"/>
      <c r="H10" s="606"/>
      <c r="I10" s="606"/>
      <c r="J10" s="606"/>
      <c r="K10" s="606">
        <v>371</v>
      </c>
      <c r="L10" s="219"/>
      <c r="M10" s="219">
        <f t="shared" si="0"/>
        <v>371</v>
      </c>
    </row>
    <row r="11" spans="1:13" s="54" customFormat="1" ht="27" customHeight="1" x14ac:dyDescent="0.2">
      <c r="A11" s="216">
        <v>10</v>
      </c>
      <c r="B11" s="204" t="s">
        <v>962</v>
      </c>
      <c r="C11" s="606">
        <v>1000</v>
      </c>
      <c r="D11" s="606"/>
      <c r="E11" s="606"/>
      <c r="F11" s="606">
        <v>2910</v>
      </c>
      <c r="G11" s="606"/>
      <c r="H11" s="606"/>
      <c r="I11" s="606"/>
      <c r="J11" s="606"/>
      <c r="K11" s="606">
        <v>702</v>
      </c>
      <c r="L11" s="219"/>
      <c r="M11" s="219">
        <f t="shared" si="0"/>
        <v>4612</v>
      </c>
    </row>
    <row r="12" spans="1:13" s="54" customFormat="1" ht="20.25" customHeight="1" x14ac:dyDescent="0.2">
      <c r="A12" s="216">
        <v>11</v>
      </c>
      <c r="B12" s="117" t="s">
        <v>963</v>
      </c>
      <c r="C12" s="606">
        <v>17160</v>
      </c>
      <c r="D12" s="606">
        <v>1200</v>
      </c>
      <c r="E12" s="606"/>
      <c r="F12" s="606"/>
      <c r="G12" s="606"/>
      <c r="H12" s="606"/>
      <c r="I12" s="606"/>
      <c r="J12" s="606"/>
      <c r="K12" s="606">
        <v>392</v>
      </c>
      <c r="L12" s="219"/>
      <c r="M12" s="219">
        <f t="shared" si="0"/>
        <v>18752</v>
      </c>
    </row>
    <row r="13" spans="1:13" s="54" customFormat="1" ht="30" customHeight="1" x14ac:dyDescent="0.2">
      <c r="A13" s="216">
        <v>12</v>
      </c>
      <c r="B13" s="204" t="s">
        <v>964</v>
      </c>
      <c r="C13" s="606"/>
      <c r="D13" s="606"/>
      <c r="E13" s="606"/>
      <c r="F13" s="606">
        <v>380</v>
      </c>
      <c r="G13" s="606"/>
      <c r="H13" s="606"/>
      <c r="I13" s="606"/>
      <c r="J13" s="606"/>
      <c r="K13" s="606">
        <v>-1</v>
      </c>
      <c r="L13" s="219"/>
      <c r="M13" s="219">
        <f t="shared" si="0"/>
        <v>379</v>
      </c>
    </row>
    <row r="14" spans="1:13" s="54" customFormat="1" ht="16.5" customHeight="1" x14ac:dyDescent="0.2">
      <c r="A14" s="216">
        <v>13</v>
      </c>
      <c r="B14" s="117" t="s">
        <v>698</v>
      </c>
      <c r="C14" s="606">
        <v>9836</v>
      </c>
      <c r="D14" s="606"/>
      <c r="E14" s="606"/>
      <c r="F14" s="606"/>
      <c r="G14" s="606"/>
      <c r="H14" s="606"/>
      <c r="I14" s="606"/>
      <c r="J14" s="606"/>
      <c r="K14" s="606">
        <v>2642</v>
      </c>
      <c r="L14" s="219"/>
      <c r="M14" s="219">
        <f t="shared" si="0"/>
        <v>12478</v>
      </c>
    </row>
    <row r="15" spans="1:13" s="54" customFormat="1" ht="16.5" customHeight="1" x14ac:dyDescent="0.2">
      <c r="A15" s="216">
        <v>14</v>
      </c>
      <c r="B15" s="117" t="s">
        <v>699</v>
      </c>
      <c r="C15" s="606">
        <v>400</v>
      </c>
      <c r="D15" s="606"/>
      <c r="E15" s="606"/>
      <c r="F15" s="606">
        <v>-400</v>
      </c>
      <c r="G15" s="606">
        <v>400</v>
      </c>
      <c r="H15" s="606">
        <v>60</v>
      </c>
      <c r="I15" s="606"/>
      <c r="J15" s="606"/>
      <c r="K15" s="606">
        <v>315</v>
      </c>
      <c r="L15" s="219"/>
      <c r="M15" s="219">
        <f t="shared" si="0"/>
        <v>775</v>
      </c>
    </row>
    <row r="16" spans="1:13" s="54" customFormat="1" ht="18" customHeight="1" x14ac:dyDescent="0.2">
      <c r="A16" s="216">
        <v>15</v>
      </c>
      <c r="B16" s="117" t="s">
        <v>723</v>
      </c>
      <c r="C16" s="606"/>
      <c r="D16" s="606"/>
      <c r="E16" s="606"/>
      <c r="F16" s="606"/>
      <c r="G16" s="606"/>
      <c r="H16" s="606"/>
      <c r="I16" s="606"/>
      <c r="J16" s="606"/>
      <c r="K16" s="606">
        <v>1181</v>
      </c>
      <c r="L16" s="219"/>
      <c r="M16" s="219">
        <f t="shared" si="0"/>
        <v>1181</v>
      </c>
    </row>
    <row r="17" spans="1:13" s="54" customFormat="1" ht="18.75" customHeight="1" x14ac:dyDescent="0.2">
      <c r="A17" s="216">
        <v>16</v>
      </c>
      <c r="B17" s="117" t="s">
        <v>701</v>
      </c>
      <c r="C17" s="606"/>
      <c r="D17" s="606"/>
      <c r="E17" s="606"/>
      <c r="F17" s="606"/>
      <c r="G17" s="606"/>
      <c r="H17" s="606"/>
      <c r="I17" s="606"/>
      <c r="J17" s="606"/>
      <c r="K17" s="606">
        <v>367</v>
      </c>
      <c r="L17" s="219"/>
      <c r="M17" s="219">
        <f t="shared" si="0"/>
        <v>367</v>
      </c>
    </row>
    <row r="18" spans="1:13" s="54" customFormat="1" ht="18" customHeight="1" x14ac:dyDescent="0.2">
      <c r="A18" s="216">
        <v>17</v>
      </c>
      <c r="B18" s="117" t="s">
        <v>700</v>
      </c>
      <c r="C18" s="606"/>
      <c r="D18" s="606"/>
      <c r="E18" s="606"/>
      <c r="F18" s="606"/>
      <c r="G18" s="606"/>
      <c r="H18" s="606"/>
      <c r="I18" s="606"/>
      <c r="J18" s="606"/>
      <c r="K18" s="606">
        <v>-15</v>
      </c>
      <c r="L18" s="219"/>
      <c r="M18" s="219">
        <f t="shared" si="0"/>
        <v>-15</v>
      </c>
    </row>
    <row r="19" spans="1:13" s="54" customFormat="1" ht="18.75" customHeight="1" x14ac:dyDescent="0.2">
      <c r="A19" s="216">
        <v>18</v>
      </c>
      <c r="B19" s="78" t="s">
        <v>668</v>
      </c>
      <c r="C19" s="606"/>
      <c r="D19" s="606"/>
      <c r="E19" s="606"/>
      <c r="F19" s="606">
        <v>300</v>
      </c>
      <c r="G19" s="606"/>
      <c r="H19" s="606"/>
      <c r="I19" s="606"/>
      <c r="J19" s="606"/>
      <c r="K19" s="606">
        <v>28</v>
      </c>
      <c r="L19" s="219"/>
      <c r="M19" s="219">
        <f t="shared" si="0"/>
        <v>328</v>
      </c>
    </row>
    <row r="20" spans="1:13" s="54" customFormat="1" ht="24" customHeight="1" x14ac:dyDescent="0.2">
      <c r="A20" s="63"/>
      <c r="B20" s="64" t="s">
        <v>686</v>
      </c>
      <c r="C20" s="65">
        <f t="shared" ref="C20:M20" si="1">SUM(C3:C19)</f>
        <v>35902</v>
      </c>
      <c r="D20" s="65">
        <f t="shared" si="1"/>
        <v>18200</v>
      </c>
      <c r="E20" s="65">
        <f t="shared" si="1"/>
        <v>0</v>
      </c>
      <c r="F20" s="65">
        <f t="shared" si="1"/>
        <v>3190</v>
      </c>
      <c r="G20" s="65">
        <f t="shared" si="1"/>
        <v>400</v>
      </c>
      <c r="H20" s="65">
        <f t="shared" si="1"/>
        <v>60</v>
      </c>
      <c r="I20" s="65">
        <f t="shared" si="1"/>
        <v>0</v>
      </c>
      <c r="J20" s="65">
        <f t="shared" si="1"/>
        <v>0</v>
      </c>
      <c r="K20" s="65">
        <f t="shared" si="1"/>
        <v>9853</v>
      </c>
      <c r="L20" s="65">
        <f t="shared" si="1"/>
        <v>0</v>
      </c>
      <c r="M20" s="65">
        <f t="shared" si="1"/>
        <v>67605</v>
      </c>
    </row>
    <row r="21" spans="1:13" s="54" customFormat="1" x14ac:dyDescent="0.2">
      <c r="A21" s="55"/>
    </row>
    <row r="22" spans="1:13" s="54" customFormat="1" x14ac:dyDescent="0.2">
      <c r="A22" s="55"/>
    </row>
    <row r="23" spans="1:13" s="54" customFormat="1" x14ac:dyDescent="0.2">
      <c r="A23" s="55"/>
    </row>
    <row r="24" spans="1:13" s="54" customFormat="1" x14ac:dyDescent="0.2">
      <c r="A24" s="55"/>
    </row>
    <row r="25" spans="1:13" s="54" customFormat="1" x14ac:dyDescent="0.2">
      <c r="A25" s="55"/>
    </row>
    <row r="26" spans="1:13" s="54" customFormat="1" x14ac:dyDescent="0.2">
      <c r="A26" s="55"/>
    </row>
    <row r="27" spans="1:13" s="54" customFormat="1" x14ac:dyDescent="0.2">
      <c r="A27" s="55"/>
    </row>
    <row r="28" spans="1:13" s="54" customFormat="1" x14ac:dyDescent="0.2">
      <c r="A28" s="55"/>
    </row>
    <row r="29" spans="1:13" s="54" customFormat="1" x14ac:dyDescent="0.2">
      <c r="A29" s="55"/>
    </row>
    <row r="30" spans="1:13" s="54" customFormat="1" x14ac:dyDescent="0.2">
      <c r="A30" s="55"/>
    </row>
    <row r="31" spans="1:13" s="54" customFormat="1" x14ac:dyDescent="0.2">
      <c r="A31" s="55"/>
    </row>
    <row r="32" spans="1:13" s="54" customFormat="1" x14ac:dyDescent="0.2">
      <c r="A32" s="55"/>
    </row>
    <row r="33" spans="1:1" s="54" customFormat="1" x14ac:dyDescent="0.2">
      <c r="A33" s="55"/>
    </row>
    <row r="34" spans="1:1" s="54" customFormat="1" x14ac:dyDescent="0.2">
      <c r="A34" s="55"/>
    </row>
    <row r="35" spans="1:1" s="54" customFormat="1" x14ac:dyDescent="0.2">
      <c r="A35" s="55"/>
    </row>
    <row r="36" spans="1:1" s="54" customFormat="1" x14ac:dyDescent="0.2">
      <c r="A36" s="55"/>
    </row>
    <row r="37" spans="1:1" s="54" customFormat="1" x14ac:dyDescent="0.2">
      <c r="A37" s="55"/>
    </row>
    <row r="38" spans="1:1" s="54" customFormat="1" x14ac:dyDescent="0.2">
      <c r="A38" s="55"/>
    </row>
    <row r="39" spans="1:1" s="54" customFormat="1" x14ac:dyDescent="0.2">
      <c r="A39" s="55"/>
    </row>
    <row r="40" spans="1:1" s="54" customFormat="1" x14ac:dyDescent="0.2">
      <c r="A40" s="55"/>
    </row>
    <row r="41" spans="1:1" s="54" customFormat="1" x14ac:dyDescent="0.2">
      <c r="A41" s="55"/>
    </row>
    <row r="42" spans="1:1" s="54" customFormat="1" x14ac:dyDescent="0.2">
      <c r="A42" s="55"/>
    </row>
    <row r="43" spans="1:1" s="54" customFormat="1" x14ac:dyDescent="0.2">
      <c r="A43" s="55"/>
    </row>
    <row r="44" spans="1:1" s="54" customFormat="1" x14ac:dyDescent="0.2">
      <c r="A44" s="55"/>
    </row>
    <row r="45" spans="1:1" s="54" customFormat="1" x14ac:dyDescent="0.2">
      <c r="A45" s="55"/>
    </row>
    <row r="46" spans="1:1" s="54" customFormat="1" x14ac:dyDescent="0.2">
      <c r="A46" s="55"/>
    </row>
    <row r="47" spans="1:1" s="54" customFormat="1" x14ac:dyDescent="0.2">
      <c r="A47" s="55"/>
    </row>
    <row r="48" spans="1:1" s="54" customFormat="1" x14ac:dyDescent="0.2">
      <c r="A48" s="55"/>
    </row>
    <row r="49" spans="1:1" s="54" customFormat="1" x14ac:dyDescent="0.2">
      <c r="A49" s="55"/>
    </row>
    <row r="50" spans="1:1" s="54" customFormat="1" x14ac:dyDescent="0.2">
      <c r="A50" s="55"/>
    </row>
    <row r="51" spans="1:1" s="54" customFormat="1" x14ac:dyDescent="0.2">
      <c r="A51" s="55"/>
    </row>
    <row r="52" spans="1:1" s="54" customFormat="1" x14ac:dyDescent="0.2">
      <c r="A52" s="55"/>
    </row>
    <row r="53" spans="1:1" s="54" customFormat="1" x14ac:dyDescent="0.2">
      <c r="A53" s="55"/>
    </row>
    <row r="54" spans="1:1" s="54" customFormat="1" x14ac:dyDescent="0.2">
      <c r="A54" s="55"/>
    </row>
    <row r="55" spans="1:1" s="54" customFormat="1" x14ac:dyDescent="0.2">
      <c r="A55" s="55"/>
    </row>
    <row r="56" spans="1:1" s="54" customFormat="1" x14ac:dyDescent="0.2">
      <c r="A56" s="55"/>
    </row>
    <row r="57" spans="1:1" s="54" customFormat="1" x14ac:dyDescent="0.2">
      <c r="A57" s="55"/>
    </row>
    <row r="58" spans="1:1" s="54" customFormat="1" x14ac:dyDescent="0.2">
      <c r="A58" s="55"/>
    </row>
    <row r="59" spans="1:1" s="54" customFormat="1" x14ac:dyDescent="0.2">
      <c r="A59" s="55"/>
    </row>
    <row r="60" spans="1:1" s="54" customFormat="1" x14ac:dyDescent="0.2">
      <c r="A60" s="55"/>
    </row>
    <row r="61" spans="1:1" s="54" customFormat="1" x14ac:dyDescent="0.2">
      <c r="A61" s="55"/>
    </row>
    <row r="62" spans="1:1" s="54" customFormat="1" x14ac:dyDescent="0.2">
      <c r="A62" s="55"/>
    </row>
    <row r="63" spans="1:1" s="54" customFormat="1" x14ac:dyDescent="0.2">
      <c r="A63" s="55"/>
    </row>
  </sheetData>
  <mergeCells count="5">
    <mergeCell ref="M1:M2"/>
    <mergeCell ref="A1:A2"/>
    <mergeCell ref="B1:B2"/>
    <mergeCell ref="C1:I1"/>
    <mergeCell ref="J1:L1"/>
  </mergeCells>
  <phoneticPr fontId="0" type="noConversion"/>
  <printOptions horizontalCentered="1" verticalCentered="1"/>
  <pageMargins left="7.874015748031496E-2" right="7.874015748031496E-2" top="1.4173228346456694" bottom="0.74803149606299213" header="0.43307086614173229" footer="0.31496062992125984"/>
  <pageSetup paperSize="9" scale="85" orientation="landscape" horizontalDpi="300" verticalDpi="300" r:id="rId1"/>
  <headerFooter alignWithMargins="0">
    <oddHeader xml:space="preserve">&amp;C&amp;"Arial CE,Dőlt"ZALAEGERSZEG MJV&amp;"Times New Roman,Dőlt"ÖNKORMÁNYZATA  ÁLTAL IRÁNYÍTOTT  KÖLTSÉGVETÉSI SZERVEK 
2014. ÉVI  BEVÉTELI ELŐIRÁNYZATAINAK  MÓDOSÍTÁSA A II.. NEGYEDÉVBEN&amp;R&amp;"Times New Roman,Dőlt"&amp;9
 1. tájékoztató tábla
Adatok eFt-ban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opLeftCell="A10" zoomScaleNormal="120" workbookViewId="0">
      <selection activeCell="L6" sqref="L6"/>
    </sheetView>
  </sheetViews>
  <sheetFormatPr defaultRowHeight="12.75" x14ac:dyDescent="0.2"/>
  <cols>
    <col min="1" max="1" width="5.83203125" style="56" customWidth="1"/>
    <col min="2" max="2" width="40.6640625" style="53" customWidth="1"/>
    <col min="3" max="3" width="12.6640625" style="53" customWidth="1"/>
    <col min="4" max="4" width="14.1640625" style="53" customWidth="1"/>
    <col min="5" max="5" width="14" style="53" customWidth="1"/>
    <col min="6" max="6" width="14.1640625" style="53" customWidth="1"/>
    <col min="7" max="7" width="12.5" style="53" customWidth="1"/>
    <col min="8" max="8" width="13.1640625" style="53" customWidth="1"/>
    <col min="9" max="9" width="14.5" style="53" customWidth="1"/>
    <col min="10" max="10" width="12.5" style="53" customWidth="1"/>
    <col min="11" max="11" width="14.1640625" style="53" customWidth="1"/>
    <col min="12" max="12" width="14.6640625" style="53" customWidth="1"/>
    <col min="13" max="16384" width="9.33203125" style="53"/>
  </cols>
  <sheetData>
    <row r="1" spans="1:12" ht="14.25" customHeight="1" x14ac:dyDescent="0.25">
      <c r="A1" s="739" t="s">
        <v>965</v>
      </c>
      <c r="B1" s="739" t="s">
        <v>685</v>
      </c>
      <c r="C1" s="739" t="s">
        <v>966</v>
      </c>
      <c r="D1" s="745"/>
      <c r="E1" s="745"/>
      <c r="F1" s="745"/>
      <c r="G1" s="745"/>
      <c r="H1" s="745"/>
      <c r="I1" s="745"/>
      <c r="J1" s="745"/>
      <c r="K1" s="746" t="s">
        <v>970</v>
      </c>
      <c r="L1" s="746" t="s">
        <v>822</v>
      </c>
    </row>
    <row r="2" spans="1:12" ht="82.5" customHeight="1" x14ac:dyDescent="0.2">
      <c r="A2" s="740"/>
      <c r="B2" s="740"/>
      <c r="C2" s="217" t="s">
        <v>435</v>
      </c>
      <c r="D2" s="217" t="s">
        <v>967</v>
      </c>
      <c r="E2" s="217" t="s">
        <v>667</v>
      </c>
      <c r="F2" s="217" t="s">
        <v>968</v>
      </c>
      <c r="G2" s="217" t="s">
        <v>438</v>
      </c>
      <c r="H2" s="217" t="s">
        <v>457</v>
      </c>
      <c r="I2" s="217" t="s">
        <v>458</v>
      </c>
      <c r="J2" s="217" t="s">
        <v>969</v>
      </c>
      <c r="K2" s="747"/>
      <c r="L2" s="747"/>
    </row>
    <row r="3" spans="1:12" ht="15" customHeight="1" x14ac:dyDescent="0.2">
      <c r="A3" s="216">
        <v>2</v>
      </c>
      <c r="B3" s="152" t="s">
        <v>909</v>
      </c>
      <c r="C3" s="218">
        <v>5639</v>
      </c>
      <c r="D3" s="218">
        <v>1250</v>
      </c>
      <c r="E3" s="218">
        <v>617</v>
      </c>
      <c r="F3" s="219"/>
      <c r="G3" s="219">
        <v>129</v>
      </c>
      <c r="H3" s="219"/>
      <c r="I3" s="219"/>
      <c r="J3" s="219"/>
      <c r="K3" s="219"/>
      <c r="L3" s="219">
        <f>SUM(C3:K3)</f>
        <v>7635</v>
      </c>
    </row>
    <row r="4" spans="1:12" s="54" customFormat="1" ht="14.25" customHeight="1" x14ac:dyDescent="0.2">
      <c r="A4" s="216">
        <v>3</v>
      </c>
      <c r="B4" s="152" t="s">
        <v>955</v>
      </c>
      <c r="C4" s="606">
        <v>935</v>
      </c>
      <c r="D4" s="606">
        <v>-1513</v>
      </c>
      <c r="E4" s="606">
        <v>900</v>
      </c>
      <c r="F4" s="606"/>
      <c r="G4" s="606">
        <v>1000</v>
      </c>
      <c r="H4" s="606">
        <v>2000</v>
      </c>
      <c r="I4" s="606"/>
      <c r="J4" s="606"/>
      <c r="K4" s="606"/>
      <c r="L4" s="219">
        <f t="shared" ref="L4:L19" si="0">SUM(C4:K4)</f>
        <v>3322</v>
      </c>
    </row>
    <row r="5" spans="1:12" s="54" customFormat="1" ht="19.5" customHeight="1" x14ac:dyDescent="0.2">
      <c r="A5" s="216">
        <v>4</v>
      </c>
      <c r="B5" s="152" t="s">
        <v>956</v>
      </c>
      <c r="C5" s="606">
        <v>827</v>
      </c>
      <c r="D5" s="606">
        <v>-443</v>
      </c>
      <c r="E5" s="606">
        <v>150</v>
      </c>
      <c r="F5" s="606"/>
      <c r="G5" s="606">
        <v>50</v>
      </c>
      <c r="H5" s="606">
        <v>7842</v>
      </c>
      <c r="I5" s="606">
        <v>7158</v>
      </c>
      <c r="J5" s="606"/>
      <c r="K5" s="606"/>
      <c r="L5" s="219">
        <f t="shared" si="0"/>
        <v>15584</v>
      </c>
    </row>
    <row r="6" spans="1:12" s="54" customFormat="1" ht="15" customHeight="1" x14ac:dyDescent="0.2">
      <c r="A6" s="216">
        <v>5</v>
      </c>
      <c r="B6" s="117" t="s">
        <v>957</v>
      </c>
      <c r="C6" s="606">
        <v>398</v>
      </c>
      <c r="D6" s="606">
        <v>1</v>
      </c>
      <c r="E6" s="606"/>
      <c r="F6" s="606"/>
      <c r="G6" s="606"/>
      <c r="H6" s="606">
        <v>300</v>
      </c>
      <c r="I6" s="606"/>
      <c r="J6" s="606"/>
      <c r="K6" s="606"/>
      <c r="L6" s="219">
        <f t="shared" si="0"/>
        <v>699</v>
      </c>
    </row>
    <row r="7" spans="1:12" s="54" customFormat="1" x14ac:dyDescent="0.2">
      <c r="A7" s="216">
        <v>6</v>
      </c>
      <c r="B7" s="117" t="s">
        <v>958</v>
      </c>
      <c r="C7" s="606">
        <v>99</v>
      </c>
      <c r="D7" s="606">
        <v>-61</v>
      </c>
      <c r="E7" s="606">
        <v>150</v>
      </c>
      <c r="F7" s="606"/>
      <c r="G7" s="606">
        <v>50</v>
      </c>
      <c r="H7" s="606">
        <v>200</v>
      </c>
      <c r="I7" s="606"/>
      <c r="J7" s="606"/>
      <c r="K7" s="606"/>
      <c r="L7" s="219">
        <f t="shared" si="0"/>
        <v>438</v>
      </c>
    </row>
    <row r="8" spans="1:12" s="54" customFormat="1" ht="17.25" customHeight="1" x14ac:dyDescent="0.2">
      <c r="A8" s="216">
        <v>7</v>
      </c>
      <c r="B8" s="117" t="s">
        <v>959</v>
      </c>
      <c r="C8" s="606">
        <v>95</v>
      </c>
      <c r="D8" s="606">
        <v>-159</v>
      </c>
      <c r="E8" s="606">
        <v>150</v>
      </c>
      <c r="F8" s="606"/>
      <c r="G8" s="606">
        <v>50</v>
      </c>
      <c r="H8" s="606">
        <v>200</v>
      </c>
      <c r="I8" s="606"/>
      <c r="J8" s="606"/>
      <c r="K8" s="606"/>
      <c r="L8" s="219">
        <f t="shared" si="0"/>
        <v>336</v>
      </c>
    </row>
    <row r="9" spans="1:12" s="54" customFormat="1" ht="15" customHeight="1" x14ac:dyDescent="0.2">
      <c r="A9" s="216">
        <v>8</v>
      </c>
      <c r="B9" s="117" t="s">
        <v>960</v>
      </c>
      <c r="C9" s="606">
        <v>164</v>
      </c>
      <c r="D9" s="606">
        <v>-101</v>
      </c>
      <c r="E9" s="606">
        <v>150</v>
      </c>
      <c r="F9" s="606"/>
      <c r="G9" s="606">
        <v>50</v>
      </c>
      <c r="H9" s="606">
        <v>100</v>
      </c>
      <c r="I9" s="606"/>
      <c r="J9" s="606"/>
      <c r="K9" s="606"/>
      <c r="L9" s="219">
        <f t="shared" si="0"/>
        <v>363</v>
      </c>
    </row>
    <row r="10" spans="1:12" s="54" customFormat="1" ht="19.5" customHeight="1" x14ac:dyDescent="0.2">
      <c r="A10" s="216">
        <v>9</v>
      </c>
      <c r="B10" s="117" t="s">
        <v>961</v>
      </c>
      <c r="C10" s="606">
        <v>85</v>
      </c>
      <c r="D10" s="606">
        <v>-64</v>
      </c>
      <c r="E10" s="606">
        <v>100</v>
      </c>
      <c r="F10" s="606"/>
      <c r="G10" s="606">
        <v>50</v>
      </c>
      <c r="H10" s="606">
        <v>200</v>
      </c>
      <c r="I10" s="606"/>
      <c r="J10" s="606"/>
      <c r="K10" s="606"/>
      <c r="L10" s="219">
        <f t="shared" si="0"/>
        <v>371</v>
      </c>
    </row>
    <row r="11" spans="1:12" s="54" customFormat="1" ht="27" customHeight="1" x14ac:dyDescent="0.2">
      <c r="A11" s="216">
        <v>10</v>
      </c>
      <c r="B11" s="204" t="s">
        <v>962</v>
      </c>
      <c r="C11" s="606">
        <v>658</v>
      </c>
      <c r="D11" s="606">
        <v>110</v>
      </c>
      <c r="E11" s="606">
        <v>2574</v>
      </c>
      <c r="F11" s="606"/>
      <c r="G11" s="606"/>
      <c r="H11" s="606"/>
      <c r="I11" s="606">
        <v>1270</v>
      </c>
      <c r="J11" s="606"/>
      <c r="K11" s="606"/>
      <c r="L11" s="219">
        <f t="shared" si="0"/>
        <v>4612</v>
      </c>
    </row>
    <row r="12" spans="1:12" s="54" customFormat="1" ht="20.25" customHeight="1" x14ac:dyDescent="0.2">
      <c r="A12" s="216">
        <v>11</v>
      </c>
      <c r="B12" s="117" t="s">
        <v>963</v>
      </c>
      <c r="C12" s="606">
        <v>3926</v>
      </c>
      <c r="D12" s="606">
        <v>805</v>
      </c>
      <c r="E12" s="606">
        <v>13521</v>
      </c>
      <c r="F12" s="606"/>
      <c r="G12" s="606"/>
      <c r="H12" s="606">
        <v>1400</v>
      </c>
      <c r="I12" s="606">
        <v>-900</v>
      </c>
      <c r="J12" s="606"/>
      <c r="K12" s="606"/>
      <c r="L12" s="219">
        <f t="shared" si="0"/>
        <v>18752</v>
      </c>
    </row>
    <row r="13" spans="1:12" s="54" customFormat="1" ht="30" customHeight="1" x14ac:dyDescent="0.2">
      <c r="A13" s="216">
        <v>12</v>
      </c>
      <c r="B13" s="204" t="s">
        <v>964</v>
      </c>
      <c r="C13" s="606">
        <v>103</v>
      </c>
      <c r="D13" s="606">
        <v>18</v>
      </c>
      <c r="E13" s="606">
        <v>58</v>
      </c>
      <c r="F13" s="606"/>
      <c r="G13" s="606"/>
      <c r="H13" s="606">
        <v>200</v>
      </c>
      <c r="I13" s="606"/>
      <c r="J13" s="606"/>
      <c r="K13" s="606"/>
      <c r="L13" s="219">
        <f t="shared" si="0"/>
        <v>379</v>
      </c>
    </row>
    <row r="14" spans="1:12" s="54" customFormat="1" ht="16.5" customHeight="1" x14ac:dyDescent="0.2">
      <c r="A14" s="216">
        <v>13</v>
      </c>
      <c r="B14" s="117" t="s">
        <v>698</v>
      </c>
      <c r="C14" s="606">
        <v>2723</v>
      </c>
      <c r="D14" s="606">
        <v>550</v>
      </c>
      <c r="E14" s="606">
        <v>-15795</v>
      </c>
      <c r="F14" s="606"/>
      <c r="G14" s="606"/>
      <c r="H14" s="606">
        <v>25000</v>
      </c>
      <c r="I14" s="606"/>
      <c r="J14" s="606"/>
      <c r="K14" s="606"/>
      <c r="L14" s="219">
        <f t="shared" si="0"/>
        <v>12478</v>
      </c>
    </row>
    <row r="15" spans="1:12" s="54" customFormat="1" ht="16.5" customHeight="1" x14ac:dyDescent="0.2">
      <c r="A15" s="216">
        <v>14</v>
      </c>
      <c r="B15" s="117" t="s">
        <v>699</v>
      </c>
      <c r="C15" s="606">
        <v>169</v>
      </c>
      <c r="D15" s="606">
        <v>46</v>
      </c>
      <c r="E15" s="606">
        <v>560</v>
      </c>
      <c r="F15" s="606"/>
      <c r="G15" s="606"/>
      <c r="H15" s="606"/>
      <c r="I15" s="606"/>
      <c r="J15" s="606"/>
      <c r="K15" s="606"/>
      <c r="L15" s="219">
        <f t="shared" si="0"/>
        <v>775</v>
      </c>
    </row>
    <row r="16" spans="1:12" s="54" customFormat="1" ht="18" customHeight="1" x14ac:dyDescent="0.2">
      <c r="A16" s="216">
        <v>15</v>
      </c>
      <c r="B16" s="117" t="s">
        <v>723</v>
      </c>
      <c r="C16" s="606">
        <v>693</v>
      </c>
      <c r="D16" s="606">
        <v>188</v>
      </c>
      <c r="E16" s="606">
        <v>300</v>
      </c>
      <c r="F16" s="606"/>
      <c r="G16" s="606"/>
      <c r="H16" s="606"/>
      <c r="I16" s="606"/>
      <c r="J16" s="606"/>
      <c r="K16" s="606"/>
      <c r="L16" s="219">
        <f t="shared" si="0"/>
        <v>1181</v>
      </c>
    </row>
    <row r="17" spans="1:12" s="54" customFormat="1" ht="18.75" customHeight="1" x14ac:dyDescent="0.2">
      <c r="A17" s="216">
        <v>16</v>
      </c>
      <c r="B17" s="117" t="s">
        <v>701</v>
      </c>
      <c r="C17" s="606">
        <v>171</v>
      </c>
      <c r="D17" s="606">
        <v>46</v>
      </c>
      <c r="E17" s="606">
        <v>150</v>
      </c>
      <c r="F17" s="606"/>
      <c r="G17" s="606"/>
      <c r="H17" s="606"/>
      <c r="I17" s="606"/>
      <c r="J17" s="606"/>
      <c r="K17" s="606"/>
      <c r="L17" s="219">
        <f t="shared" si="0"/>
        <v>367</v>
      </c>
    </row>
    <row r="18" spans="1:12" s="54" customFormat="1" ht="18" customHeight="1" x14ac:dyDescent="0.2">
      <c r="A18" s="216">
        <v>17</v>
      </c>
      <c r="B18" s="117" t="s">
        <v>700</v>
      </c>
      <c r="C18" s="606">
        <v>83</v>
      </c>
      <c r="D18" s="606">
        <v>-98</v>
      </c>
      <c r="E18" s="606"/>
      <c r="F18" s="606"/>
      <c r="G18" s="606"/>
      <c r="H18" s="606"/>
      <c r="I18" s="606"/>
      <c r="J18" s="606"/>
      <c r="K18" s="606"/>
      <c r="L18" s="219">
        <f t="shared" si="0"/>
        <v>-15</v>
      </c>
    </row>
    <row r="19" spans="1:12" s="54" customFormat="1" ht="18.75" customHeight="1" x14ac:dyDescent="0.2">
      <c r="A19" s="216">
        <v>18</v>
      </c>
      <c r="B19" s="78" t="s">
        <v>668</v>
      </c>
      <c r="C19" s="606">
        <v>22</v>
      </c>
      <c r="D19" s="606">
        <v>6</v>
      </c>
      <c r="E19" s="606"/>
      <c r="F19" s="606"/>
      <c r="G19" s="606"/>
      <c r="H19" s="606">
        <v>300</v>
      </c>
      <c r="I19" s="606"/>
      <c r="J19" s="606"/>
      <c r="K19" s="606"/>
      <c r="L19" s="219">
        <f t="shared" si="0"/>
        <v>328</v>
      </c>
    </row>
    <row r="20" spans="1:12" s="54" customFormat="1" ht="18" customHeight="1" x14ac:dyDescent="0.2">
      <c r="A20" s="63"/>
      <c r="B20" s="64" t="s">
        <v>686</v>
      </c>
      <c r="C20" s="65">
        <f>SUM(C3:C19)</f>
        <v>16790</v>
      </c>
      <c r="D20" s="65">
        <f t="shared" ref="D20:L20" si="1">SUM(D3:D19)</f>
        <v>581</v>
      </c>
      <c r="E20" s="65">
        <f t="shared" si="1"/>
        <v>3585</v>
      </c>
      <c r="F20" s="65">
        <f t="shared" si="1"/>
        <v>0</v>
      </c>
      <c r="G20" s="65">
        <f t="shared" si="1"/>
        <v>1379</v>
      </c>
      <c r="H20" s="65">
        <f t="shared" si="1"/>
        <v>37742</v>
      </c>
      <c r="I20" s="65">
        <f t="shared" si="1"/>
        <v>7528</v>
      </c>
      <c r="J20" s="65">
        <f t="shared" si="1"/>
        <v>0</v>
      </c>
      <c r="K20" s="65">
        <f t="shared" si="1"/>
        <v>0</v>
      </c>
      <c r="L20" s="65">
        <f t="shared" si="1"/>
        <v>67605</v>
      </c>
    </row>
    <row r="21" spans="1:12" s="54" customFormat="1" x14ac:dyDescent="0.2">
      <c r="A21" s="55"/>
    </row>
    <row r="22" spans="1:12" s="54" customFormat="1" x14ac:dyDescent="0.2">
      <c r="A22" s="55"/>
    </row>
    <row r="23" spans="1:12" s="54" customFormat="1" x14ac:dyDescent="0.2">
      <c r="A23" s="55"/>
    </row>
    <row r="24" spans="1:12" s="54" customFormat="1" x14ac:dyDescent="0.2">
      <c r="A24" s="55"/>
    </row>
    <row r="25" spans="1:12" s="54" customFormat="1" x14ac:dyDescent="0.2">
      <c r="A25" s="55"/>
    </row>
    <row r="26" spans="1:12" s="54" customFormat="1" x14ac:dyDescent="0.2">
      <c r="A26" s="55"/>
    </row>
    <row r="27" spans="1:12" s="54" customFormat="1" x14ac:dyDescent="0.2">
      <c r="A27" s="55"/>
    </row>
    <row r="28" spans="1:12" s="54" customFormat="1" x14ac:dyDescent="0.2">
      <c r="A28" s="55"/>
    </row>
    <row r="29" spans="1:12" s="54" customFormat="1" x14ac:dyDescent="0.2">
      <c r="A29" s="55"/>
    </row>
    <row r="30" spans="1:12" s="54" customFormat="1" x14ac:dyDescent="0.2">
      <c r="A30" s="55"/>
    </row>
    <row r="31" spans="1:12" s="54" customFormat="1" x14ac:dyDescent="0.2">
      <c r="A31" s="55"/>
    </row>
    <row r="32" spans="1:12" s="54" customFormat="1" x14ac:dyDescent="0.2">
      <c r="A32" s="55"/>
    </row>
    <row r="33" spans="1:1" s="54" customFormat="1" x14ac:dyDescent="0.2">
      <c r="A33" s="55"/>
    </row>
    <row r="34" spans="1:1" s="54" customFormat="1" x14ac:dyDescent="0.2">
      <c r="A34" s="55"/>
    </row>
    <row r="35" spans="1:1" s="54" customFormat="1" x14ac:dyDescent="0.2">
      <c r="A35" s="55"/>
    </row>
    <row r="36" spans="1:1" s="54" customFormat="1" x14ac:dyDescent="0.2">
      <c r="A36" s="55"/>
    </row>
    <row r="37" spans="1:1" s="54" customFormat="1" x14ac:dyDescent="0.2">
      <c r="A37" s="55"/>
    </row>
    <row r="38" spans="1:1" s="54" customFormat="1" x14ac:dyDescent="0.2">
      <c r="A38" s="55"/>
    </row>
    <row r="39" spans="1:1" s="54" customFormat="1" x14ac:dyDescent="0.2">
      <c r="A39" s="55"/>
    </row>
    <row r="40" spans="1:1" s="54" customFormat="1" x14ac:dyDescent="0.2">
      <c r="A40" s="55"/>
    </row>
    <row r="41" spans="1:1" s="54" customFormat="1" x14ac:dyDescent="0.2">
      <c r="A41" s="55"/>
    </row>
    <row r="42" spans="1:1" s="54" customFormat="1" x14ac:dyDescent="0.2">
      <c r="A42" s="55"/>
    </row>
    <row r="43" spans="1:1" s="54" customFormat="1" x14ac:dyDescent="0.2">
      <c r="A43" s="55"/>
    </row>
    <row r="44" spans="1:1" s="54" customFormat="1" x14ac:dyDescent="0.2">
      <c r="A44" s="55"/>
    </row>
    <row r="45" spans="1:1" s="54" customFormat="1" x14ac:dyDescent="0.2">
      <c r="A45" s="55"/>
    </row>
    <row r="46" spans="1:1" s="54" customFormat="1" x14ac:dyDescent="0.2">
      <c r="A46" s="55"/>
    </row>
    <row r="47" spans="1:1" s="54" customFormat="1" x14ac:dyDescent="0.2">
      <c r="A47" s="55"/>
    </row>
    <row r="48" spans="1:1" s="54" customFormat="1" x14ac:dyDescent="0.2">
      <c r="A48" s="55"/>
    </row>
    <row r="49" spans="1:1" s="54" customFormat="1" x14ac:dyDescent="0.2">
      <c r="A49" s="55"/>
    </row>
    <row r="50" spans="1:1" s="54" customFormat="1" x14ac:dyDescent="0.2">
      <c r="A50" s="55"/>
    </row>
    <row r="51" spans="1:1" s="54" customFormat="1" x14ac:dyDescent="0.2">
      <c r="A51" s="55"/>
    </row>
    <row r="52" spans="1:1" s="54" customFormat="1" x14ac:dyDescent="0.2">
      <c r="A52" s="55"/>
    </row>
    <row r="53" spans="1:1" s="54" customFormat="1" x14ac:dyDescent="0.2">
      <c r="A53" s="55"/>
    </row>
    <row r="54" spans="1:1" s="54" customFormat="1" x14ac:dyDescent="0.2">
      <c r="A54" s="55"/>
    </row>
    <row r="55" spans="1:1" s="54" customFormat="1" x14ac:dyDescent="0.2">
      <c r="A55" s="55"/>
    </row>
    <row r="56" spans="1:1" s="54" customFormat="1" x14ac:dyDescent="0.2">
      <c r="A56" s="55"/>
    </row>
    <row r="57" spans="1:1" s="54" customFormat="1" x14ac:dyDescent="0.2">
      <c r="A57" s="55"/>
    </row>
    <row r="58" spans="1:1" s="54" customFormat="1" x14ac:dyDescent="0.2">
      <c r="A58" s="55"/>
    </row>
    <row r="59" spans="1:1" s="54" customFormat="1" x14ac:dyDescent="0.2">
      <c r="A59" s="55"/>
    </row>
    <row r="60" spans="1:1" s="54" customFormat="1" x14ac:dyDescent="0.2">
      <c r="A60" s="55"/>
    </row>
    <row r="61" spans="1:1" s="54" customFormat="1" x14ac:dyDescent="0.2">
      <c r="A61" s="55"/>
    </row>
    <row r="62" spans="1:1" s="54" customFormat="1" x14ac:dyDescent="0.2">
      <c r="A62" s="55"/>
    </row>
    <row r="63" spans="1:1" s="54" customFormat="1" x14ac:dyDescent="0.2">
      <c r="A63" s="55"/>
    </row>
  </sheetData>
  <mergeCells count="5">
    <mergeCell ref="C1:J1"/>
    <mergeCell ref="K1:K2"/>
    <mergeCell ref="L1:L2"/>
    <mergeCell ref="A1:A2"/>
    <mergeCell ref="B1:B2"/>
  </mergeCells>
  <phoneticPr fontId="0" type="noConversion"/>
  <printOptions horizontalCentered="1" verticalCentered="1"/>
  <pageMargins left="7.874015748031496E-2" right="7.874015748031496E-2" top="1.4173228346456694" bottom="0.74803149606299213" header="0.43307086614173229" footer="0.31496062992125984"/>
  <pageSetup paperSize="9" scale="85" orientation="landscape" horizontalDpi="300" verticalDpi="300" r:id="rId1"/>
  <headerFooter alignWithMargins="0">
    <oddHeader xml:space="preserve">&amp;C&amp;"Arial CE,Dőlt"ZALAEGERSZEG MJV&amp;"Times New Roman,Dőlt"ÖNKORMÁNYZATA ÁLTAL IRÁNYÍTOTT KÖLTSÉGVETÉSI SZERVEK 
2014. ÉVI  KIADÁSI ELŐIRÁNYZATAINAK MÓDOSÍTÁSA A II.. NEGYEDÉVBEN&amp;R&amp;"Times New Roman,Dőlt"&amp;9
 2. tájékoztató tábla
Adatok eFt-ban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4" workbookViewId="0">
      <selection activeCell="E14" sqref="E14"/>
    </sheetView>
  </sheetViews>
  <sheetFormatPr defaultRowHeight="12" x14ac:dyDescent="0.2"/>
  <cols>
    <col min="1" max="1" width="8.33203125" style="109" customWidth="1"/>
    <col min="2" max="2" width="63.83203125" style="97" customWidth="1"/>
    <col min="3" max="3" width="11.83203125" style="97" customWidth="1"/>
    <col min="4" max="5" width="11.83203125" style="47" customWidth="1"/>
    <col min="6" max="16384" width="9.33203125" style="47"/>
  </cols>
  <sheetData>
    <row r="1" spans="1:5" s="85" customFormat="1" ht="69.75" customHeight="1" thickBot="1" x14ac:dyDescent="0.25">
      <c r="A1" s="98" t="s">
        <v>9</v>
      </c>
      <c r="B1" s="99" t="s">
        <v>905</v>
      </c>
      <c r="C1" s="105" t="s">
        <v>166</v>
      </c>
      <c r="D1" s="521" t="s">
        <v>434</v>
      </c>
      <c r="E1" s="521" t="s">
        <v>167</v>
      </c>
    </row>
    <row r="2" spans="1:5" s="102" customFormat="1" ht="14.45" customHeight="1" x14ac:dyDescent="0.2">
      <c r="A2" s="100" t="s">
        <v>10</v>
      </c>
      <c r="B2" s="101" t="s">
        <v>726</v>
      </c>
      <c r="C2" s="101"/>
      <c r="D2" s="545"/>
      <c r="E2" s="545"/>
    </row>
    <row r="3" spans="1:5" s="85" customFormat="1" ht="14.45" customHeight="1" x14ac:dyDescent="0.2">
      <c r="A3" s="100" t="s">
        <v>11</v>
      </c>
      <c r="B3" s="101" t="s">
        <v>12</v>
      </c>
      <c r="C3" s="103"/>
      <c r="D3" s="546"/>
      <c r="E3" s="546"/>
    </row>
    <row r="4" spans="1:5" s="85" customFormat="1" ht="14.45" customHeight="1" x14ac:dyDescent="0.2">
      <c r="A4" s="547" t="s">
        <v>13</v>
      </c>
      <c r="B4" s="103" t="s">
        <v>14</v>
      </c>
      <c r="C4" s="103"/>
      <c r="D4" s="546"/>
      <c r="E4" s="546"/>
    </row>
    <row r="5" spans="1:5" s="85" customFormat="1" ht="14.45" customHeight="1" x14ac:dyDescent="0.2">
      <c r="A5" s="153" t="s">
        <v>15</v>
      </c>
      <c r="B5" s="103" t="s">
        <v>16</v>
      </c>
      <c r="C5" s="103">
        <v>267882</v>
      </c>
      <c r="D5" s="548">
        <v>-1</v>
      </c>
      <c r="E5" s="548">
        <f t="shared" ref="E5:E11" si="0">SUM(C5:D5)</f>
        <v>267881</v>
      </c>
    </row>
    <row r="6" spans="1:5" s="85" customFormat="1" ht="14.45" customHeight="1" x14ac:dyDescent="0.2">
      <c r="A6" s="153" t="s">
        <v>17</v>
      </c>
      <c r="B6" s="103" t="s">
        <v>18</v>
      </c>
      <c r="C6" s="103">
        <v>832456</v>
      </c>
      <c r="D6" s="548"/>
      <c r="E6" s="548">
        <f t="shared" si="0"/>
        <v>832456</v>
      </c>
    </row>
    <row r="7" spans="1:5" s="85" customFormat="1" ht="24.95" customHeight="1" x14ac:dyDescent="0.2">
      <c r="A7" s="153" t="s">
        <v>19</v>
      </c>
      <c r="B7" s="103" t="s">
        <v>20</v>
      </c>
      <c r="C7" s="103">
        <v>628845</v>
      </c>
      <c r="D7" s="31">
        <v>279310</v>
      </c>
      <c r="E7" s="31">
        <f t="shared" si="0"/>
        <v>908155</v>
      </c>
    </row>
    <row r="8" spans="1:5" s="85" customFormat="1" ht="15" customHeight="1" x14ac:dyDescent="0.2">
      <c r="A8" s="153" t="s">
        <v>21</v>
      </c>
      <c r="B8" s="103" t="s">
        <v>22</v>
      </c>
      <c r="C8" s="103">
        <v>651383</v>
      </c>
      <c r="D8" s="548">
        <v>12</v>
      </c>
      <c r="E8" s="548">
        <f t="shared" si="0"/>
        <v>651395</v>
      </c>
    </row>
    <row r="9" spans="1:5" s="85" customFormat="1" ht="15" customHeight="1" x14ac:dyDescent="0.2">
      <c r="A9" s="153" t="s">
        <v>23</v>
      </c>
      <c r="B9" s="103" t="s">
        <v>24</v>
      </c>
      <c r="C9" s="103">
        <v>19133</v>
      </c>
      <c r="D9" s="548">
        <v>26196</v>
      </c>
      <c r="E9" s="548">
        <f t="shared" si="0"/>
        <v>45329</v>
      </c>
    </row>
    <row r="10" spans="1:5" s="85" customFormat="1" ht="15" customHeight="1" x14ac:dyDescent="0.2">
      <c r="A10" s="153" t="s">
        <v>632</v>
      </c>
      <c r="B10" s="103" t="s">
        <v>383</v>
      </c>
      <c r="C10" s="103"/>
      <c r="D10" s="548">
        <v>131446</v>
      </c>
      <c r="E10" s="548">
        <f t="shared" si="0"/>
        <v>131446</v>
      </c>
    </row>
    <row r="11" spans="1:5" s="85" customFormat="1" ht="15" customHeight="1" x14ac:dyDescent="0.2">
      <c r="A11" s="547" t="s">
        <v>25</v>
      </c>
      <c r="B11" s="103" t="s">
        <v>26</v>
      </c>
      <c r="C11" s="103">
        <v>421218</v>
      </c>
      <c r="D11" s="548">
        <v>114345</v>
      </c>
      <c r="E11" s="548">
        <f t="shared" si="0"/>
        <v>535563</v>
      </c>
    </row>
    <row r="12" spans="1:5" s="88" customFormat="1" ht="14.45" customHeight="1" x14ac:dyDescent="0.2">
      <c r="A12" s="105"/>
      <c r="B12" s="106" t="s">
        <v>27</v>
      </c>
      <c r="C12" s="106">
        <f>SUM(C4:C11)</f>
        <v>2820917</v>
      </c>
      <c r="D12" s="106">
        <f>SUM(D4:D11)</f>
        <v>551308</v>
      </c>
      <c r="E12" s="106">
        <f>SUM(E4:E11)</f>
        <v>3372225</v>
      </c>
    </row>
    <row r="13" spans="1:5" s="85" customFormat="1" ht="14.45" customHeight="1" x14ac:dyDescent="0.2">
      <c r="A13" s="100" t="s">
        <v>28</v>
      </c>
      <c r="B13" s="101" t="s">
        <v>29</v>
      </c>
      <c r="C13" s="103"/>
      <c r="D13" s="548"/>
      <c r="E13" s="548">
        <f>SUM(C13:D13)</f>
        <v>0</v>
      </c>
    </row>
    <row r="14" spans="1:5" s="85" customFormat="1" ht="14.45" customHeight="1" x14ac:dyDescent="0.2">
      <c r="A14" s="547" t="s">
        <v>30</v>
      </c>
      <c r="B14" s="103" t="s">
        <v>31</v>
      </c>
      <c r="C14" s="103"/>
      <c r="D14" s="548">
        <v>1204812</v>
      </c>
      <c r="E14" s="548">
        <f>SUM(C14:D14)</f>
        <v>1204812</v>
      </c>
    </row>
    <row r="15" spans="1:5" s="85" customFormat="1" ht="23.25" customHeight="1" x14ac:dyDescent="0.2">
      <c r="A15" s="547" t="s">
        <v>32</v>
      </c>
      <c r="B15" s="103" t="s">
        <v>33</v>
      </c>
      <c r="C15" s="103">
        <v>4607238</v>
      </c>
      <c r="D15" s="31">
        <v>269479</v>
      </c>
      <c r="E15" s="31">
        <f>SUM(C15:D15)</f>
        <v>4876717</v>
      </c>
    </row>
    <row r="16" spans="1:5" s="88" customFormat="1" ht="14.45" customHeight="1" x14ac:dyDescent="0.2">
      <c r="A16" s="105"/>
      <c r="B16" s="106" t="s">
        <v>34</v>
      </c>
      <c r="C16" s="106">
        <f>SUM(C14:C15)</f>
        <v>4607238</v>
      </c>
      <c r="D16" s="106">
        <f>SUM(D14:D15)</f>
        <v>1474291</v>
      </c>
      <c r="E16" s="106">
        <f>SUM(E14:E15)</f>
        <v>6081529</v>
      </c>
    </row>
    <row r="17" spans="1:5" s="85" customFormat="1" ht="14.45" customHeight="1" x14ac:dyDescent="0.2">
      <c r="A17" s="100" t="s">
        <v>35</v>
      </c>
      <c r="B17" s="101" t="s">
        <v>464</v>
      </c>
      <c r="C17" s="103"/>
      <c r="D17" s="548"/>
      <c r="E17" s="548">
        <f t="shared" ref="E17:E22" si="1">SUM(C17:D17)</f>
        <v>0</v>
      </c>
    </row>
    <row r="18" spans="1:5" s="85" customFormat="1" ht="14.45" customHeight="1" x14ac:dyDescent="0.2">
      <c r="A18" s="547" t="s">
        <v>36</v>
      </c>
      <c r="B18" s="103" t="s">
        <v>37</v>
      </c>
      <c r="C18" s="103"/>
      <c r="D18" s="548"/>
      <c r="E18" s="548">
        <f t="shared" si="1"/>
        <v>0</v>
      </c>
    </row>
    <row r="19" spans="1:5" s="85" customFormat="1" ht="14.45" customHeight="1" x14ac:dyDescent="0.2">
      <c r="A19" s="153" t="s">
        <v>38</v>
      </c>
      <c r="B19" s="103" t="s">
        <v>39</v>
      </c>
      <c r="C19" s="103">
        <v>4000000</v>
      </c>
      <c r="D19" s="548"/>
      <c r="E19" s="548">
        <f t="shared" si="1"/>
        <v>4000000</v>
      </c>
    </row>
    <row r="20" spans="1:5" s="85" customFormat="1" ht="14.45" customHeight="1" x14ac:dyDescent="0.2">
      <c r="A20" s="153" t="s">
        <v>40</v>
      </c>
      <c r="B20" s="103" t="s">
        <v>41</v>
      </c>
      <c r="C20" s="103">
        <v>240000</v>
      </c>
      <c r="D20" s="548"/>
      <c r="E20" s="548">
        <f t="shared" si="1"/>
        <v>240000</v>
      </c>
    </row>
    <row r="21" spans="1:5" s="85" customFormat="1" ht="14.45" customHeight="1" x14ac:dyDescent="0.2">
      <c r="A21" s="153" t="s">
        <v>42</v>
      </c>
      <c r="B21" s="103" t="s">
        <v>43</v>
      </c>
      <c r="C21" s="103">
        <v>13500</v>
      </c>
      <c r="D21" s="548"/>
      <c r="E21" s="548">
        <f t="shared" si="1"/>
        <v>13500</v>
      </c>
    </row>
    <row r="22" spans="1:5" s="85" customFormat="1" ht="14.45" customHeight="1" x14ac:dyDescent="0.2">
      <c r="A22" s="547" t="s">
        <v>44</v>
      </c>
      <c r="B22" s="103" t="s">
        <v>45</v>
      </c>
      <c r="C22" s="103">
        <v>5000</v>
      </c>
      <c r="D22" s="548"/>
      <c r="E22" s="548">
        <f t="shared" si="1"/>
        <v>5000</v>
      </c>
    </row>
    <row r="23" spans="1:5" ht="15" customHeight="1" x14ac:dyDescent="0.2">
      <c r="A23" s="105"/>
      <c r="B23" s="106" t="s">
        <v>46</v>
      </c>
      <c r="C23" s="106">
        <f>SUM(C17:C22)</f>
        <v>4258500</v>
      </c>
      <c r="D23" s="106">
        <f>SUM(D17:D22)</f>
        <v>0</v>
      </c>
      <c r="E23" s="106">
        <f>SUM(E17:E22)</f>
        <v>4258500</v>
      </c>
    </row>
    <row r="24" spans="1:5" s="85" customFormat="1" ht="15" customHeight="1" x14ac:dyDescent="0.2">
      <c r="A24" s="100" t="s">
        <v>47</v>
      </c>
      <c r="B24" s="101" t="s">
        <v>977</v>
      </c>
      <c r="C24" s="101">
        <v>2115965</v>
      </c>
      <c r="D24" s="101">
        <v>517698</v>
      </c>
      <c r="E24" s="101">
        <f>SUM(C24:D24)</f>
        <v>2633663</v>
      </c>
    </row>
    <row r="25" spans="1:5" s="85" customFormat="1" ht="15" customHeight="1" x14ac:dyDescent="0.2">
      <c r="A25" s="100" t="s">
        <v>48</v>
      </c>
      <c r="B25" s="101" t="s">
        <v>682</v>
      </c>
      <c r="C25" s="103"/>
      <c r="D25" s="548"/>
      <c r="E25" s="548"/>
    </row>
    <row r="26" spans="1:5" s="85" customFormat="1" ht="15" customHeight="1" x14ac:dyDescent="0.2">
      <c r="A26" s="104" t="s">
        <v>49</v>
      </c>
      <c r="B26" s="103" t="s">
        <v>50</v>
      </c>
      <c r="C26" s="103">
        <v>251100</v>
      </c>
      <c r="D26" s="548">
        <v>2500</v>
      </c>
      <c r="E26" s="548">
        <f>SUM(C26:D26)</f>
        <v>253600</v>
      </c>
    </row>
    <row r="27" spans="1:5" s="85" customFormat="1" ht="15" customHeight="1" x14ac:dyDescent="0.2">
      <c r="A27" s="104" t="s">
        <v>111</v>
      </c>
      <c r="B27" s="103" t="s">
        <v>112</v>
      </c>
      <c r="C27" s="103"/>
      <c r="D27" s="548">
        <v>400</v>
      </c>
      <c r="E27" s="548">
        <f>SUM(C27:D27)</f>
        <v>400</v>
      </c>
    </row>
    <row r="28" spans="1:5" s="85" customFormat="1" ht="15" customHeight="1" x14ac:dyDescent="0.2">
      <c r="A28" s="107"/>
      <c r="B28" s="106" t="s">
        <v>51</v>
      </c>
      <c r="C28" s="106">
        <f>SUM(C26:C27)</f>
        <v>251100</v>
      </c>
      <c r="D28" s="106">
        <f>SUM(D26:D27)</f>
        <v>2900</v>
      </c>
      <c r="E28" s="106">
        <f>SUM(E26:E27)</f>
        <v>254000</v>
      </c>
    </row>
    <row r="29" spans="1:5" s="85" customFormat="1" ht="15" customHeight="1" x14ac:dyDescent="0.2">
      <c r="A29" s="105" t="s">
        <v>52</v>
      </c>
      <c r="B29" s="106" t="s">
        <v>978</v>
      </c>
      <c r="C29" s="106">
        <v>59600</v>
      </c>
      <c r="D29" s="106">
        <v>954</v>
      </c>
      <c r="E29" s="106">
        <f>SUM(C29:D29)</f>
        <v>60554</v>
      </c>
    </row>
    <row r="30" spans="1:5" s="85" customFormat="1" ht="15" customHeight="1" x14ac:dyDescent="0.2">
      <c r="A30" s="100" t="s">
        <v>53</v>
      </c>
      <c r="B30" s="101" t="s">
        <v>979</v>
      </c>
      <c r="C30" s="101"/>
      <c r="D30" s="548"/>
      <c r="E30" s="548">
        <f>SUM(C30:D30)</f>
        <v>0</v>
      </c>
    </row>
    <row r="31" spans="1:5" s="85" customFormat="1" ht="24.95" customHeight="1" x14ac:dyDescent="0.2">
      <c r="A31" s="104" t="s">
        <v>54</v>
      </c>
      <c r="B31" s="103" t="s">
        <v>55</v>
      </c>
      <c r="C31" s="103">
        <v>20000</v>
      </c>
      <c r="D31" s="548"/>
      <c r="E31" s="548">
        <f>SUM(C31:D31)</f>
        <v>20000</v>
      </c>
    </row>
    <row r="32" spans="1:5" s="85" customFormat="1" ht="15" customHeight="1" x14ac:dyDescent="0.2">
      <c r="A32" s="104" t="s">
        <v>56</v>
      </c>
      <c r="B32" s="103" t="s">
        <v>57</v>
      </c>
      <c r="C32" s="103">
        <v>200000</v>
      </c>
      <c r="D32" s="548">
        <v>1146</v>
      </c>
      <c r="E32" s="548">
        <f>SUM(C32:D32)</f>
        <v>201146</v>
      </c>
    </row>
    <row r="33" spans="1:5" s="85" customFormat="1" ht="15" customHeight="1" x14ac:dyDescent="0.2">
      <c r="A33" s="107"/>
      <c r="B33" s="106" t="s">
        <v>58</v>
      </c>
      <c r="C33" s="106">
        <f>SUM(C31:C32)</f>
        <v>220000</v>
      </c>
      <c r="D33" s="106">
        <f>SUM(D31:D32)</f>
        <v>1146</v>
      </c>
      <c r="E33" s="106">
        <f>SUM(E31:E32)</f>
        <v>221146</v>
      </c>
    </row>
    <row r="34" spans="1:5" s="85" customFormat="1" ht="15" customHeight="1" x14ac:dyDescent="0.2">
      <c r="A34" s="105" t="s">
        <v>59</v>
      </c>
      <c r="B34" s="106" t="s">
        <v>972</v>
      </c>
      <c r="C34" s="106">
        <f>SUM(C12+C16+C23+C24+C28+C29+C33)</f>
        <v>14333320</v>
      </c>
      <c r="D34" s="106">
        <f>SUM(D12+D16+D23+D24+D28+D29+D33)</f>
        <v>2548297</v>
      </c>
      <c r="E34" s="106">
        <f>SUM(E12+E16+E23+E24+E28+E29+E33)</f>
        <v>16881617</v>
      </c>
    </row>
    <row r="35" spans="1:5" s="85" customFormat="1" ht="15.95" customHeight="1" x14ac:dyDescent="0.2">
      <c r="A35" s="100" t="s">
        <v>60</v>
      </c>
      <c r="B35" s="101" t="s">
        <v>973</v>
      </c>
      <c r="C35" s="101"/>
      <c r="D35" s="548"/>
      <c r="E35" s="548">
        <f>SUM(C35:D35)</f>
        <v>0</v>
      </c>
    </row>
    <row r="36" spans="1:5" s="85" customFormat="1" ht="14.45" customHeight="1" x14ac:dyDescent="0.2">
      <c r="A36" s="547" t="s">
        <v>61</v>
      </c>
      <c r="B36" s="103" t="s">
        <v>62</v>
      </c>
      <c r="C36" s="103"/>
      <c r="D36" s="548"/>
      <c r="E36" s="548">
        <f>SUM(C36:D36)</f>
        <v>0</v>
      </c>
    </row>
    <row r="37" spans="1:5" s="85" customFormat="1" ht="14.45" customHeight="1" x14ac:dyDescent="0.2">
      <c r="A37" s="549" t="s">
        <v>63</v>
      </c>
      <c r="B37" s="108" t="s">
        <v>64</v>
      </c>
      <c r="C37" s="103">
        <v>658892</v>
      </c>
      <c r="D37" s="548">
        <v>-20000</v>
      </c>
      <c r="E37" s="548">
        <f>SUM(C37:D37)</f>
        <v>638892</v>
      </c>
    </row>
    <row r="38" spans="1:5" s="85" customFormat="1" ht="14.45" customHeight="1" x14ac:dyDescent="0.2">
      <c r="A38" s="549" t="s">
        <v>65</v>
      </c>
      <c r="B38" s="108" t="s">
        <v>980</v>
      </c>
      <c r="C38" s="103">
        <v>2966806</v>
      </c>
      <c r="D38" s="548">
        <v>517494</v>
      </c>
      <c r="E38" s="548">
        <f>SUM(C38:D38)</f>
        <v>3484300</v>
      </c>
    </row>
    <row r="39" spans="1:5" s="85" customFormat="1" ht="14.45" customHeight="1" x14ac:dyDescent="0.2">
      <c r="A39" s="550"/>
      <c r="B39" s="106" t="s">
        <v>66</v>
      </c>
      <c r="C39" s="551">
        <f>SUM(C37:C38)</f>
        <v>3625698</v>
      </c>
      <c r="D39" s="551">
        <f>SUM(D37:D38)</f>
        <v>497494</v>
      </c>
      <c r="E39" s="551">
        <f>SUM(E37:E38)</f>
        <v>4123192</v>
      </c>
    </row>
    <row r="40" spans="1:5" ht="15.95" customHeight="1" x14ac:dyDescent="0.2">
      <c r="A40" s="105"/>
      <c r="B40" s="106" t="s">
        <v>67</v>
      </c>
      <c r="C40" s="106">
        <f>SUM(C34+C39)</f>
        <v>17959018</v>
      </c>
      <c r="D40" s="106">
        <f>SUM(D34+D39)</f>
        <v>3045791</v>
      </c>
      <c r="E40" s="106">
        <f>SUM(E34+E39)</f>
        <v>21004809</v>
      </c>
    </row>
  </sheetData>
  <phoneticPr fontId="0" type="noConversion"/>
  <printOptions horizontalCentered="1"/>
  <pageMargins left="0.35433070866141736" right="0.35433070866141736" top="1.1023622047244095" bottom="0.43307086614173229" header="0.51181102362204722" footer="0.35433070866141736"/>
  <pageSetup paperSize="9" orientation="portrait" horizontalDpi="300" verticalDpi="300" r:id="rId1"/>
  <headerFooter alignWithMargins="0">
    <oddHeader>&amp;C&amp;"Times New Roman CE,Félkövér dőlt"ZALAEGERSZEG MEGYEI  JOGÚ  VÁROS  ÖNKORMÁNYZATA
ÖSSZESÍTŐ A BEVÉTELEKRŐL ROVATONKÉNT
2014. ÉVBEN&amp;R&amp;"Times New Roman CE,Félkövér dőlt"2. melléklet
Adatok ezer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="90" zoomScaleNormal="90" workbookViewId="0">
      <pane xSplit="1" ySplit="2" topLeftCell="B60" activePane="bottomRight" state="frozen"/>
      <selection pane="topRight" activeCell="B1" sqref="B1"/>
      <selection pane="bottomLeft" activeCell="A141" sqref="A141"/>
      <selection pane="bottomRight" activeCell="K50" sqref="K50"/>
    </sheetView>
  </sheetViews>
  <sheetFormatPr defaultRowHeight="12" x14ac:dyDescent="0.2"/>
  <cols>
    <col min="1" max="1" width="81" style="120" customWidth="1"/>
    <col min="2" max="2" width="8.83203125" style="120" customWidth="1"/>
    <col min="3" max="3" width="10" style="120" customWidth="1"/>
    <col min="4" max="4" width="12.5" style="120" customWidth="1"/>
    <col min="5" max="5" width="11.5" style="120" customWidth="1"/>
    <col min="6" max="6" width="10.5" style="120" customWidth="1"/>
    <col min="7" max="7" width="9.83203125" style="119" customWidth="1"/>
    <col min="8" max="8" width="10.33203125" style="119" customWidth="1"/>
    <col min="9" max="9" width="12.83203125" style="119" customWidth="1"/>
    <col min="10" max="10" width="10.6640625" style="119" customWidth="1"/>
    <col min="11" max="11" width="11.33203125" style="119" customWidth="1"/>
    <col min="12" max="14" width="9.33203125" style="119"/>
    <col min="15" max="16384" width="9.33203125" style="120"/>
  </cols>
  <sheetData>
    <row r="1" spans="1:14" ht="23.25" customHeight="1" thickBot="1" x14ac:dyDescent="0.25">
      <c r="A1" s="558"/>
      <c r="B1" s="697" t="s">
        <v>392</v>
      </c>
      <c r="C1" s="698"/>
      <c r="D1" s="698"/>
      <c r="E1" s="698"/>
      <c r="F1" s="698"/>
      <c r="G1" s="699" t="s">
        <v>393</v>
      </c>
      <c r="H1" s="699"/>
      <c r="I1" s="699"/>
      <c r="J1" s="699"/>
      <c r="K1" s="699"/>
      <c r="N1" s="120"/>
    </row>
    <row r="2" spans="1:14" s="122" customFormat="1" ht="45.75" customHeight="1" thickBot="1" x14ac:dyDescent="0.25">
      <c r="A2" s="559" t="s">
        <v>815</v>
      </c>
      <c r="B2" s="560" t="s">
        <v>816</v>
      </c>
      <c r="C2" s="561" t="s">
        <v>817</v>
      </c>
      <c r="D2" s="561" t="s">
        <v>818</v>
      </c>
      <c r="E2" s="561" t="s">
        <v>856</v>
      </c>
      <c r="F2" s="574" t="s">
        <v>819</v>
      </c>
      <c r="G2" s="576" t="s">
        <v>816</v>
      </c>
      <c r="H2" s="576" t="s">
        <v>817</v>
      </c>
      <c r="I2" s="576" t="s">
        <v>818</v>
      </c>
      <c r="J2" s="576" t="s">
        <v>856</v>
      </c>
      <c r="K2" s="576" t="s">
        <v>819</v>
      </c>
      <c r="L2" s="121"/>
      <c r="M2" s="121"/>
    </row>
    <row r="3" spans="1:14" ht="13.5" customHeight="1" x14ac:dyDescent="0.2">
      <c r="A3" s="562" t="s">
        <v>363</v>
      </c>
      <c r="B3" s="567"/>
      <c r="C3" s="567"/>
      <c r="D3" s="567"/>
      <c r="E3" s="567"/>
      <c r="F3" s="577"/>
      <c r="G3" s="567"/>
      <c r="H3" s="567"/>
      <c r="I3" s="567"/>
      <c r="J3" s="567"/>
      <c r="K3" s="632"/>
      <c r="M3" s="120"/>
      <c r="N3" s="120"/>
    </row>
    <row r="4" spans="1:14" ht="13.5" customHeight="1" x14ac:dyDescent="0.2">
      <c r="A4" s="563" t="s">
        <v>857</v>
      </c>
      <c r="B4" s="578"/>
      <c r="C4" s="578">
        <v>134.94</v>
      </c>
      <c r="D4" s="567">
        <v>4580000</v>
      </c>
      <c r="E4" s="567">
        <v>618025</v>
      </c>
      <c r="F4" s="577"/>
      <c r="G4" s="578"/>
      <c r="H4" s="578">
        <v>134.94</v>
      </c>
      <c r="I4" s="567">
        <v>4580000</v>
      </c>
      <c r="J4" s="567">
        <v>618025</v>
      </c>
      <c r="K4" s="567"/>
      <c r="M4" s="120"/>
      <c r="N4" s="120"/>
    </row>
    <row r="5" spans="1:14" ht="13.5" customHeight="1" x14ac:dyDescent="0.2">
      <c r="A5" s="563" t="s">
        <v>858</v>
      </c>
      <c r="B5" s="578"/>
      <c r="C5" s="578"/>
      <c r="D5" s="567"/>
      <c r="E5" s="567"/>
      <c r="F5" s="577">
        <v>106378</v>
      </c>
      <c r="G5" s="578"/>
      <c r="H5" s="578"/>
      <c r="I5" s="567"/>
      <c r="J5" s="567"/>
      <c r="K5" s="567">
        <v>106378</v>
      </c>
      <c r="M5" s="120"/>
      <c r="N5" s="120"/>
    </row>
    <row r="6" spans="1:14" ht="13.5" customHeight="1" x14ac:dyDescent="0.2">
      <c r="A6" s="563" t="s">
        <v>859</v>
      </c>
      <c r="B6" s="567"/>
      <c r="C6" s="567"/>
      <c r="D6" s="567"/>
      <c r="E6" s="567"/>
      <c r="F6" s="577"/>
      <c r="G6" s="567"/>
      <c r="H6" s="567"/>
      <c r="I6" s="567"/>
      <c r="J6" s="567"/>
      <c r="K6" s="567"/>
      <c r="M6" s="120"/>
      <c r="N6" s="120"/>
    </row>
    <row r="7" spans="1:14" ht="13.5" customHeight="1" x14ac:dyDescent="0.2">
      <c r="A7" s="563" t="s">
        <v>860</v>
      </c>
      <c r="B7" s="567"/>
      <c r="C7" s="567"/>
      <c r="D7" s="567"/>
      <c r="E7" s="567"/>
      <c r="F7" s="577">
        <v>0</v>
      </c>
      <c r="G7" s="567"/>
      <c r="H7" s="567"/>
      <c r="I7" s="567"/>
      <c r="J7" s="567"/>
      <c r="K7" s="567">
        <v>0</v>
      </c>
      <c r="M7" s="120"/>
      <c r="N7" s="120"/>
    </row>
    <row r="8" spans="1:14" ht="13.5" customHeight="1" x14ac:dyDescent="0.2">
      <c r="A8" s="563" t="s">
        <v>364</v>
      </c>
      <c r="B8" s="567"/>
      <c r="C8" s="578"/>
      <c r="D8" s="567">
        <v>22300</v>
      </c>
      <c r="E8" s="567">
        <v>50222</v>
      </c>
      <c r="F8" s="577"/>
      <c r="G8" s="567"/>
      <c r="H8" s="578"/>
      <c r="I8" s="567">
        <v>22300</v>
      </c>
      <c r="J8" s="567">
        <v>50222</v>
      </c>
      <c r="K8" s="567"/>
      <c r="M8" s="120"/>
      <c r="N8" s="120"/>
    </row>
    <row r="9" spans="1:14" ht="13.5" customHeight="1" x14ac:dyDescent="0.2">
      <c r="A9" s="563" t="s">
        <v>365</v>
      </c>
      <c r="B9" s="567"/>
      <c r="C9" s="567"/>
      <c r="D9" s="567">
        <v>423700</v>
      </c>
      <c r="E9" s="567">
        <v>158963</v>
      </c>
      <c r="F9" s="577"/>
      <c r="G9" s="567"/>
      <c r="H9" s="567"/>
      <c r="I9" s="567">
        <v>423700</v>
      </c>
      <c r="J9" s="567">
        <v>158963</v>
      </c>
      <c r="K9" s="567"/>
      <c r="M9" s="120"/>
      <c r="N9" s="120"/>
    </row>
    <row r="10" spans="1:14" ht="13.5" customHeight="1" x14ac:dyDescent="0.2">
      <c r="A10" s="563" t="s">
        <v>366</v>
      </c>
      <c r="B10" s="567"/>
      <c r="C10" s="567">
        <v>323446</v>
      </c>
      <c r="D10" s="567">
        <v>70</v>
      </c>
      <c r="E10" s="567">
        <v>22641</v>
      </c>
      <c r="F10" s="577"/>
      <c r="G10" s="567"/>
      <c r="H10" s="567">
        <v>323446</v>
      </c>
      <c r="I10" s="567">
        <v>70</v>
      </c>
      <c r="J10" s="567">
        <v>22641</v>
      </c>
      <c r="K10" s="567"/>
      <c r="M10" s="120"/>
      <c r="N10" s="120"/>
    </row>
    <row r="11" spans="1:14" ht="13.5" customHeight="1" x14ac:dyDescent="0.2">
      <c r="A11" s="563" t="s">
        <v>367</v>
      </c>
      <c r="B11" s="567"/>
      <c r="C11" s="567"/>
      <c r="D11" s="567"/>
      <c r="E11" s="567">
        <v>102643</v>
      </c>
      <c r="F11" s="577"/>
      <c r="G11" s="567"/>
      <c r="H11" s="567"/>
      <c r="I11" s="567"/>
      <c r="J11" s="567">
        <v>102643</v>
      </c>
      <c r="K11" s="567"/>
      <c r="M11" s="120"/>
      <c r="N11" s="120"/>
    </row>
    <row r="12" spans="1:14" ht="13.5" customHeight="1" x14ac:dyDescent="0.2">
      <c r="A12" s="563" t="s">
        <v>863</v>
      </c>
      <c r="B12" s="567">
        <v>59097</v>
      </c>
      <c r="C12" s="567"/>
      <c r="D12" s="567">
        <v>2700</v>
      </c>
      <c r="E12" s="567">
        <v>159562</v>
      </c>
      <c r="F12" s="577"/>
      <c r="G12" s="567">
        <v>59097</v>
      </c>
      <c r="H12" s="567"/>
      <c r="I12" s="567">
        <v>2700</v>
      </c>
      <c r="J12" s="567">
        <v>159562</v>
      </c>
      <c r="K12" s="567"/>
      <c r="M12" s="120"/>
      <c r="N12" s="120"/>
    </row>
    <row r="13" spans="1:14" ht="13.5" customHeight="1" x14ac:dyDescent="0.2">
      <c r="A13" s="563" t="s">
        <v>864</v>
      </c>
      <c r="B13" s="567"/>
      <c r="C13" s="567"/>
      <c r="D13" s="567"/>
      <c r="E13" s="567"/>
      <c r="F13" s="577">
        <v>79781</v>
      </c>
      <c r="G13" s="567"/>
      <c r="H13" s="567"/>
      <c r="I13" s="567"/>
      <c r="J13" s="567"/>
      <c r="K13" s="567">
        <v>79781</v>
      </c>
      <c r="M13" s="120"/>
      <c r="N13" s="120"/>
    </row>
    <row r="14" spans="1:14" ht="13.5" customHeight="1" x14ac:dyDescent="0.2">
      <c r="A14" s="563" t="s">
        <v>865</v>
      </c>
      <c r="B14" s="567">
        <v>59097</v>
      </c>
      <c r="C14" s="567"/>
      <c r="D14" s="567" t="s">
        <v>375</v>
      </c>
      <c r="E14" s="567">
        <v>163145</v>
      </c>
      <c r="F14" s="577"/>
      <c r="G14" s="567">
        <v>59097</v>
      </c>
      <c r="H14" s="567"/>
      <c r="I14" s="567" t="s">
        <v>375</v>
      </c>
      <c r="J14" s="567">
        <v>163145</v>
      </c>
      <c r="K14" s="567"/>
      <c r="M14" s="120"/>
      <c r="N14" s="120"/>
    </row>
    <row r="15" spans="1:14" ht="13.5" customHeight="1" x14ac:dyDescent="0.2">
      <c r="A15" s="563" t="s">
        <v>866</v>
      </c>
      <c r="B15" s="567"/>
      <c r="C15" s="567"/>
      <c r="D15" s="567"/>
      <c r="E15" s="567"/>
      <c r="F15" s="577">
        <v>81573</v>
      </c>
      <c r="G15" s="567"/>
      <c r="H15" s="567"/>
      <c r="I15" s="567"/>
      <c r="J15" s="567"/>
      <c r="K15" s="567">
        <v>81572</v>
      </c>
      <c r="M15" s="120"/>
      <c r="N15" s="120"/>
    </row>
    <row r="16" spans="1:14" ht="13.5" customHeight="1" x14ac:dyDescent="0.2">
      <c r="A16" s="563" t="s">
        <v>867</v>
      </c>
      <c r="B16" s="567"/>
      <c r="C16" s="567"/>
      <c r="D16" s="567"/>
      <c r="E16" s="567">
        <v>-1007470</v>
      </c>
      <c r="F16" s="577"/>
      <c r="G16" s="567"/>
      <c r="H16" s="567"/>
      <c r="I16" s="567"/>
      <c r="J16" s="567">
        <v>-1007470</v>
      </c>
      <c r="K16" s="567"/>
      <c r="M16" s="120"/>
      <c r="N16" s="120"/>
    </row>
    <row r="17" spans="1:14" ht="13.5" customHeight="1" x14ac:dyDescent="0.2">
      <c r="A17" s="563" t="s">
        <v>868</v>
      </c>
      <c r="B17" s="567"/>
      <c r="C17" s="567">
        <v>1500</v>
      </c>
      <c r="D17" s="567">
        <v>100</v>
      </c>
      <c r="E17" s="567"/>
      <c r="F17" s="577">
        <f>SUM(C17*D17)/1000</f>
        <v>150</v>
      </c>
      <c r="G17" s="567"/>
      <c r="H17" s="567">
        <v>1500</v>
      </c>
      <c r="I17" s="567">
        <v>100</v>
      </c>
      <c r="J17" s="567"/>
      <c r="K17" s="567">
        <f>SUM(H17*I17)/1000</f>
        <v>150</v>
      </c>
      <c r="M17" s="120"/>
      <c r="N17" s="120"/>
    </row>
    <row r="18" spans="1:14" ht="13.5" customHeight="1" x14ac:dyDescent="0.2">
      <c r="A18" s="562" t="s">
        <v>368</v>
      </c>
      <c r="B18" s="567"/>
      <c r="C18" s="567"/>
      <c r="D18" s="567"/>
      <c r="E18" s="567"/>
      <c r="F18" s="577"/>
      <c r="G18" s="567"/>
      <c r="H18" s="567"/>
      <c r="I18" s="567"/>
      <c r="J18" s="567"/>
      <c r="K18" s="567"/>
      <c r="M18" s="120"/>
      <c r="N18" s="120"/>
    </row>
    <row r="19" spans="1:14" ht="24.95" customHeight="1" x14ac:dyDescent="0.2">
      <c r="A19" s="564" t="s">
        <v>369</v>
      </c>
      <c r="B19" s="567"/>
      <c r="C19" s="567"/>
      <c r="D19" s="567"/>
      <c r="E19" s="567"/>
      <c r="F19" s="577"/>
      <c r="G19" s="567"/>
      <c r="H19" s="567"/>
      <c r="I19" s="567"/>
      <c r="J19" s="567"/>
      <c r="K19" s="567"/>
      <c r="M19" s="120"/>
      <c r="N19" s="120"/>
    </row>
    <row r="20" spans="1:14" ht="15" customHeight="1" x14ac:dyDescent="0.2">
      <c r="A20" s="564" t="s">
        <v>869</v>
      </c>
      <c r="B20" s="567"/>
      <c r="C20" s="579">
        <v>144.30000000000001</v>
      </c>
      <c r="D20" s="578">
        <v>2674666.67</v>
      </c>
      <c r="E20" s="578"/>
      <c r="F20" s="577">
        <f>SUM(C20*D20)/1000</f>
        <v>385954.40048100002</v>
      </c>
      <c r="G20" s="567"/>
      <c r="H20" s="579">
        <v>144.30000000000001</v>
      </c>
      <c r="I20" s="578">
        <v>2674666.67</v>
      </c>
      <c r="J20" s="578"/>
      <c r="K20" s="567">
        <f>SUM(H20*I20)/1000</f>
        <v>385954.40048100002</v>
      </c>
      <c r="M20" s="120"/>
      <c r="N20" s="120"/>
    </row>
    <row r="21" spans="1:14" ht="15" customHeight="1" x14ac:dyDescent="0.2">
      <c r="A21" s="564" t="s">
        <v>870</v>
      </c>
      <c r="B21" s="567"/>
      <c r="C21" s="579">
        <v>141.19999999999999</v>
      </c>
      <c r="D21" s="578">
        <v>1337333.33</v>
      </c>
      <c r="E21" s="578"/>
      <c r="F21" s="577">
        <f>SUM(C21*D21)/1000</f>
        <v>188831.46619600002</v>
      </c>
      <c r="G21" s="567"/>
      <c r="H21" s="579">
        <v>141.19999999999999</v>
      </c>
      <c r="I21" s="578">
        <v>1337333.33</v>
      </c>
      <c r="J21" s="578"/>
      <c r="K21" s="567">
        <f>SUM(H21*I21)/1000</f>
        <v>188831.46619600002</v>
      </c>
      <c r="M21" s="120"/>
      <c r="N21" s="120"/>
    </row>
    <row r="22" spans="1:14" ht="15" customHeight="1" x14ac:dyDescent="0.2">
      <c r="A22" s="565" t="s">
        <v>871</v>
      </c>
      <c r="B22" s="567"/>
      <c r="C22" s="579">
        <v>141.19999999999999</v>
      </c>
      <c r="D22" s="567">
        <v>34400</v>
      </c>
      <c r="E22" s="567"/>
      <c r="F22" s="577">
        <f>SUM(C22*D22)/1000</f>
        <v>4857.28</v>
      </c>
      <c r="G22" s="567"/>
      <c r="H22" s="579">
        <v>141.19999999999999</v>
      </c>
      <c r="I22" s="567">
        <v>34400</v>
      </c>
      <c r="J22" s="567"/>
      <c r="K22" s="567">
        <f>SUM(H22*I22)/1000</f>
        <v>4857.28</v>
      </c>
      <c r="M22" s="120"/>
      <c r="N22" s="120"/>
    </row>
    <row r="23" spans="1:14" ht="24.95" customHeight="1" x14ac:dyDescent="0.2">
      <c r="A23" s="564" t="s">
        <v>872</v>
      </c>
      <c r="B23" s="567"/>
      <c r="C23" s="567">
        <v>90</v>
      </c>
      <c r="D23" s="567">
        <v>1200000</v>
      </c>
      <c r="E23" s="580"/>
      <c r="F23" s="577">
        <f>SUM(C23*D23)/1000</f>
        <v>108000</v>
      </c>
      <c r="G23" s="567"/>
      <c r="H23" s="567">
        <v>90</v>
      </c>
      <c r="I23" s="567">
        <v>1200000</v>
      </c>
      <c r="J23" s="580"/>
      <c r="K23" s="567">
        <f>SUM(H23*I23)/1000</f>
        <v>108000</v>
      </c>
      <c r="M23" s="120"/>
      <c r="N23" s="120"/>
    </row>
    <row r="24" spans="1:14" ht="24.95" customHeight="1" x14ac:dyDescent="0.2">
      <c r="A24" s="564" t="s">
        <v>873</v>
      </c>
      <c r="B24" s="567"/>
      <c r="C24" s="567">
        <v>90</v>
      </c>
      <c r="D24" s="567">
        <v>600000</v>
      </c>
      <c r="E24" s="580"/>
      <c r="F24" s="577">
        <f>SUM(C24*D24)/1000</f>
        <v>54000</v>
      </c>
      <c r="G24" s="567"/>
      <c r="H24" s="567">
        <v>90</v>
      </c>
      <c r="I24" s="567">
        <v>600000</v>
      </c>
      <c r="J24" s="580"/>
      <c r="K24" s="567">
        <f>SUM(H24*I24)/1000</f>
        <v>54000</v>
      </c>
      <c r="M24" s="120"/>
      <c r="N24" s="120"/>
    </row>
    <row r="25" spans="1:14" ht="13.5" customHeight="1" x14ac:dyDescent="0.2">
      <c r="A25" s="563" t="s">
        <v>370</v>
      </c>
      <c r="B25" s="578">
        <v>1621.67</v>
      </c>
      <c r="C25" s="567"/>
      <c r="D25" s="567">
        <v>56000</v>
      </c>
      <c r="E25" s="580"/>
      <c r="F25" s="577">
        <v>90814</v>
      </c>
      <c r="G25" s="578">
        <v>1621.67</v>
      </c>
      <c r="H25" s="567"/>
      <c r="I25" s="567">
        <v>56000</v>
      </c>
      <c r="J25" s="580"/>
      <c r="K25" s="567">
        <v>90814</v>
      </c>
      <c r="M25" s="120"/>
      <c r="N25" s="120"/>
    </row>
    <row r="26" spans="1:14" ht="13.5" customHeight="1" x14ac:dyDescent="0.2">
      <c r="A26" s="562" t="s">
        <v>374</v>
      </c>
      <c r="B26" s="567"/>
      <c r="C26" s="567"/>
      <c r="D26" s="580"/>
      <c r="E26" s="580"/>
      <c r="F26" s="577"/>
      <c r="G26" s="567"/>
      <c r="H26" s="567"/>
      <c r="I26" s="580"/>
      <c r="J26" s="580"/>
      <c r="K26" s="567"/>
      <c r="M26" s="120"/>
      <c r="N26" s="120"/>
    </row>
    <row r="27" spans="1:14" ht="13.5" customHeight="1" x14ac:dyDescent="0.2">
      <c r="A27" s="563" t="s">
        <v>376</v>
      </c>
      <c r="B27" s="567">
        <v>59859</v>
      </c>
      <c r="C27" s="581">
        <v>11.9718</v>
      </c>
      <c r="D27" s="567">
        <v>3950000</v>
      </c>
      <c r="E27" s="567"/>
      <c r="F27" s="577">
        <f>SUM(C27*D27)/1000</f>
        <v>47288.61</v>
      </c>
      <c r="G27" s="567">
        <v>59859</v>
      </c>
      <c r="H27" s="581">
        <v>11.9718</v>
      </c>
      <c r="I27" s="567">
        <v>3950000</v>
      </c>
      <c r="J27" s="567"/>
      <c r="K27" s="567">
        <f>SUM(H27*I27)/1000</f>
        <v>47288.61</v>
      </c>
      <c r="M27" s="120"/>
      <c r="N27" s="120"/>
    </row>
    <row r="28" spans="1:14" ht="13.5" customHeight="1" x14ac:dyDescent="0.2">
      <c r="A28" s="563" t="s">
        <v>377</v>
      </c>
      <c r="B28" s="567">
        <v>59859</v>
      </c>
      <c r="C28" s="567"/>
      <c r="D28" s="567">
        <v>300</v>
      </c>
      <c r="E28" s="567"/>
      <c r="F28" s="577">
        <f>SUM(B28*D28)/1000</f>
        <v>17957.7</v>
      </c>
      <c r="G28" s="567">
        <v>59859</v>
      </c>
      <c r="H28" s="567"/>
      <c r="I28" s="567">
        <v>300</v>
      </c>
      <c r="J28" s="567"/>
      <c r="K28" s="567">
        <f>SUM(G28*I28)/1000</f>
        <v>17957.7</v>
      </c>
      <c r="M28" s="120"/>
      <c r="N28" s="120"/>
    </row>
    <row r="29" spans="1:14" ht="24.95" customHeight="1" x14ac:dyDescent="0.2">
      <c r="A29" s="564" t="s">
        <v>378</v>
      </c>
      <c r="B29" s="567">
        <v>9067</v>
      </c>
      <c r="C29" s="567"/>
      <c r="D29" s="567">
        <v>1200</v>
      </c>
      <c r="E29" s="567"/>
      <c r="F29" s="577">
        <f>SUM(B29*D29)/1000</f>
        <v>10880.4</v>
      </c>
      <c r="G29" s="567">
        <v>9067</v>
      </c>
      <c r="H29" s="567"/>
      <c r="I29" s="567">
        <v>1200</v>
      </c>
      <c r="J29" s="567"/>
      <c r="K29" s="567">
        <f>SUM(G29*I29)/1000</f>
        <v>10880.4</v>
      </c>
      <c r="M29" s="120"/>
      <c r="N29" s="120"/>
    </row>
    <row r="30" spans="1:14" ht="13.5" customHeight="1" x14ac:dyDescent="0.2">
      <c r="A30" s="563" t="s">
        <v>379</v>
      </c>
      <c r="B30" s="567"/>
      <c r="C30" s="567"/>
      <c r="D30" s="567"/>
      <c r="E30" s="567"/>
      <c r="F30" s="577"/>
      <c r="G30" s="567"/>
      <c r="H30" s="567"/>
      <c r="I30" s="567"/>
      <c r="J30" s="567"/>
      <c r="K30" s="567"/>
      <c r="M30" s="120"/>
      <c r="N30" s="120"/>
    </row>
    <row r="31" spans="1:14" ht="13.5" customHeight="1" x14ac:dyDescent="0.2">
      <c r="A31" s="563" t="s">
        <v>380</v>
      </c>
      <c r="B31" s="567"/>
      <c r="C31" s="567">
        <v>1</v>
      </c>
      <c r="D31" s="567">
        <v>2099400</v>
      </c>
      <c r="E31" s="567"/>
      <c r="F31" s="577">
        <f t="shared" ref="F31:F36" si="0">SUM(C31*D31)/1000</f>
        <v>2099.4</v>
      </c>
      <c r="G31" s="567"/>
      <c r="H31" s="567">
        <v>1</v>
      </c>
      <c r="I31" s="567">
        <v>2099400</v>
      </c>
      <c r="J31" s="567"/>
      <c r="K31" s="567">
        <f t="shared" ref="K31:K36" si="1">SUM(H31*I31)/1000</f>
        <v>2099.4</v>
      </c>
      <c r="M31" s="120"/>
      <c r="N31" s="120"/>
    </row>
    <row r="32" spans="1:14" ht="13.5" customHeight="1" x14ac:dyDescent="0.2">
      <c r="A32" s="563" t="s">
        <v>381</v>
      </c>
      <c r="B32" s="566"/>
      <c r="C32" s="567">
        <v>450</v>
      </c>
      <c r="D32" s="567">
        <v>60896</v>
      </c>
      <c r="E32" s="567"/>
      <c r="F32" s="577">
        <f t="shared" si="0"/>
        <v>27403.200000000001</v>
      </c>
      <c r="G32" s="566"/>
      <c r="H32" s="567">
        <v>450</v>
      </c>
      <c r="I32" s="567">
        <v>60896</v>
      </c>
      <c r="J32" s="567"/>
      <c r="K32" s="567">
        <f t="shared" si="1"/>
        <v>27403.200000000001</v>
      </c>
      <c r="M32" s="120"/>
      <c r="N32" s="120"/>
    </row>
    <row r="33" spans="1:14" ht="13.5" customHeight="1" x14ac:dyDescent="0.2">
      <c r="A33" s="563" t="s">
        <v>382</v>
      </c>
      <c r="B33" s="566"/>
      <c r="C33" s="567">
        <v>65</v>
      </c>
      <c r="D33" s="567">
        <v>188500</v>
      </c>
      <c r="E33" s="567"/>
      <c r="F33" s="577">
        <f t="shared" si="0"/>
        <v>12252.5</v>
      </c>
      <c r="G33" s="566"/>
      <c r="H33" s="567">
        <v>65</v>
      </c>
      <c r="I33" s="567">
        <v>188500</v>
      </c>
      <c r="J33" s="567"/>
      <c r="K33" s="567">
        <f t="shared" si="1"/>
        <v>12252.5</v>
      </c>
      <c r="M33" s="120"/>
      <c r="N33" s="120"/>
    </row>
    <row r="34" spans="1:14" ht="13.5" customHeight="1" x14ac:dyDescent="0.2">
      <c r="A34" s="564" t="s">
        <v>384</v>
      </c>
      <c r="B34" s="582"/>
      <c r="C34" s="567">
        <v>83</v>
      </c>
      <c r="D34" s="567">
        <v>163500</v>
      </c>
      <c r="E34" s="567"/>
      <c r="F34" s="577">
        <f t="shared" si="0"/>
        <v>13570.5</v>
      </c>
      <c r="G34" s="582"/>
      <c r="H34" s="567">
        <v>83</v>
      </c>
      <c r="I34" s="567">
        <v>163500</v>
      </c>
      <c r="J34" s="567"/>
      <c r="K34" s="567">
        <f t="shared" si="1"/>
        <v>13570.5</v>
      </c>
      <c r="M34" s="120"/>
      <c r="N34" s="120"/>
    </row>
    <row r="35" spans="1:14" ht="13.5" customHeight="1" x14ac:dyDescent="0.2">
      <c r="A35" s="564" t="s">
        <v>411</v>
      </c>
      <c r="B35" s="582"/>
      <c r="C35" s="567">
        <v>6</v>
      </c>
      <c r="D35" s="567">
        <v>550000</v>
      </c>
      <c r="E35" s="567"/>
      <c r="F35" s="577">
        <f t="shared" si="0"/>
        <v>3300</v>
      </c>
      <c r="G35" s="582"/>
      <c r="H35" s="567">
        <v>6</v>
      </c>
      <c r="I35" s="567">
        <v>550000</v>
      </c>
      <c r="J35" s="567"/>
      <c r="K35" s="567">
        <f t="shared" si="1"/>
        <v>3300</v>
      </c>
      <c r="M35" s="120"/>
      <c r="N35" s="120"/>
    </row>
    <row r="36" spans="1:14" ht="13.5" customHeight="1" x14ac:dyDescent="0.2">
      <c r="A36" s="564" t="s">
        <v>415</v>
      </c>
      <c r="B36" s="582"/>
      <c r="C36" s="567">
        <v>21</v>
      </c>
      <c r="D36" s="567">
        <v>372000</v>
      </c>
      <c r="E36" s="567"/>
      <c r="F36" s="577">
        <f t="shared" si="0"/>
        <v>7812</v>
      </c>
      <c r="G36" s="582"/>
      <c r="H36" s="567">
        <v>21</v>
      </c>
      <c r="I36" s="567">
        <v>372000</v>
      </c>
      <c r="J36" s="567"/>
      <c r="K36" s="567">
        <f t="shared" si="1"/>
        <v>7812</v>
      </c>
      <c r="M36" s="120"/>
      <c r="N36" s="120"/>
    </row>
    <row r="37" spans="1:14" ht="15" customHeight="1" x14ac:dyDescent="0.2">
      <c r="A37" s="564" t="s">
        <v>418</v>
      </c>
      <c r="B37" s="582"/>
      <c r="C37" s="567"/>
      <c r="D37" s="567"/>
      <c r="E37" s="567"/>
      <c r="F37" s="577"/>
      <c r="G37" s="582"/>
      <c r="H37" s="567"/>
      <c r="I37" s="567"/>
      <c r="J37" s="567"/>
      <c r="K37" s="567"/>
      <c r="M37" s="120"/>
      <c r="N37" s="120"/>
    </row>
    <row r="38" spans="1:14" ht="13.5" customHeight="1" x14ac:dyDescent="0.2">
      <c r="A38" s="563" t="s">
        <v>419</v>
      </c>
      <c r="B38" s="563"/>
      <c r="C38" s="563">
        <v>258</v>
      </c>
      <c r="D38" s="566">
        <v>494100</v>
      </c>
      <c r="E38" s="566"/>
      <c r="F38" s="577">
        <f>SUM(C38*D38)/1000</f>
        <v>127477.8</v>
      </c>
      <c r="G38" s="563"/>
      <c r="H38" s="563">
        <v>258</v>
      </c>
      <c r="I38" s="566">
        <v>494100</v>
      </c>
      <c r="J38" s="566"/>
      <c r="K38" s="567">
        <f>SUM(H38*I38)/1000</f>
        <v>127477.8</v>
      </c>
      <c r="M38" s="120"/>
      <c r="N38" s="120"/>
    </row>
    <row r="39" spans="1:14" ht="13.5" customHeight="1" x14ac:dyDescent="0.2">
      <c r="A39" s="563" t="s">
        <v>420</v>
      </c>
      <c r="B39" s="563"/>
      <c r="C39" s="570">
        <v>4</v>
      </c>
      <c r="D39" s="567">
        <v>741150</v>
      </c>
      <c r="E39" s="567"/>
      <c r="F39" s="577">
        <f>SUM(C39*D39)/1000</f>
        <v>2964.6</v>
      </c>
      <c r="G39" s="563"/>
      <c r="H39" s="570">
        <v>4</v>
      </c>
      <c r="I39" s="567">
        <v>741150</v>
      </c>
      <c r="J39" s="567"/>
      <c r="K39" s="567">
        <f>SUM(H39*I39)/1000</f>
        <v>2964.6</v>
      </c>
      <c r="M39" s="120"/>
      <c r="N39" s="120"/>
    </row>
    <row r="40" spans="1:14" ht="13.5" customHeight="1" x14ac:dyDescent="0.2">
      <c r="A40" s="563" t="s">
        <v>874</v>
      </c>
      <c r="B40" s="583"/>
      <c r="C40" s="567">
        <v>20</v>
      </c>
      <c r="D40" s="567">
        <v>518805</v>
      </c>
      <c r="E40" s="567"/>
      <c r="F40" s="577">
        <f>SUM(C40*D40)/1000</f>
        <v>10376.1</v>
      </c>
      <c r="G40" s="583"/>
      <c r="H40" s="567">
        <v>20</v>
      </c>
      <c r="I40" s="567">
        <v>518805</v>
      </c>
      <c r="J40" s="567"/>
      <c r="K40" s="567">
        <f>SUM(H40*I40)/1000</f>
        <v>10376.1</v>
      </c>
    </row>
    <row r="41" spans="1:14" ht="13.5" customHeight="1" x14ac:dyDescent="0.2">
      <c r="A41" s="563" t="s">
        <v>421</v>
      </c>
      <c r="B41" s="583"/>
      <c r="C41" s="567">
        <v>1</v>
      </c>
      <c r="D41" s="567">
        <v>635650</v>
      </c>
      <c r="E41" s="567"/>
      <c r="F41" s="577">
        <f>SUM(C41*D41)/1000</f>
        <v>635.65</v>
      </c>
      <c r="G41" s="583"/>
      <c r="H41" s="567">
        <v>1</v>
      </c>
      <c r="I41" s="567">
        <v>635650</v>
      </c>
      <c r="J41" s="567"/>
      <c r="K41" s="567">
        <f>SUM(H41*I41)/1000</f>
        <v>635.65</v>
      </c>
    </row>
    <row r="42" spans="1:14" ht="24.95" customHeight="1" x14ac:dyDescent="0.2">
      <c r="A42" s="564" t="s">
        <v>422</v>
      </c>
      <c r="B42" s="566"/>
      <c r="C42" s="567"/>
      <c r="D42" s="567"/>
      <c r="E42" s="567"/>
      <c r="F42" s="577"/>
      <c r="G42" s="566"/>
      <c r="H42" s="567"/>
      <c r="I42" s="567"/>
      <c r="J42" s="567"/>
      <c r="K42" s="567"/>
    </row>
    <row r="43" spans="1:14" ht="15" customHeight="1" x14ac:dyDescent="0.2">
      <c r="A43" s="564" t="s">
        <v>423</v>
      </c>
      <c r="B43" s="566"/>
      <c r="C43" s="567">
        <v>37</v>
      </c>
      <c r="D43" s="567">
        <v>2606040</v>
      </c>
      <c r="E43" s="567"/>
      <c r="F43" s="577">
        <f>SUM(C43*D43)/1000</f>
        <v>96423.48</v>
      </c>
      <c r="G43" s="566"/>
      <c r="H43" s="567">
        <v>37</v>
      </c>
      <c r="I43" s="567">
        <v>2606040</v>
      </c>
      <c r="J43" s="567"/>
      <c r="K43" s="567">
        <f>SUM(H43*I43)/1000</f>
        <v>96423.48</v>
      </c>
    </row>
    <row r="44" spans="1:14" ht="13.5" customHeight="1" x14ac:dyDescent="0.2">
      <c r="A44" s="563" t="s">
        <v>424</v>
      </c>
      <c r="B44" s="566"/>
      <c r="C44" s="567"/>
      <c r="D44" s="567"/>
      <c r="E44" s="567"/>
      <c r="F44" s="577">
        <v>18351</v>
      </c>
      <c r="G44" s="566"/>
      <c r="H44" s="567"/>
      <c r="I44" s="567"/>
      <c r="J44" s="567"/>
      <c r="K44" s="567">
        <v>18351</v>
      </c>
    </row>
    <row r="45" spans="1:14" ht="13.5" customHeight="1" x14ac:dyDescent="0.2">
      <c r="A45" s="584" t="s">
        <v>875</v>
      </c>
      <c r="B45" s="567"/>
      <c r="C45" s="567"/>
      <c r="D45" s="580"/>
      <c r="E45" s="580"/>
      <c r="F45" s="577"/>
      <c r="G45" s="567"/>
      <c r="H45" s="567"/>
      <c r="I45" s="580"/>
      <c r="J45" s="580"/>
      <c r="K45" s="567"/>
    </row>
    <row r="46" spans="1:14" ht="13.5" customHeight="1" x14ac:dyDescent="0.2">
      <c r="A46" s="568" t="s">
        <v>876</v>
      </c>
      <c r="B46" s="567">
        <v>113.67</v>
      </c>
      <c r="C46" s="567"/>
      <c r="D46" s="567">
        <v>1632000</v>
      </c>
      <c r="E46" s="580"/>
      <c r="F46" s="577">
        <v>185509</v>
      </c>
      <c r="G46" s="567">
        <v>113.67</v>
      </c>
      <c r="H46" s="567"/>
      <c r="I46" s="567">
        <v>1632000</v>
      </c>
      <c r="J46" s="580"/>
      <c r="K46" s="567">
        <v>185509</v>
      </c>
    </row>
    <row r="47" spans="1:14" ht="13.5" customHeight="1" x14ac:dyDescent="0.2">
      <c r="A47" s="568" t="s">
        <v>877</v>
      </c>
      <c r="B47" s="567"/>
      <c r="C47" s="567"/>
      <c r="D47" s="580"/>
      <c r="E47" s="580"/>
      <c r="F47" s="577">
        <v>44543</v>
      </c>
      <c r="G47" s="567"/>
      <c r="H47" s="567"/>
      <c r="I47" s="580"/>
      <c r="J47" s="580"/>
      <c r="K47" s="567">
        <v>44543</v>
      </c>
    </row>
    <row r="48" spans="1:14" ht="13.5" customHeight="1" x14ac:dyDescent="0.2">
      <c r="A48" s="568" t="s">
        <v>453</v>
      </c>
      <c r="B48" s="567"/>
      <c r="C48" s="567"/>
      <c r="D48" s="580"/>
      <c r="E48" s="580"/>
      <c r="F48" s="577"/>
      <c r="G48" s="567"/>
      <c r="H48" s="567"/>
      <c r="I48" s="580"/>
      <c r="J48" s="580"/>
      <c r="K48" s="567">
        <v>279200</v>
      </c>
    </row>
    <row r="49" spans="1:11" ht="13.5" customHeight="1" x14ac:dyDescent="0.2">
      <c r="A49" s="568" t="s">
        <v>454</v>
      </c>
      <c r="B49" s="567"/>
      <c r="C49" s="567"/>
      <c r="D49" s="580"/>
      <c r="E49" s="580"/>
      <c r="F49" s="577"/>
      <c r="G49" s="567"/>
      <c r="H49" s="567"/>
      <c r="I49" s="580"/>
      <c r="J49" s="580"/>
      <c r="K49" s="567">
        <v>110</v>
      </c>
    </row>
    <row r="50" spans="1:11" ht="13.5" customHeight="1" x14ac:dyDescent="0.2">
      <c r="A50" s="569" t="s">
        <v>425</v>
      </c>
      <c r="B50" s="566"/>
      <c r="C50" s="567"/>
      <c r="D50" s="585"/>
      <c r="E50" s="585"/>
      <c r="F50" s="577"/>
      <c r="G50" s="566"/>
      <c r="H50" s="567"/>
      <c r="I50" s="585"/>
      <c r="J50" s="585"/>
      <c r="K50" s="567"/>
    </row>
    <row r="51" spans="1:11" ht="13.5" customHeight="1" x14ac:dyDescent="0.2">
      <c r="A51" s="564" t="s">
        <v>426</v>
      </c>
      <c r="B51" s="566"/>
      <c r="C51" s="567"/>
      <c r="D51" s="585"/>
      <c r="E51" s="585"/>
      <c r="F51" s="577">
        <v>101100</v>
      </c>
      <c r="G51" s="566"/>
      <c r="H51" s="567"/>
      <c r="I51" s="585"/>
      <c r="J51" s="585"/>
      <c r="K51" s="567">
        <v>101100</v>
      </c>
    </row>
    <row r="52" spans="1:11" ht="24.95" customHeight="1" x14ac:dyDescent="0.2">
      <c r="A52" s="564" t="s">
        <v>427</v>
      </c>
      <c r="B52" s="566"/>
      <c r="C52" s="567"/>
      <c r="D52" s="585"/>
      <c r="E52" s="585"/>
      <c r="F52" s="577">
        <v>112600</v>
      </c>
      <c r="G52" s="566"/>
      <c r="H52" s="567"/>
      <c r="I52" s="585"/>
      <c r="J52" s="585"/>
      <c r="K52" s="567">
        <v>112600</v>
      </c>
    </row>
    <row r="53" spans="1:11" ht="13.5" customHeight="1" x14ac:dyDescent="0.2">
      <c r="A53" s="564" t="s">
        <v>428</v>
      </c>
      <c r="B53" s="586">
        <v>59097</v>
      </c>
      <c r="C53" s="567"/>
      <c r="D53" s="585">
        <v>400</v>
      </c>
      <c r="E53" s="585"/>
      <c r="F53" s="577">
        <f>SUM(B53*D53)/1000</f>
        <v>23638.799999999999</v>
      </c>
      <c r="G53" s="586">
        <v>59097</v>
      </c>
      <c r="H53" s="567"/>
      <c r="I53" s="585">
        <v>400</v>
      </c>
      <c r="J53" s="585"/>
      <c r="K53" s="567">
        <f>SUM(G53*I53)/1000</f>
        <v>23638.799999999999</v>
      </c>
    </row>
    <row r="54" spans="1:11" ht="24.95" customHeight="1" x14ac:dyDescent="0.2">
      <c r="A54" s="564" t="s">
        <v>429</v>
      </c>
      <c r="B54" s="566"/>
      <c r="C54" s="567"/>
      <c r="D54" s="567"/>
      <c r="E54" s="567"/>
      <c r="F54" s="577">
        <v>167444</v>
      </c>
      <c r="G54" s="566"/>
      <c r="H54" s="567"/>
      <c r="I54" s="567"/>
      <c r="J54" s="567"/>
      <c r="K54" s="567">
        <v>167456</v>
      </c>
    </row>
    <row r="55" spans="1:11" ht="15" customHeight="1" x14ac:dyDescent="0.2">
      <c r="A55" s="564" t="s">
        <v>430</v>
      </c>
      <c r="B55" s="566"/>
      <c r="C55" s="567"/>
      <c r="D55" s="567"/>
      <c r="E55" s="567"/>
      <c r="F55" s="577"/>
      <c r="G55" s="566"/>
      <c r="H55" s="567"/>
      <c r="I55" s="567"/>
      <c r="J55" s="567"/>
      <c r="K55" s="567"/>
    </row>
    <row r="56" spans="1:11" ht="15" customHeight="1" x14ac:dyDescent="0.2">
      <c r="A56" s="564" t="s">
        <v>431</v>
      </c>
      <c r="B56" s="566"/>
      <c r="C56" s="567"/>
      <c r="D56" s="567"/>
      <c r="E56" s="567"/>
      <c r="F56" s="577"/>
      <c r="G56" s="566"/>
      <c r="H56" s="567"/>
      <c r="I56" s="567"/>
      <c r="J56" s="567"/>
      <c r="K56" s="567"/>
    </row>
    <row r="57" spans="1:11" ht="15" customHeight="1" x14ac:dyDescent="0.2">
      <c r="A57" s="570" t="s">
        <v>878</v>
      </c>
      <c r="B57" s="566"/>
      <c r="C57" s="567"/>
      <c r="D57" s="567"/>
      <c r="E57" s="567"/>
      <c r="F57" s="577">
        <v>246600</v>
      </c>
      <c r="G57" s="566"/>
      <c r="H57" s="567"/>
      <c r="I57" s="567"/>
      <c r="J57" s="567"/>
      <c r="K57" s="567">
        <v>246600</v>
      </c>
    </row>
    <row r="58" spans="1:11" ht="15" customHeight="1" x14ac:dyDescent="0.2">
      <c r="A58" s="571" t="s">
        <v>432</v>
      </c>
      <c r="B58" s="566"/>
      <c r="C58" s="567"/>
      <c r="D58" s="567"/>
      <c r="E58" s="567"/>
      <c r="F58" s="577"/>
      <c r="G58" s="566"/>
      <c r="H58" s="567"/>
      <c r="I58" s="567"/>
      <c r="J58" s="567"/>
      <c r="K58" s="567"/>
    </row>
    <row r="59" spans="1:11" ht="15" customHeight="1" x14ac:dyDescent="0.2">
      <c r="A59" s="564" t="s">
        <v>625</v>
      </c>
      <c r="B59" s="566"/>
      <c r="C59" s="567"/>
      <c r="D59" s="567"/>
      <c r="E59" s="567"/>
      <c r="F59" s="577">
        <v>8699</v>
      </c>
      <c r="G59" s="566"/>
      <c r="H59" s="567"/>
      <c r="I59" s="567"/>
      <c r="J59" s="567"/>
      <c r="K59" s="567">
        <v>8699</v>
      </c>
    </row>
    <row r="60" spans="1:11" ht="15" customHeight="1" x14ac:dyDescent="0.2">
      <c r="A60" s="564" t="s">
        <v>626</v>
      </c>
      <c r="B60" s="566"/>
      <c r="C60" s="566">
        <v>6955723</v>
      </c>
      <c r="D60" s="579">
        <v>1.5</v>
      </c>
      <c r="E60" s="579"/>
      <c r="F60" s="577">
        <f>SUM(C60*D60)/1000</f>
        <v>10433.584500000001</v>
      </c>
      <c r="G60" s="566"/>
      <c r="H60" s="566">
        <v>6955723</v>
      </c>
      <c r="I60" s="579">
        <v>1.5</v>
      </c>
      <c r="J60" s="579"/>
      <c r="K60" s="567">
        <f>SUM(H60*I60)/1000</f>
        <v>10433.584500000001</v>
      </c>
    </row>
    <row r="61" spans="1:11" ht="15" customHeight="1" x14ac:dyDescent="0.2">
      <c r="A61" s="564" t="s">
        <v>628</v>
      </c>
      <c r="B61" s="566"/>
      <c r="C61" s="566"/>
      <c r="D61" s="579"/>
      <c r="E61" s="579"/>
      <c r="F61" s="577"/>
      <c r="G61" s="566"/>
      <c r="H61" s="566"/>
      <c r="I61" s="579"/>
      <c r="J61" s="579"/>
      <c r="K61" s="567">
        <v>10341</v>
      </c>
    </row>
    <row r="62" spans="1:11" ht="15" customHeight="1" x14ac:dyDescent="0.2">
      <c r="A62" s="564" t="s">
        <v>630</v>
      </c>
      <c r="B62" s="566"/>
      <c r="C62" s="566"/>
      <c r="D62" s="579"/>
      <c r="E62" s="579"/>
      <c r="F62" s="577"/>
      <c r="G62" s="566"/>
      <c r="H62" s="566"/>
      <c r="I62" s="579"/>
      <c r="J62" s="579"/>
      <c r="K62" s="567">
        <v>8084</v>
      </c>
    </row>
    <row r="63" spans="1:11" ht="15" customHeight="1" x14ac:dyDescent="0.2">
      <c r="A63" s="564" t="s">
        <v>629</v>
      </c>
      <c r="B63" s="566"/>
      <c r="C63" s="566"/>
      <c r="D63" s="579"/>
      <c r="E63" s="579"/>
      <c r="F63" s="577"/>
      <c r="G63" s="566"/>
      <c r="H63" s="566"/>
      <c r="I63" s="579"/>
      <c r="J63" s="579"/>
      <c r="K63" s="567">
        <v>24</v>
      </c>
    </row>
    <row r="64" spans="1:11" ht="15" customHeight="1" x14ac:dyDescent="0.2">
      <c r="A64" s="564" t="s">
        <v>627</v>
      </c>
      <c r="B64" s="566"/>
      <c r="C64" s="566"/>
      <c r="D64" s="579"/>
      <c r="E64" s="579"/>
      <c r="F64" s="577"/>
      <c r="G64" s="566"/>
      <c r="H64" s="566"/>
      <c r="I64" s="579"/>
      <c r="J64" s="579"/>
      <c r="K64" s="567">
        <v>33986</v>
      </c>
    </row>
    <row r="65" spans="1:14" ht="15" customHeight="1" x14ac:dyDescent="0.2">
      <c r="A65" s="564" t="s">
        <v>631</v>
      </c>
      <c r="B65" s="566"/>
      <c r="C65" s="566"/>
      <c r="D65" s="579"/>
      <c r="E65" s="579"/>
      <c r="F65" s="577"/>
      <c r="G65" s="566"/>
      <c r="H65" s="566"/>
      <c r="I65" s="579"/>
      <c r="J65" s="579"/>
      <c r="K65" s="567">
        <v>6000</v>
      </c>
    </row>
    <row r="66" spans="1:14" ht="15" customHeight="1" x14ac:dyDescent="0.2">
      <c r="A66" s="564" t="s">
        <v>558</v>
      </c>
      <c r="B66" s="566"/>
      <c r="C66" s="566"/>
      <c r="D66" s="579"/>
      <c r="E66" s="579"/>
      <c r="F66" s="577"/>
      <c r="G66" s="566"/>
      <c r="H66" s="566"/>
      <c r="I66" s="579"/>
      <c r="J66" s="579"/>
      <c r="K66" s="567">
        <v>2528</v>
      </c>
    </row>
    <row r="67" spans="1:14" ht="15" customHeight="1" x14ac:dyDescent="0.2">
      <c r="A67" s="564" t="s">
        <v>557</v>
      </c>
      <c r="B67" s="566"/>
      <c r="C67" s="566"/>
      <c r="D67" s="579"/>
      <c r="E67" s="579"/>
      <c r="F67" s="577"/>
      <c r="G67" s="566"/>
      <c r="H67" s="566"/>
      <c r="I67" s="579"/>
      <c r="J67" s="579"/>
      <c r="K67" s="567">
        <v>63</v>
      </c>
    </row>
    <row r="68" spans="1:14" ht="15" customHeight="1" x14ac:dyDescent="0.2">
      <c r="A68" s="564" t="s">
        <v>452</v>
      </c>
      <c r="B68" s="566"/>
      <c r="C68" s="566"/>
      <c r="D68" s="579"/>
      <c r="E68" s="579"/>
      <c r="F68" s="577"/>
      <c r="G68" s="566"/>
      <c r="H68" s="566"/>
      <c r="I68" s="579"/>
      <c r="J68" s="579"/>
      <c r="K68" s="567">
        <v>5180</v>
      </c>
    </row>
    <row r="69" spans="1:14" ht="15" customHeight="1" x14ac:dyDescent="0.2">
      <c r="A69" s="569" t="s">
        <v>622</v>
      </c>
      <c r="B69" s="566"/>
      <c r="C69" s="566"/>
      <c r="D69" s="579"/>
      <c r="E69" s="579"/>
      <c r="F69" s="577"/>
      <c r="G69" s="566"/>
      <c r="H69" s="566"/>
      <c r="I69" s="579"/>
      <c r="J69" s="579"/>
      <c r="K69" s="567"/>
    </row>
    <row r="70" spans="1:14" ht="15" customHeight="1" x14ac:dyDescent="0.2">
      <c r="A70" s="564" t="s">
        <v>623</v>
      </c>
      <c r="B70" s="566"/>
      <c r="C70" s="566"/>
      <c r="D70" s="579"/>
      <c r="E70" s="579"/>
      <c r="F70" s="577"/>
      <c r="G70" s="566"/>
      <c r="H70" s="566"/>
      <c r="I70" s="579"/>
      <c r="J70" s="579"/>
      <c r="K70" s="567">
        <v>34104</v>
      </c>
    </row>
    <row r="71" spans="1:14" ht="15" customHeight="1" x14ac:dyDescent="0.2">
      <c r="A71" s="564" t="s">
        <v>624</v>
      </c>
      <c r="B71" s="566"/>
      <c r="C71" s="566"/>
      <c r="D71" s="579"/>
      <c r="E71" s="579"/>
      <c r="F71" s="577"/>
      <c r="G71" s="566"/>
      <c r="H71" s="566"/>
      <c r="I71" s="579"/>
      <c r="J71" s="579"/>
      <c r="K71" s="567">
        <v>1243940</v>
      </c>
    </row>
    <row r="72" spans="1:14" ht="15" customHeight="1" x14ac:dyDescent="0.2">
      <c r="A72" s="568" t="s">
        <v>556</v>
      </c>
      <c r="B72" s="567"/>
      <c r="C72" s="567"/>
      <c r="D72" s="580"/>
      <c r="E72" s="580"/>
      <c r="F72" s="577"/>
      <c r="G72" s="567"/>
      <c r="H72" s="567"/>
      <c r="I72" s="580"/>
      <c r="J72" s="580"/>
      <c r="K72" s="567">
        <v>18204</v>
      </c>
    </row>
    <row r="73" spans="1:14" s="122" customFormat="1" ht="13.5" customHeight="1" x14ac:dyDescent="0.2">
      <c r="A73" s="572" t="s">
        <v>433</v>
      </c>
      <c r="B73" s="573"/>
      <c r="C73" s="573"/>
      <c r="D73" s="573"/>
      <c r="E73" s="573"/>
      <c r="F73" s="575">
        <f>SUM(F4:F60)</f>
        <v>2399699.4711769996</v>
      </c>
      <c r="G73" s="573"/>
      <c r="H73" s="573"/>
      <c r="I73" s="573"/>
      <c r="J73" s="573"/>
      <c r="K73" s="573">
        <f>SUM(K4:K72)</f>
        <v>4041474.4711769996</v>
      </c>
      <c r="L73" s="121"/>
      <c r="M73" s="121"/>
      <c r="N73" s="121"/>
    </row>
    <row r="74" spans="1:14" ht="12.75" customHeight="1" x14ac:dyDescent="0.2">
      <c r="A74" s="123"/>
      <c r="B74" s="123"/>
      <c r="C74" s="123"/>
      <c r="D74" s="123"/>
      <c r="E74" s="123"/>
      <c r="F74" s="129"/>
    </row>
    <row r="75" spans="1:14" ht="18" customHeight="1" x14ac:dyDescent="0.2">
      <c r="A75" s="124"/>
      <c r="B75" s="125"/>
      <c r="C75" s="125"/>
      <c r="D75" s="125"/>
      <c r="E75" s="125"/>
      <c r="F75" s="130"/>
    </row>
    <row r="76" spans="1:14" hidden="1" x14ac:dyDescent="0.2"/>
    <row r="77" spans="1:14" hidden="1" x14ac:dyDescent="0.2"/>
  </sheetData>
  <sheetProtection selectLockedCells="1" selectUnlockedCells="1"/>
  <mergeCells count="2">
    <mergeCell ref="B1:F1"/>
    <mergeCell ref="G1:K1"/>
  </mergeCells>
  <phoneticPr fontId="60" type="noConversion"/>
  <printOptions horizontalCentered="1" verticalCentered="1"/>
  <pageMargins left="7.874015748031496E-2" right="7.874015748031496E-2" top="0.70866141732283472" bottom="0.19685039370078741" header="0.39370078740157483" footer="0.19685039370078741"/>
  <pageSetup paperSize="9" scale="80" firstPageNumber="0" orientation="landscape" horizontalDpi="300" verticalDpi="300" r:id="rId1"/>
  <headerFooter alignWithMargins="0">
    <oddHeader xml:space="preserve">&amp;C&amp;"Times New Roman,Félkövér dőlt"ÁLLAMI HOZZÁJÁRULÁSOK  ÉS SZJA BEVÉTEL 2014. ÉVBEN&amp;R&amp;"Times New Roman,Dőlt"3. melléklet
</oddHead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0" sqref="D10"/>
    </sheetView>
  </sheetViews>
  <sheetFormatPr defaultRowHeight="12" x14ac:dyDescent="0.2"/>
  <cols>
    <col min="1" max="1" width="9.33203125" style="47"/>
    <col min="2" max="2" width="50.5" style="47" customWidth="1"/>
    <col min="3" max="3" width="16.33203125" style="47" customWidth="1"/>
    <col min="4" max="4" width="14.5" style="47" customWidth="1"/>
    <col min="5" max="5" width="15.1640625" style="47" customWidth="1"/>
    <col min="6" max="16384" width="9.33203125" style="47"/>
  </cols>
  <sheetData>
    <row r="1" spans="1:5" s="132" customFormat="1" ht="50.1" customHeight="1" thickBot="1" x14ac:dyDescent="0.25">
      <c r="A1" s="131" t="s">
        <v>9</v>
      </c>
      <c r="B1" s="131" t="s">
        <v>905</v>
      </c>
      <c r="C1" s="131" t="s">
        <v>166</v>
      </c>
      <c r="D1" s="555" t="s">
        <v>434</v>
      </c>
      <c r="E1" s="556" t="s">
        <v>167</v>
      </c>
    </row>
    <row r="2" spans="1:5" s="132" customFormat="1" ht="19.5" customHeight="1" x14ac:dyDescent="0.2">
      <c r="A2" s="552"/>
      <c r="B2" s="553" t="s">
        <v>966</v>
      </c>
      <c r="C2" s="552"/>
      <c r="D2" s="554"/>
      <c r="E2" s="554"/>
    </row>
    <row r="3" spans="1:5" s="137" customFormat="1" ht="12.75" x14ac:dyDescent="0.2">
      <c r="A3" s="134" t="s">
        <v>68</v>
      </c>
      <c r="B3" s="135" t="s">
        <v>435</v>
      </c>
      <c r="C3" s="136">
        <v>2951765</v>
      </c>
      <c r="D3" s="25">
        <v>103315</v>
      </c>
      <c r="E3" s="25">
        <f>SUM(C3:D3)</f>
        <v>3055080</v>
      </c>
    </row>
    <row r="4" spans="1:5" s="69" customFormat="1" ht="12.75" x14ac:dyDescent="0.2">
      <c r="A4" s="134" t="s">
        <v>69</v>
      </c>
      <c r="B4" s="138" t="s">
        <v>436</v>
      </c>
      <c r="C4" s="139">
        <v>809399</v>
      </c>
      <c r="D4" s="23">
        <v>20892</v>
      </c>
      <c r="E4" s="25">
        <f>SUM(C4:D4)</f>
        <v>830291</v>
      </c>
    </row>
    <row r="5" spans="1:5" s="69" customFormat="1" ht="12.75" x14ac:dyDescent="0.2">
      <c r="A5" s="134" t="s">
        <v>70</v>
      </c>
      <c r="B5" s="140" t="s">
        <v>437</v>
      </c>
      <c r="C5" s="139">
        <v>4417840</v>
      </c>
      <c r="D5" s="23">
        <v>323404</v>
      </c>
      <c r="E5" s="25">
        <f>SUM(C5:D5)</f>
        <v>4741244</v>
      </c>
    </row>
    <row r="6" spans="1:5" s="69" customFormat="1" ht="12.75" x14ac:dyDescent="0.2">
      <c r="A6" s="134" t="s">
        <v>71</v>
      </c>
      <c r="B6" s="140" t="s">
        <v>968</v>
      </c>
      <c r="C6" s="141">
        <v>143280</v>
      </c>
      <c r="D6" s="23">
        <v>279585</v>
      </c>
      <c r="E6" s="25">
        <f>SUM(C6:D6)</f>
        <v>422865</v>
      </c>
    </row>
    <row r="7" spans="1:5" s="69" customFormat="1" ht="12.75" x14ac:dyDescent="0.2">
      <c r="A7" s="134" t="s">
        <v>72</v>
      </c>
      <c r="B7" s="140" t="s">
        <v>438</v>
      </c>
      <c r="C7" s="139">
        <v>1583144</v>
      </c>
      <c r="D7" s="23">
        <v>173178</v>
      </c>
      <c r="E7" s="25">
        <f>SUM(C7:D7)</f>
        <v>1756322</v>
      </c>
    </row>
    <row r="8" spans="1:5" s="69" customFormat="1" ht="13.5" x14ac:dyDescent="0.2">
      <c r="A8" s="134"/>
      <c r="B8" s="133" t="s">
        <v>456</v>
      </c>
      <c r="C8" s="142">
        <f>SUM(C3:C7)</f>
        <v>9905428</v>
      </c>
      <c r="D8" s="142">
        <f>SUM(D3:D7)</f>
        <v>900374</v>
      </c>
      <c r="E8" s="142">
        <f>SUM(E3:E7)</f>
        <v>10805802</v>
      </c>
    </row>
    <row r="9" spans="1:5" s="69" customFormat="1" ht="12.75" x14ac:dyDescent="0.2">
      <c r="A9" s="144" t="s">
        <v>73</v>
      </c>
      <c r="B9" s="139" t="s">
        <v>457</v>
      </c>
      <c r="C9" s="139">
        <v>6800899</v>
      </c>
      <c r="D9" s="23">
        <v>479931</v>
      </c>
      <c r="E9" s="25">
        <f>SUM(C9:D9)</f>
        <v>7280830</v>
      </c>
    </row>
    <row r="10" spans="1:5" s="69" customFormat="1" ht="12.75" x14ac:dyDescent="0.2">
      <c r="A10" s="144" t="s">
        <v>74</v>
      </c>
      <c r="B10" s="139" t="s">
        <v>458</v>
      </c>
      <c r="C10" s="139">
        <v>701881</v>
      </c>
      <c r="D10" s="23">
        <v>25433</v>
      </c>
      <c r="E10" s="25">
        <f>SUM(C10:D10)</f>
        <v>727314</v>
      </c>
    </row>
    <row r="11" spans="1:5" s="69" customFormat="1" ht="12.75" x14ac:dyDescent="0.2">
      <c r="A11" s="144" t="s">
        <v>75</v>
      </c>
      <c r="B11" s="139" t="s">
        <v>969</v>
      </c>
      <c r="C11" s="141">
        <v>516142</v>
      </c>
      <c r="D11" s="23">
        <v>282056</v>
      </c>
      <c r="E11" s="25">
        <f>SUM(C11:D11)</f>
        <v>798198</v>
      </c>
    </row>
    <row r="12" spans="1:5" s="69" customFormat="1" ht="13.5" x14ac:dyDescent="0.2">
      <c r="A12" s="144"/>
      <c r="B12" s="143" t="s">
        <v>460</v>
      </c>
      <c r="C12" s="145">
        <f>SUM(C9:C11)</f>
        <v>8018922</v>
      </c>
      <c r="D12" s="145">
        <f>SUM(D9:D11)</f>
        <v>787420</v>
      </c>
      <c r="E12" s="145">
        <f>SUM(E9:E11)</f>
        <v>8806342</v>
      </c>
    </row>
    <row r="13" spans="1:5" s="69" customFormat="1" ht="18" customHeight="1" x14ac:dyDescent="0.2">
      <c r="A13" s="144" t="s">
        <v>76</v>
      </c>
      <c r="B13" s="143" t="s">
        <v>77</v>
      </c>
      <c r="C13" s="145">
        <f>SUM(C8+C12)</f>
        <v>17924350</v>
      </c>
      <c r="D13" s="145">
        <f>SUM(D8+D12)</f>
        <v>1687794</v>
      </c>
      <c r="E13" s="145">
        <f>SUM(E8+E12)</f>
        <v>19612144</v>
      </c>
    </row>
    <row r="14" spans="1:5" s="69" customFormat="1" ht="16.5" customHeight="1" x14ac:dyDescent="0.2">
      <c r="A14" s="144" t="s">
        <v>78</v>
      </c>
      <c r="B14" s="143" t="s">
        <v>970</v>
      </c>
      <c r="C14" s="145">
        <v>34668</v>
      </c>
      <c r="D14" s="557">
        <v>1357997</v>
      </c>
      <c r="E14" s="145">
        <f>SUM(C14:D14)</f>
        <v>1392665</v>
      </c>
    </row>
    <row r="15" spans="1:5" s="71" customFormat="1" ht="18.75" customHeight="1" x14ac:dyDescent="0.2">
      <c r="A15" s="146"/>
      <c r="B15" s="147" t="s">
        <v>461</v>
      </c>
      <c r="C15" s="148">
        <f>SUM(C13:C14)</f>
        <v>17959018</v>
      </c>
      <c r="D15" s="148">
        <f>SUM(D13:D14)</f>
        <v>3045791</v>
      </c>
      <c r="E15" s="148">
        <f>SUM(E13:E14)</f>
        <v>21004809</v>
      </c>
    </row>
    <row r="16" spans="1:5" s="46" customFormat="1" ht="12.75" x14ac:dyDescent="0.2">
      <c r="A16" s="149"/>
      <c r="B16" s="150"/>
      <c r="C16" s="150"/>
    </row>
    <row r="17" spans="1:3" s="16" customFormat="1" ht="12.75" x14ac:dyDescent="0.2">
      <c r="A17" s="149"/>
      <c r="B17" s="149"/>
      <c r="C17" s="149"/>
    </row>
    <row r="18" spans="1:3" s="16" customFormat="1" ht="12.75" x14ac:dyDescent="0.2">
      <c r="A18" s="149"/>
      <c r="B18" s="149"/>
      <c r="C18" s="149"/>
    </row>
    <row r="19" spans="1:3" s="16" customFormat="1" ht="12.75" x14ac:dyDescent="0.2">
      <c r="A19" s="149"/>
      <c r="B19" s="149"/>
      <c r="C19" s="149"/>
    </row>
    <row r="20" spans="1:3" s="16" customFormat="1" ht="12.75" x14ac:dyDescent="0.2">
      <c r="A20" s="149"/>
      <c r="B20" s="149"/>
      <c r="C20" s="149"/>
    </row>
    <row r="21" spans="1:3" s="16" customFormat="1" ht="12.75" x14ac:dyDescent="0.2">
      <c r="A21" s="149"/>
      <c r="B21" s="149"/>
      <c r="C21" s="149"/>
    </row>
    <row r="22" spans="1:3" s="16" customFormat="1" ht="12.75" x14ac:dyDescent="0.2">
      <c r="A22" s="149"/>
      <c r="B22" s="149"/>
      <c r="C22" s="149"/>
    </row>
    <row r="23" spans="1:3" s="16" customFormat="1" ht="12.75" x14ac:dyDescent="0.2">
      <c r="A23" s="149"/>
      <c r="B23" s="149"/>
      <c r="C23" s="149"/>
    </row>
    <row r="24" spans="1:3" s="16" customFormat="1" ht="12.75" x14ac:dyDescent="0.2">
      <c r="A24" s="149"/>
      <c r="B24" s="149"/>
      <c r="C24" s="149"/>
    </row>
    <row r="25" spans="1:3" s="16" customFormat="1" ht="12.75" x14ac:dyDescent="0.2">
      <c r="A25" s="149"/>
      <c r="B25" s="149"/>
      <c r="C25" s="149"/>
    </row>
    <row r="26" spans="1:3" s="16" customFormat="1" ht="12.75" x14ac:dyDescent="0.2">
      <c r="A26" s="151"/>
      <c r="B26" s="149"/>
      <c r="C26" s="149"/>
    </row>
    <row r="27" spans="1:3" ht="12.75" x14ac:dyDescent="0.2">
      <c r="A27" s="151"/>
      <c r="B27" s="151"/>
      <c r="C27" s="151"/>
    </row>
    <row r="28" spans="1:3" ht="12.75" x14ac:dyDescent="0.2">
      <c r="A28" s="151"/>
      <c r="B28" s="151"/>
      <c r="C28" s="151"/>
    </row>
    <row r="29" spans="1:3" ht="12.75" x14ac:dyDescent="0.2">
      <c r="A29" s="151"/>
      <c r="B29" s="151"/>
      <c r="C29" s="151"/>
    </row>
    <row r="30" spans="1:3" ht="12.75" x14ac:dyDescent="0.2">
      <c r="A30" s="151"/>
      <c r="B30" s="151"/>
      <c r="C30" s="151"/>
    </row>
    <row r="31" spans="1:3" ht="12.75" x14ac:dyDescent="0.2">
      <c r="A31" s="151"/>
      <c r="B31" s="151"/>
      <c r="C31" s="151"/>
    </row>
    <row r="32" spans="1:3" ht="12.75" x14ac:dyDescent="0.2">
      <c r="B32" s="151"/>
      <c r="C32" s="151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A  KIADÁSI  ELŐIRÁNYZATAI
ROVATONKÉNT 2014.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K15" sqref="K15:L15"/>
    </sheetView>
  </sheetViews>
  <sheetFormatPr defaultRowHeight="12.75" x14ac:dyDescent="0.2"/>
  <cols>
    <col min="1" max="1" width="5.33203125" style="49" customWidth="1"/>
    <col min="2" max="2" width="7" style="49" customWidth="1"/>
    <col min="3" max="3" width="32" style="49" customWidth="1"/>
    <col min="4" max="4" width="11.5" style="49" customWidth="1"/>
    <col min="5" max="5" width="14.83203125" style="49" customWidth="1"/>
    <col min="6" max="6" width="11.6640625" style="49" customWidth="1"/>
    <col min="7" max="7" width="10.33203125" style="49" customWidth="1"/>
    <col min="8" max="8" width="11.83203125" style="49" customWidth="1"/>
    <col min="9" max="9" width="12" style="49" customWidth="1"/>
    <col min="10" max="11" width="10.83203125" style="49" customWidth="1"/>
    <col min="12" max="12" width="12.5" style="49" customWidth="1"/>
    <col min="13" max="13" width="12.6640625" style="49" customWidth="1"/>
    <col min="14" max="14" width="15.6640625" style="49" customWidth="1"/>
    <col min="15" max="16384" width="9.33203125" style="49"/>
  </cols>
  <sheetData>
    <row r="1" spans="1:14" s="50" customFormat="1" ht="42" customHeight="1" x14ac:dyDescent="0.2">
      <c r="A1" s="700" t="s">
        <v>965</v>
      </c>
      <c r="B1" s="700" t="s">
        <v>164</v>
      </c>
      <c r="C1" s="704" t="s">
        <v>905</v>
      </c>
      <c r="D1" s="700" t="s">
        <v>972</v>
      </c>
      <c r="E1" s="700"/>
      <c r="F1" s="700"/>
      <c r="G1" s="700"/>
      <c r="H1" s="700"/>
      <c r="I1" s="700"/>
      <c r="J1" s="700"/>
      <c r="K1" s="701" t="s">
        <v>973</v>
      </c>
      <c r="L1" s="700"/>
      <c r="M1" s="700"/>
      <c r="N1" s="702" t="s">
        <v>908</v>
      </c>
    </row>
    <row r="2" spans="1:14" s="50" customFormat="1" ht="84.75" customHeight="1" x14ac:dyDescent="0.2">
      <c r="A2" s="700"/>
      <c r="B2" s="700"/>
      <c r="C2" s="704"/>
      <c r="D2" s="524" t="s">
        <v>975</v>
      </c>
      <c r="E2" s="524" t="s">
        <v>976</v>
      </c>
      <c r="F2" s="525" t="s">
        <v>464</v>
      </c>
      <c r="G2" s="524" t="s">
        <v>977</v>
      </c>
      <c r="H2" s="524" t="s">
        <v>682</v>
      </c>
      <c r="I2" s="524" t="s">
        <v>978</v>
      </c>
      <c r="J2" s="524" t="s">
        <v>979</v>
      </c>
      <c r="K2" s="524" t="s">
        <v>764</v>
      </c>
      <c r="L2" s="524" t="s">
        <v>980</v>
      </c>
      <c r="M2" s="524" t="s">
        <v>982</v>
      </c>
      <c r="N2" s="703"/>
    </row>
    <row r="3" spans="1:14" ht="17.100000000000001" customHeight="1" x14ac:dyDescent="0.2">
      <c r="A3" s="155">
        <v>1</v>
      </c>
      <c r="B3" s="110"/>
      <c r="C3" s="110" t="s">
        <v>683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7.100000000000001" customHeight="1" x14ac:dyDescent="0.2">
      <c r="A4" s="58"/>
      <c r="B4" s="58">
        <v>12</v>
      </c>
      <c r="C4" s="57" t="s">
        <v>466</v>
      </c>
      <c r="D4" s="59">
        <f>19+'11'!D8</f>
        <v>75</v>
      </c>
      <c r="E4" s="59">
        <f>0+'11'!E8</f>
        <v>0</v>
      </c>
      <c r="F4" s="59">
        <f>0+'11'!F8</f>
        <v>0</v>
      </c>
      <c r="G4" s="59">
        <f>12325+'11'!G8</f>
        <v>12325</v>
      </c>
      <c r="H4" s="59">
        <f>0+'11'!H8</f>
        <v>0</v>
      </c>
      <c r="I4" s="59">
        <f>0+'11'!I8</f>
        <v>0</v>
      </c>
      <c r="J4" s="59">
        <f>0+'11'!J8</f>
        <v>0</v>
      </c>
      <c r="K4" s="59">
        <f>0+'11'!K8</f>
        <v>0</v>
      </c>
      <c r="L4" s="59">
        <f>0+'11'!L8</f>
        <v>0</v>
      </c>
      <c r="M4" s="59">
        <f>0+'11'!M8</f>
        <v>0</v>
      </c>
      <c r="N4" s="59">
        <f>SUM(D4:M4)</f>
        <v>12400</v>
      </c>
    </row>
    <row r="5" spans="1:14" ht="17.100000000000001" customHeight="1" x14ac:dyDescent="0.2">
      <c r="A5" s="58"/>
      <c r="B5" s="58">
        <v>13</v>
      </c>
      <c r="C5" s="57" t="s">
        <v>467</v>
      </c>
      <c r="D5" s="59">
        <f>47915+'11'!D16</f>
        <v>48565</v>
      </c>
      <c r="E5" s="59">
        <f>200441+'11'!E16</f>
        <v>200441</v>
      </c>
      <c r="F5" s="59">
        <f>0+'11'!F16</f>
        <v>0</v>
      </c>
      <c r="G5" s="59">
        <f>5461+'11'!G16</f>
        <v>5461</v>
      </c>
      <c r="H5" s="59">
        <f>0+'11'!H16</f>
        <v>0</v>
      </c>
      <c r="I5" s="59">
        <f>0+'11'!I16</f>
        <v>0</v>
      </c>
      <c r="J5" s="59">
        <f>0+'11'!J16</f>
        <v>0</v>
      </c>
      <c r="K5" s="59">
        <f>0+'11'!K16</f>
        <v>0</v>
      </c>
      <c r="L5" s="59">
        <f>0+'11'!L16</f>
        <v>0</v>
      </c>
      <c r="M5" s="59">
        <f>0+'11'!M16</f>
        <v>0</v>
      </c>
      <c r="N5" s="59">
        <f t="shared" ref="N5:N12" si="0">SUM(D5:M5)</f>
        <v>254467</v>
      </c>
    </row>
    <row r="6" spans="1:14" ht="17.100000000000001" customHeight="1" x14ac:dyDescent="0.2">
      <c r="A6" s="58"/>
      <c r="B6" s="58">
        <v>15</v>
      </c>
      <c r="C6" s="57" t="s">
        <v>910</v>
      </c>
      <c r="D6" s="59">
        <f>445+'11'!D28</f>
        <v>1711</v>
      </c>
      <c r="E6" s="59">
        <f>371377+'11'!E28</f>
        <v>337391</v>
      </c>
      <c r="F6" s="59">
        <f>0+'11'!F28</f>
        <v>0</v>
      </c>
      <c r="G6" s="59">
        <f>680478+'11'!G28</f>
        <v>702866</v>
      </c>
      <c r="H6" s="59">
        <f>0+'11'!H28</f>
        <v>0</v>
      </c>
      <c r="I6" s="59">
        <f>0+'11'!I28</f>
        <v>0</v>
      </c>
      <c r="J6" s="59">
        <f>746+'11'!J28</f>
        <v>1146</v>
      </c>
      <c r="K6" s="59">
        <f>0+'11'!K28</f>
        <v>0</v>
      </c>
      <c r="L6" s="59">
        <f>0+'11'!L28</f>
        <v>0</v>
      </c>
      <c r="M6" s="59">
        <f>0+'11'!M28</f>
        <v>0</v>
      </c>
      <c r="N6" s="59">
        <f t="shared" si="0"/>
        <v>1043114</v>
      </c>
    </row>
    <row r="7" spans="1:14" ht="17.100000000000001" customHeight="1" x14ac:dyDescent="0.2">
      <c r="A7" s="58"/>
      <c r="B7" s="58">
        <v>16</v>
      </c>
      <c r="C7" s="57" t="s">
        <v>657</v>
      </c>
      <c r="D7" s="59">
        <f>0+'11'!D31</f>
        <v>0</v>
      </c>
      <c r="E7" s="59">
        <f>4227845+'11'!E31</f>
        <v>4227845</v>
      </c>
      <c r="F7" s="59">
        <f>0+'11'!F31</f>
        <v>0</v>
      </c>
      <c r="G7" s="59">
        <f>5695+'11'!G31</f>
        <v>5695</v>
      </c>
      <c r="H7" s="59">
        <f>0+'11'!H31</f>
        <v>0</v>
      </c>
      <c r="I7" s="59">
        <f>0+'11'!I31</f>
        <v>0</v>
      </c>
      <c r="J7" s="59">
        <f>200000+'11'!J31</f>
        <v>200000</v>
      </c>
      <c r="K7" s="59">
        <f>0+'11'!K31</f>
        <v>0</v>
      </c>
      <c r="L7" s="59">
        <f>0+'11'!L31</f>
        <v>0</v>
      </c>
      <c r="M7" s="59">
        <f>0+'11'!M31</f>
        <v>0</v>
      </c>
      <c r="N7" s="59">
        <f t="shared" si="0"/>
        <v>4433540</v>
      </c>
    </row>
    <row r="8" spans="1:14" ht="17.100000000000001" customHeight="1" x14ac:dyDescent="0.2">
      <c r="A8" s="58"/>
      <c r="B8" s="58">
        <v>17</v>
      </c>
      <c r="C8" s="57" t="s">
        <v>911</v>
      </c>
      <c r="D8" s="59">
        <f>0+'11'!D39</f>
        <v>0</v>
      </c>
      <c r="E8" s="59">
        <f>0+'11'!E39</f>
        <v>0</v>
      </c>
      <c r="F8" s="59">
        <f>0+'11'!F39</f>
        <v>0</v>
      </c>
      <c r="G8" s="59">
        <f>271237+'11'!G39</f>
        <v>335079</v>
      </c>
      <c r="H8" s="59">
        <f>251100+'11'!H39</f>
        <v>253600</v>
      </c>
      <c r="I8" s="59">
        <f>0+'11'!I39</f>
        <v>0</v>
      </c>
      <c r="J8" s="59">
        <f>20000+'11'!J39</f>
        <v>20000</v>
      </c>
      <c r="K8" s="59">
        <f>0+'11'!K39</f>
        <v>0</v>
      </c>
      <c r="L8" s="59">
        <f>342239+'11'!L39</f>
        <v>342239</v>
      </c>
      <c r="M8" s="59">
        <f>0+'11'!M39</f>
        <v>0</v>
      </c>
      <c r="N8" s="59">
        <f t="shared" si="0"/>
        <v>950918</v>
      </c>
    </row>
    <row r="9" spans="1:14" ht="17.100000000000001" customHeight="1" x14ac:dyDescent="0.2">
      <c r="A9" s="58"/>
      <c r="B9" s="58">
        <v>18</v>
      </c>
      <c r="C9" s="57" t="s">
        <v>656</v>
      </c>
      <c r="D9" s="59">
        <f>0+'11'!D42</f>
        <v>0</v>
      </c>
      <c r="E9" s="59">
        <f>0+'11'!E42</f>
        <v>0</v>
      </c>
      <c r="F9" s="59">
        <f>5000+'11'!F42</f>
        <v>5000</v>
      </c>
      <c r="G9" s="59">
        <f>41910+'11'!G42</f>
        <v>41910</v>
      </c>
      <c r="H9" s="59">
        <f>0+'11'!H42</f>
        <v>0</v>
      </c>
      <c r="I9" s="59">
        <f>0+'11'!I42</f>
        <v>0</v>
      </c>
      <c r="J9" s="59">
        <f>0+'11'!J42</f>
        <v>0</v>
      </c>
      <c r="K9" s="59">
        <f>0+'11'!K42</f>
        <v>0</v>
      </c>
      <c r="L9" s="59">
        <f>0+'11'!L42</f>
        <v>0</v>
      </c>
      <c r="M9" s="59">
        <f>0+'11'!M42</f>
        <v>0</v>
      </c>
      <c r="N9" s="59">
        <f t="shared" si="0"/>
        <v>46910</v>
      </c>
    </row>
    <row r="10" spans="1:14" ht="17.100000000000001" customHeight="1" x14ac:dyDescent="0.2">
      <c r="A10" s="58"/>
      <c r="B10" s="58">
        <v>19</v>
      </c>
      <c r="C10" s="57" t="s">
        <v>912</v>
      </c>
      <c r="D10" s="59">
        <f>2624086+'11'!D56</f>
        <v>2891899</v>
      </c>
      <c r="E10" s="59">
        <f>1314197+'11'!E56</f>
        <v>1236776</v>
      </c>
      <c r="F10" s="59">
        <f>4253500+'11'!F56</f>
        <v>4253500</v>
      </c>
      <c r="G10" s="59">
        <f>225588+'11'!G56</f>
        <v>394547</v>
      </c>
      <c r="H10" s="59">
        <f>0+'11'!H56</f>
        <v>0</v>
      </c>
      <c r="I10" s="59">
        <f>0+'11'!I56</f>
        <v>0</v>
      </c>
      <c r="J10" s="59">
        <f>0+'11'!J56</f>
        <v>0</v>
      </c>
      <c r="K10" s="59">
        <f>658892+'11'!K56</f>
        <v>638892</v>
      </c>
      <c r="L10" s="59">
        <f>2777553+'11'!L56</f>
        <v>2791553</v>
      </c>
      <c r="M10" s="59">
        <f>0+'11'!M56</f>
        <v>0</v>
      </c>
      <c r="N10" s="59">
        <f t="shared" si="0"/>
        <v>12207167</v>
      </c>
    </row>
    <row r="11" spans="1:14" ht="17.100000000000001" customHeight="1" x14ac:dyDescent="0.2">
      <c r="A11" s="58"/>
      <c r="B11" s="58">
        <v>20</v>
      </c>
      <c r="C11" s="32" t="s">
        <v>823</v>
      </c>
      <c r="D11" s="59">
        <f>0+'11'!D59</f>
        <v>0</v>
      </c>
      <c r="E11" s="59">
        <f>0+'11'!E59</f>
        <v>0</v>
      </c>
      <c r="F11" s="59">
        <f>0+'11'!F59</f>
        <v>0</v>
      </c>
      <c r="G11" s="59">
        <f>0+'11'!G59</f>
        <v>0</v>
      </c>
      <c r="H11" s="59">
        <f>0+'11'!H59</f>
        <v>0</v>
      </c>
      <c r="I11" s="59">
        <f>0+'11'!I59</f>
        <v>0</v>
      </c>
      <c r="J11" s="59">
        <f>0+'11'!J59</f>
        <v>0</v>
      </c>
      <c r="K11" s="59">
        <f>0+'11'!K59</f>
        <v>0</v>
      </c>
      <c r="L11" s="59">
        <f>0+'11'!L59</f>
        <v>0</v>
      </c>
      <c r="M11" s="59">
        <f>0+'11'!M59</f>
        <v>0</v>
      </c>
      <c r="N11" s="59">
        <f t="shared" si="0"/>
        <v>0</v>
      </c>
    </row>
    <row r="12" spans="1:14" ht="17.100000000000001" customHeight="1" x14ac:dyDescent="0.2">
      <c r="A12" s="58"/>
      <c r="B12" s="58">
        <v>22</v>
      </c>
      <c r="C12" s="57" t="s">
        <v>474</v>
      </c>
      <c r="D12" s="59">
        <f>7185+'11'!D63</f>
        <v>7185</v>
      </c>
      <c r="E12" s="59">
        <f>0+'11'!E63</f>
        <v>0</v>
      </c>
      <c r="F12" s="59">
        <f>0+'11'!F63</f>
        <v>0</v>
      </c>
      <c r="G12" s="59">
        <f>0+'11'!G63</f>
        <v>0</v>
      </c>
      <c r="H12" s="59">
        <f>0+'11'!H63</f>
        <v>0</v>
      </c>
      <c r="I12" s="59">
        <f>0+'11'!I63</f>
        <v>500</v>
      </c>
      <c r="J12" s="59">
        <f>0+'11'!J63</f>
        <v>0</v>
      </c>
      <c r="K12" s="59">
        <f>0+'11'!K63</f>
        <v>0</v>
      </c>
      <c r="L12" s="59">
        <f>0+'11'!L63</f>
        <v>0</v>
      </c>
      <c r="M12" s="59">
        <f>0+'11'!M63</f>
        <v>0</v>
      </c>
      <c r="N12" s="59">
        <f t="shared" si="0"/>
        <v>7685</v>
      </c>
    </row>
    <row r="13" spans="1:14" ht="27.95" customHeight="1" x14ac:dyDescent="0.2">
      <c r="A13" s="60"/>
      <c r="B13" s="60"/>
      <c r="C13" s="116" t="s">
        <v>684</v>
      </c>
      <c r="D13" s="111">
        <f t="shared" ref="D13:N13" si="1">SUM(D4:D12)</f>
        <v>2949435</v>
      </c>
      <c r="E13" s="111">
        <f t="shared" si="1"/>
        <v>6002453</v>
      </c>
      <c r="F13" s="111">
        <f t="shared" si="1"/>
        <v>4258500</v>
      </c>
      <c r="G13" s="111">
        <f t="shared" si="1"/>
        <v>1497883</v>
      </c>
      <c r="H13" s="111">
        <f t="shared" si="1"/>
        <v>253600</v>
      </c>
      <c r="I13" s="111">
        <f t="shared" si="1"/>
        <v>500</v>
      </c>
      <c r="J13" s="111">
        <f t="shared" si="1"/>
        <v>221146</v>
      </c>
      <c r="K13" s="111">
        <f t="shared" si="1"/>
        <v>638892</v>
      </c>
      <c r="L13" s="111">
        <f t="shared" si="1"/>
        <v>3133792</v>
      </c>
      <c r="M13" s="111">
        <f t="shared" si="1"/>
        <v>0</v>
      </c>
      <c r="N13" s="111">
        <f t="shared" si="1"/>
        <v>18956201</v>
      </c>
    </row>
    <row r="14" spans="1:14" ht="17.100000000000001" customHeight="1" x14ac:dyDescent="0.2">
      <c r="A14" s="62">
        <v>2</v>
      </c>
      <c r="B14" s="62"/>
      <c r="C14" s="57" t="s">
        <v>681</v>
      </c>
      <c r="D14" s="59">
        <f>386888+táj.1.!C20</f>
        <v>422790</v>
      </c>
      <c r="E14" s="59">
        <f>60876+táj.1.!D20</f>
        <v>79076</v>
      </c>
      <c r="F14" s="59">
        <f>0+táj.1.!E20</f>
        <v>0</v>
      </c>
      <c r="G14" s="59">
        <f>1132590+táj.1.!F20</f>
        <v>1135780</v>
      </c>
      <c r="H14" s="59">
        <f>0+táj.1.!G20</f>
        <v>400</v>
      </c>
      <c r="I14" s="59">
        <f>59994+táj.1.!H20</f>
        <v>60054</v>
      </c>
      <c r="J14" s="59">
        <f>0+táj.1.!I20</f>
        <v>0</v>
      </c>
      <c r="K14" s="59"/>
      <c r="L14" s="59">
        <f>350508+táj.1.!J20</f>
        <v>350508</v>
      </c>
      <c r="M14" s="59">
        <f>0+táj.1.!L20</f>
        <v>0</v>
      </c>
      <c r="N14" s="59">
        <f>SUM(D14:M14)</f>
        <v>2048608</v>
      </c>
    </row>
    <row r="15" spans="1:14" ht="17.100000000000001" customHeight="1" x14ac:dyDescent="0.2">
      <c r="A15" s="60"/>
      <c r="B15" s="60"/>
      <c r="C15" s="61" t="s">
        <v>651</v>
      </c>
      <c r="D15" s="111">
        <f t="shared" ref="D15:N15" si="2">SUM(D13:D14)</f>
        <v>3372225</v>
      </c>
      <c r="E15" s="111">
        <f t="shared" si="2"/>
        <v>6081529</v>
      </c>
      <c r="F15" s="111">
        <f t="shared" si="2"/>
        <v>4258500</v>
      </c>
      <c r="G15" s="111">
        <f t="shared" si="2"/>
        <v>2633663</v>
      </c>
      <c r="H15" s="111">
        <f t="shared" si="2"/>
        <v>254000</v>
      </c>
      <c r="I15" s="111">
        <f t="shared" si="2"/>
        <v>60554</v>
      </c>
      <c r="J15" s="111">
        <f t="shared" si="2"/>
        <v>221146</v>
      </c>
      <c r="K15" s="111">
        <f t="shared" si="2"/>
        <v>638892</v>
      </c>
      <c r="L15" s="111">
        <f t="shared" si="2"/>
        <v>3484300</v>
      </c>
      <c r="M15" s="111">
        <f t="shared" si="2"/>
        <v>0</v>
      </c>
      <c r="N15" s="111">
        <f t="shared" si="2"/>
        <v>21004809</v>
      </c>
    </row>
    <row r="16" spans="1:14" ht="17.100000000000001" customHeight="1" x14ac:dyDescent="0.2">
      <c r="C16" s="51"/>
      <c r="D16" s="52"/>
      <c r="E16" s="52"/>
      <c r="F16" s="52"/>
      <c r="G16" s="52"/>
      <c r="H16" s="52"/>
      <c r="I16" s="52"/>
      <c r="J16" s="52"/>
      <c r="K16" s="52"/>
      <c r="L16" s="52"/>
    </row>
    <row r="17" spans="3:11" ht="14.1" customHeight="1" x14ac:dyDescent="0.2">
      <c r="C17" s="51"/>
      <c r="D17" s="52"/>
      <c r="E17" s="52"/>
      <c r="F17" s="52"/>
      <c r="G17" s="52"/>
      <c r="H17" s="52"/>
      <c r="I17" s="52"/>
      <c r="J17" s="52"/>
      <c r="K17" s="52"/>
    </row>
    <row r="18" spans="3:11" ht="14.1" customHeight="1" x14ac:dyDescent="0.2">
      <c r="D18" s="52"/>
      <c r="E18" s="52"/>
      <c r="F18" s="52"/>
      <c r="G18" s="52"/>
      <c r="H18" s="52"/>
      <c r="I18" s="52"/>
      <c r="J18" s="52"/>
      <c r="K18" s="52"/>
    </row>
    <row r="19" spans="3:11" ht="14.1" customHeight="1" x14ac:dyDescent="0.2">
      <c r="D19" s="52"/>
      <c r="E19" s="52"/>
      <c r="F19" s="52"/>
      <c r="G19" s="52"/>
      <c r="H19" s="52"/>
      <c r="I19" s="52"/>
      <c r="J19" s="52"/>
      <c r="K19" s="52"/>
    </row>
    <row r="20" spans="3:11" ht="14.1" customHeight="1" x14ac:dyDescent="0.2">
      <c r="D20" s="52"/>
      <c r="E20" s="52"/>
      <c r="F20" s="52"/>
      <c r="G20" s="52"/>
      <c r="H20" s="52"/>
      <c r="I20" s="52"/>
      <c r="J20" s="52"/>
      <c r="K20" s="52"/>
    </row>
    <row r="21" spans="3:11" ht="14.1" customHeight="1" x14ac:dyDescent="0.2">
      <c r="D21" s="52"/>
      <c r="E21" s="52"/>
      <c r="F21" s="52"/>
      <c r="G21" s="52"/>
      <c r="H21" s="52"/>
      <c r="I21" s="52"/>
      <c r="J21" s="52"/>
      <c r="K21" s="52"/>
    </row>
    <row r="22" spans="3:11" ht="14.1" customHeight="1" x14ac:dyDescent="0.2">
      <c r="D22" s="52"/>
      <c r="E22" s="52"/>
      <c r="F22" s="52"/>
      <c r="G22" s="52"/>
      <c r="H22" s="52"/>
      <c r="I22" s="52"/>
      <c r="J22" s="52"/>
      <c r="K22" s="52"/>
    </row>
    <row r="23" spans="3:11" ht="14.1" customHeight="1" x14ac:dyDescent="0.2">
      <c r="D23" s="52"/>
      <c r="E23" s="52"/>
      <c r="F23" s="52"/>
      <c r="G23" s="52"/>
      <c r="H23" s="52"/>
      <c r="I23" s="52"/>
      <c r="J23" s="52"/>
      <c r="K23" s="52"/>
    </row>
    <row r="24" spans="3:11" ht="14.1" customHeight="1" x14ac:dyDescent="0.2">
      <c r="D24" s="52"/>
      <c r="E24" s="52"/>
      <c r="F24" s="52"/>
      <c r="G24" s="52"/>
      <c r="H24" s="52"/>
      <c r="I24" s="52"/>
      <c r="J24" s="52"/>
      <c r="K24" s="52"/>
    </row>
    <row r="25" spans="3:11" ht="14.1" customHeight="1" x14ac:dyDescent="0.2">
      <c r="D25" s="52"/>
      <c r="E25" s="52"/>
      <c r="F25" s="52"/>
      <c r="G25" s="52"/>
      <c r="H25" s="52"/>
      <c r="I25" s="52"/>
      <c r="J25" s="52"/>
      <c r="K25" s="52"/>
    </row>
    <row r="26" spans="3:11" ht="14.1" customHeight="1" x14ac:dyDescent="0.2"/>
    <row r="27" spans="3:11" ht="14.1" customHeight="1" x14ac:dyDescent="0.2"/>
    <row r="28" spans="3:11" ht="14.1" customHeight="1" x14ac:dyDescent="0.2"/>
  </sheetData>
  <mergeCells count="6">
    <mergeCell ref="A1:A2"/>
    <mergeCell ref="D1:J1"/>
    <mergeCell ref="K1:M1"/>
    <mergeCell ref="N1:N2"/>
    <mergeCell ref="B1:B2"/>
    <mergeCell ref="C1:C2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4294967292" verticalDpi="300" r:id="rId1"/>
  <headerFooter alignWithMargins="0">
    <oddHeader>&amp;C&amp;"Times New Roman,Félkövér dőlt"ZALAEGERSZEG MEGYEI JOGÚ VÁROS ÖNKORMÁNYZATA
 2014. ÉVI  BEVÉTELI ELŐIRÁNYZATAI CíMENKÉNTI BONTÁSBAN 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pane ySplit="2" topLeftCell="A3" activePane="bottomLeft" state="frozen"/>
      <selection activeCell="B1" sqref="B1"/>
      <selection pane="bottomLeft" activeCell="H5" sqref="H5:H13"/>
    </sheetView>
  </sheetViews>
  <sheetFormatPr defaultRowHeight="12" x14ac:dyDescent="0.2"/>
  <cols>
    <col min="1" max="1" width="6.83203125" style="47" customWidth="1"/>
    <col min="2" max="2" width="7" style="47" customWidth="1"/>
    <col min="3" max="3" width="28" style="47" customWidth="1"/>
    <col min="4" max="4" width="10" style="47" customWidth="1"/>
    <col min="5" max="5" width="11.83203125" style="47" customWidth="1"/>
    <col min="6" max="6" width="9.83203125" style="47" customWidth="1"/>
    <col min="7" max="7" width="9.6640625" style="47" customWidth="1"/>
    <col min="8" max="8" width="10.5" style="47" customWidth="1"/>
    <col min="9" max="9" width="10" style="47" bestFit="1" customWidth="1"/>
    <col min="10" max="10" width="9.5" style="47" bestFit="1" customWidth="1"/>
    <col min="11" max="11" width="9.5" style="47" customWidth="1"/>
    <col min="12" max="12" width="11" style="47" customWidth="1"/>
    <col min="13" max="13" width="11.6640625" style="72" customWidth="1"/>
    <col min="14" max="14" width="10.83203125" style="72" customWidth="1"/>
    <col min="15" max="16384" width="9.33203125" style="47"/>
  </cols>
  <sheetData>
    <row r="1" spans="1:15" s="67" customFormat="1" ht="12.75" x14ac:dyDescent="0.2">
      <c r="A1" s="670"/>
      <c r="B1" s="671"/>
      <c r="C1" s="671"/>
      <c r="D1" s="705" t="s">
        <v>966</v>
      </c>
      <c r="E1" s="706"/>
      <c r="F1" s="706"/>
      <c r="G1" s="706"/>
      <c r="H1" s="706"/>
      <c r="I1" s="706"/>
      <c r="J1" s="706"/>
      <c r="K1" s="707"/>
      <c r="L1" s="708" t="s">
        <v>970</v>
      </c>
      <c r="M1" s="709"/>
      <c r="N1" s="672"/>
    </row>
    <row r="2" spans="1:15" s="68" customFormat="1" ht="60" customHeight="1" thickBot="1" x14ac:dyDescent="0.25">
      <c r="A2" s="73" t="s">
        <v>914</v>
      </c>
      <c r="B2" s="74" t="s">
        <v>915</v>
      </c>
      <c r="C2" s="74" t="s">
        <v>905</v>
      </c>
      <c r="D2" s="156" t="s">
        <v>435</v>
      </c>
      <c r="E2" s="156" t="s">
        <v>546</v>
      </c>
      <c r="F2" s="156" t="s">
        <v>667</v>
      </c>
      <c r="G2" s="156" t="s">
        <v>968</v>
      </c>
      <c r="H2" s="156" t="s">
        <v>438</v>
      </c>
      <c r="I2" s="156" t="s">
        <v>457</v>
      </c>
      <c r="J2" s="156" t="s">
        <v>458</v>
      </c>
      <c r="K2" s="156" t="s">
        <v>969</v>
      </c>
      <c r="L2" s="156" t="s">
        <v>385</v>
      </c>
      <c r="M2" s="156" t="s">
        <v>386</v>
      </c>
      <c r="N2" s="157" t="s">
        <v>822</v>
      </c>
    </row>
    <row r="3" spans="1:15" s="68" customFormat="1" ht="15" customHeight="1" x14ac:dyDescent="0.2">
      <c r="A3" s="17">
        <v>1</v>
      </c>
      <c r="B3" s="17"/>
      <c r="C3" s="158" t="s">
        <v>680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68" customFormat="1" ht="15" customHeight="1" x14ac:dyDescent="0.2">
      <c r="A4" s="17">
        <v>1</v>
      </c>
      <c r="B4" s="17">
        <v>1</v>
      </c>
      <c r="C4" s="159" t="s">
        <v>468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5" s="69" customFormat="1" ht="14.1" customHeight="1" x14ac:dyDescent="0.2">
      <c r="A5" s="21"/>
      <c r="B5" s="21">
        <v>12</v>
      </c>
      <c r="C5" s="158" t="s">
        <v>466</v>
      </c>
      <c r="D5" s="22">
        <f>0+'12'!F23</f>
        <v>0</v>
      </c>
      <c r="E5" s="22">
        <f>1500+'12'!G23</f>
        <v>1500</v>
      </c>
      <c r="F5" s="22">
        <f>26835+'12'!H23</f>
        <v>28335</v>
      </c>
      <c r="G5" s="22">
        <f>231169+'12'!I23</f>
        <v>404365</v>
      </c>
      <c r="H5" s="22">
        <f>18950+'12'!J23</f>
        <v>22800</v>
      </c>
      <c r="I5" s="22">
        <f>0+'12'!K26</f>
        <v>0</v>
      </c>
      <c r="J5" s="22">
        <f>0+'12'!L26</f>
        <v>0</v>
      </c>
      <c r="K5" s="22">
        <f>42519+'12'!M26</f>
        <v>42519</v>
      </c>
      <c r="L5" s="22">
        <f>0+'12'!N23</f>
        <v>0</v>
      </c>
      <c r="M5" s="22">
        <f>0+'12'!O23</f>
        <v>0</v>
      </c>
      <c r="N5" s="22">
        <f t="shared" ref="N5:N14" si="0">SUM(D5:M5)</f>
        <v>499519</v>
      </c>
    </row>
    <row r="6" spans="1:15" s="69" customFormat="1" ht="14.1" customHeight="1" x14ac:dyDescent="0.2">
      <c r="A6" s="21"/>
      <c r="B6" s="21">
        <v>13</v>
      </c>
      <c r="C6" s="158" t="s">
        <v>467</v>
      </c>
      <c r="D6" s="22">
        <f>2556+'12'!F61</f>
        <v>8407</v>
      </c>
      <c r="E6" s="22">
        <f>653+'12'!G61</f>
        <v>2250</v>
      </c>
      <c r="F6" s="22">
        <f>103667+'12'!H61</f>
        <v>114039</v>
      </c>
      <c r="G6" s="22">
        <f>18500+'12'!I61</f>
        <v>18500</v>
      </c>
      <c r="H6" s="22">
        <f>466551+'12'!J61</f>
        <v>476551</v>
      </c>
      <c r="I6" s="22">
        <f>398195+'12'!K64</f>
        <v>418877</v>
      </c>
      <c r="J6" s="22">
        <f>204695+'12'!L64</f>
        <v>187695</v>
      </c>
      <c r="K6" s="22">
        <f>80927+'12'!M64</f>
        <v>97927</v>
      </c>
      <c r="L6" s="22">
        <f>0+'12'!N61</f>
        <v>0</v>
      </c>
      <c r="M6" s="22">
        <f>0+'12'!O61</f>
        <v>0</v>
      </c>
      <c r="N6" s="22">
        <f t="shared" si="0"/>
        <v>1324246</v>
      </c>
    </row>
    <row r="7" spans="1:15" s="69" customFormat="1" ht="14.1" customHeight="1" x14ac:dyDescent="0.2">
      <c r="A7" s="21"/>
      <c r="B7" s="21">
        <v>15</v>
      </c>
      <c r="C7" s="76" t="s">
        <v>910</v>
      </c>
      <c r="D7" s="22">
        <f>1892+'12'!F77</f>
        <v>2547</v>
      </c>
      <c r="E7" s="22">
        <f>453+'12'!G77</f>
        <v>533</v>
      </c>
      <c r="F7" s="22">
        <f>1286609+'12'!H77</f>
        <v>1285028</v>
      </c>
      <c r="G7" s="22">
        <f>0+'12'!I77</f>
        <v>0</v>
      </c>
      <c r="H7" s="22">
        <f>43607+'12'!J77</f>
        <v>40549</v>
      </c>
      <c r="I7" s="22">
        <f>307931+'12'!K80</f>
        <v>314688</v>
      </c>
      <c r="J7" s="22">
        <f>398612+'12'!L80</f>
        <v>396393</v>
      </c>
      <c r="K7" s="22">
        <f>609517+'12'!M80</f>
        <v>575531</v>
      </c>
      <c r="L7" s="22">
        <f>0+'12'!N77</f>
        <v>0</v>
      </c>
      <c r="M7" s="22">
        <f>0+'12'!O77</f>
        <v>0</v>
      </c>
      <c r="N7" s="22">
        <f t="shared" si="0"/>
        <v>2615269</v>
      </c>
    </row>
    <row r="8" spans="1:15" s="69" customFormat="1" ht="14.1" customHeight="1" x14ac:dyDescent="0.2">
      <c r="A8" s="21"/>
      <c r="B8" s="21">
        <v>16</v>
      </c>
      <c r="C8" s="76" t="s">
        <v>657</v>
      </c>
      <c r="D8" s="22">
        <f>0+'12'!F84</f>
        <v>0</v>
      </c>
      <c r="E8" s="22">
        <f>0+'12'!G84</f>
        <v>0</v>
      </c>
      <c r="F8" s="22">
        <f>0+'12'!H84</f>
        <v>13208</v>
      </c>
      <c r="G8" s="22">
        <f>0+'12'!I84</f>
        <v>0</v>
      </c>
      <c r="H8" s="22">
        <f>0+'12'!J84</f>
        <v>13208</v>
      </c>
      <c r="I8" s="22">
        <f>5988485+'12'!K87</f>
        <v>5946101</v>
      </c>
      <c r="J8" s="22">
        <f>24379+'12'!L87</f>
        <v>24379</v>
      </c>
      <c r="K8" s="22">
        <f>42280+'12'!M87</f>
        <v>42280</v>
      </c>
      <c r="L8" s="22">
        <f>0+'12'!N84</f>
        <v>0</v>
      </c>
      <c r="M8" s="22">
        <f>0+'12'!O84</f>
        <v>0</v>
      </c>
      <c r="N8" s="22">
        <f t="shared" si="0"/>
        <v>6039176</v>
      </c>
      <c r="O8" s="70"/>
    </row>
    <row r="9" spans="1:15" s="69" customFormat="1" ht="14.1" customHeight="1" x14ac:dyDescent="0.2">
      <c r="A9" s="21"/>
      <c r="B9" s="21">
        <v>17</v>
      </c>
      <c r="C9" s="76" t="s">
        <v>911</v>
      </c>
      <c r="D9" s="22">
        <f>0+'12'!F93</f>
        <v>0</v>
      </c>
      <c r="E9" s="22">
        <f>0+'12'!G93</f>
        <v>0</v>
      </c>
      <c r="F9" s="22">
        <f>104230+'12'!H93</f>
        <v>106730</v>
      </c>
      <c r="G9" s="22">
        <f>0+'12'!I93</f>
        <v>0</v>
      </c>
      <c r="H9" s="22">
        <f>72207+'12'!J93</f>
        <v>72207</v>
      </c>
      <c r="I9" s="22">
        <f>449543+'12'!K96</f>
        <v>452043</v>
      </c>
      <c r="J9" s="22">
        <f>31564+'12'!L96</f>
        <v>31564</v>
      </c>
      <c r="K9" s="22">
        <f>25101+'12'!M96</f>
        <v>25101</v>
      </c>
      <c r="L9" s="22">
        <f>0+'12'!N93</f>
        <v>0</v>
      </c>
      <c r="M9" s="22">
        <f>0+'12'!O93</f>
        <v>61342</v>
      </c>
      <c r="N9" s="22">
        <f t="shared" si="0"/>
        <v>748987</v>
      </c>
    </row>
    <row r="10" spans="1:15" s="69" customFormat="1" ht="14.1" customHeight="1" x14ac:dyDescent="0.2">
      <c r="A10" s="21"/>
      <c r="B10" s="21">
        <v>18</v>
      </c>
      <c r="C10" s="76" t="s">
        <v>755</v>
      </c>
      <c r="D10" s="22">
        <f>0+'12'!F100</f>
        <v>0</v>
      </c>
      <c r="E10" s="22">
        <f>0+'12'!G100</f>
        <v>0</v>
      </c>
      <c r="F10" s="22">
        <f>31574+'12'!H100</f>
        <v>37574</v>
      </c>
      <c r="G10" s="22">
        <f>0+'12'!I100</f>
        <v>0</v>
      </c>
      <c r="H10" s="22">
        <f>1100+'12'!J100</f>
        <v>1100</v>
      </c>
      <c r="I10" s="22">
        <f>500+'12'!K102</f>
        <v>500</v>
      </c>
      <c r="J10" s="22">
        <f>0+'12'!L102</f>
        <v>0</v>
      </c>
      <c r="K10" s="22">
        <f>0+'12'!M102</f>
        <v>0</v>
      </c>
      <c r="L10" s="22">
        <f>0+'12'!N100</f>
        <v>0</v>
      </c>
      <c r="M10" s="22">
        <f>0+'12'!O100</f>
        <v>0</v>
      </c>
      <c r="N10" s="22">
        <f t="shared" si="0"/>
        <v>39174</v>
      </c>
    </row>
    <row r="11" spans="1:15" s="69" customFormat="1" ht="14.1" customHeight="1" x14ac:dyDescent="0.2">
      <c r="A11" s="21"/>
      <c r="B11" s="21">
        <v>19</v>
      </c>
      <c r="C11" s="75" t="s">
        <v>912</v>
      </c>
      <c r="D11" s="22">
        <f>0+'12'!F114</f>
        <v>0</v>
      </c>
      <c r="E11" s="22">
        <f>0+'12'!G114</f>
        <v>0</v>
      </c>
      <c r="F11" s="22">
        <f>415698+'12'!H114</f>
        <v>462308</v>
      </c>
      <c r="G11" s="22">
        <f>0+'12'!I114</f>
        <v>0</v>
      </c>
      <c r="H11" s="22">
        <f>743651+'12'!J114</f>
        <v>756548</v>
      </c>
      <c r="I11" s="22">
        <f>0+'12'!K117</f>
        <v>0</v>
      </c>
      <c r="J11" s="22">
        <f>0+'12'!L117</f>
        <v>0</v>
      </c>
      <c r="K11" s="22">
        <f>14710+'12'!M117</f>
        <v>14710</v>
      </c>
      <c r="L11" s="22">
        <f>951340+'12'!N114</f>
        <v>951340</v>
      </c>
      <c r="M11" s="22">
        <f>246596+'12'!O114</f>
        <v>379983</v>
      </c>
      <c r="N11" s="22">
        <f t="shared" si="0"/>
        <v>2564889</v>
      </c>
    </row>
    <row r="12" spans="1:15" s="69" customFormat="1" ht="12.95" customHeight="1" x14ac:dyDescent="0.2">
      <c r="A12" s="21"/>
      <c r="B12" s="21">
        <v>20</v>
      </c>
      <c r="C12" s="75" t="s">
        <v>823</v>
      </c>
      <c r="D12" s="22">
        <f>0+'12'!F119</f>
        <v>0</v>
      </c>
      <c r="E12" s="22">
        <f>0+'12'!G119</f>
        <v>0</v>
      </c>
      <c r="F12" s="22">
        <f>0+'12'!H119</f>
        <v>0</v>
      </c>
      <c r="G12" s="22">
        <f>0+'12'!I119</f>
        <v>0</v>
      </c>
      <c r="H12" s="22">
        <f>0+'12'!J119</f>
        <v>0</v>
      </c>
      <c r="I12" s="22">
        <f>0+'12'!K119</f>
        <v>0</v>
      </c>
      <c r="J12" s="22">
        <f>0+'12'!L119</f>
        <v>0</v>
      </c>
      <c r="K12" s="22">
        <f>0+'12'!M119</f>
        <v>0</v>
      </c>
      <c r="L12" s="22">
        <f>0+'12'!N119</f>
        <v>0</v>
      </c>
      <c r="M12" s="22">
        <f>0+'12'!O119</f>
        <v>0</v>
      </c>
      <c r="N12" s="22">
        <f t="shared" si="0"/>
        <v>0</v>
      </c>
    </row>
    <row r="13" spans="1:15" s="69" customFormat="1" ht="12.95" customHeight="1" x14ac:dyDescent="0.2">
      <c r="A13" s="21"/>
      <c r="B13" s="21">
        <v>21</v>
      </c>
      <c r="C13" s="75" t="s">
        <v>824</v>
      </c>
      <c r="D13" s="22">
        <f>61560+'12'!F128</f>
        <v>69622</v>
      </c>
      <c r="E13" s="22">
        <f>19065+'12'!G128</f>
        <v>23096</v>
      </c>
      <c r="F13" s="22">
        <f>87336+'12'!H128</f>
        <v>74260</v>
      </c>
      <c r="G13" s="22">
        <f>0+'12'!I128</f>
        <v>0</v>
      </c>
      <c r="H13" s="22">
        <f>92148+'12'!J128</f>
        <v>94501</v>
      </c>
      <c r="I13" s="22">
        <f>250+'12'!K130</f>
        <v>250</v>
      </c>
      <c r="J13" s="22">
        <f>0+'12'!L130</f>
        <v>0</v>
      </c>
      <c r="K13" s="22">
        <f>0+'12'!M130</f>
        <v>130</v>
      </c>
      <c r="L13" s="22">
        <f>0+'12'!N128</f>
        <v>0</v>
      </c>
      <c r="M13" s="22">
        <f>0+'12'!O128</f>
        <v>0</v>
      </c>
      <c r="N13" s="22">
        <f t="shared" si="0"/>
        <v>261859</v>
      </c>
    </row>
    <row r="14" spans="1:15" s="69" customFormat="1" ht="12.95" customHeight="1" x14ac:dyDescent="0.2">
      <c r="A14" s="21"/>
      <c r="B14" s="21">
        <v>30</v>
      </c>
      <c r="C14" s="23" t="s">
        <v>728</v>
      </c>
      <c r="D14" s="22">
        <f>0+'12'!F139</f>
        <v>0</v>
      </c>
      <c r="E14" s="22">
        <f>0+'12'!G139</f>
        <v>0</v>
      </c>
      <c r="F14" s="22">
        <f>0+'12'!H139</f>
        <v>0</v>
      </c>
      <c r="G14" s="22">
        <f>0+'12'!I139</f>
        <v>0</v>
      </c>
      <c r="H14" s="22">
        <f>278690+'12'!J139</f>
        <v>235340</v>
      </c>
      <c r="I14" s="22">
        <f>0+'12'!K139</f>
        <v>0</v>
      </c>
      <c r="J14" s="22">
        <f>10000+'12'!L139</f>
        <v>10000</v>
      </c>
      <c r="K14" s="22">
        <f>0+'12'!M139</f>
        <v>0</v>
      </c>
      <c r="L14" s="22">
        <f>0+'12'!N139</f>
        <v>0</v>
      </c>
      <c r="M14" s="22">
        <f>0+'12'!O139</f>
        <v>0</v>
      </c>
      <c r="N14" s="22">
        <f t="shared" si="0"/>
        <v>245340</v>
      </c>
    </row>
    <row r="15" spans="1:15" s="71" customFormat="1" ht="24.95" customHeight="1" x14ac:dyDescent="0.2">
      <c r="A15" s="77"/>
      <c r="B15" s="77"/>
      <c r="C15" s="160" t="s">
        <v>547</v>
      </c>
      <c r="D15" s="26">
        <f>SUM(D3:D14)</f>
        <v>80576</v>
      </c>
      <c r="E15" s="26">
        <f t="shared" ref="E15:M15" si="1">SUM(E3:E14)</f>
        <v>27379</v>
      </c>
      <c r="F15" s="26">
        <f t="shared" si="1"/>
        <v>2121482</v>
      </c>
      <c r="G15" s="26">
        <f t="shared" si="1"/>
        <v>422865</v>
      </c>
      <c r="H15" s="26">
        <f t="shared" si="1"/>
        <v>1712804</v>
      </c>
      <c r="I15" s="26">
        <f t="shared" si="1"/>
        <v>7132459</v>
      </c>
      <c r="J15" s="26">
        <f t="shared" si="1"/>
        <v>650031</v>
      </c>
      <c r="K15" s="26">
        <f t="shared" si="1"/>
        <v>798198</v>
      </c>
      <c r="L15" s="26">
        <f t="shared" si="1"/>
        <v>951340</v>
      </c>
      <c r="M15" s="26">
        <f t="shared" si="1"/>
        <v>441325</v>
      </c>
      <c r="N15" s="26">
        <f>SUM(N3:N14)</f>
        <v>14338459</v>
      </c>
    </row>
    <row r="16" spans="1:15" s="71" customFormat="1" ht="12.95" customHeight="1" x14ac:dyDescent="0.2">
      <c r="A16" s="24">
        <v>2</v>
      </c>
      <c r="B16" s="27"/>
      <c r="C16" s="161" t="s">
        <v>681</v>
      </c>
      <c r="D16" s="25">
        <f>2957714+táj.2.!C20</f>
        <v>2974504</v>
      </c>
      <c r="E16" s="25">
        <f>802331+táj.2.!D20</f>
        <v>802912</v>
      </c>
      <c r="F16" s="25">
        <f>2616177+táj.2.!E20</f>
        <v>2619762</v>
      </c>
      <c r="G16" s="25">
        <f>0+táj.2.!F20</f>
        <v>0</v>
      </c>
      <c r="H16" s="25">
        <f>42139+táj.2.!G20</f>
        <v>43518</v>
      </c>
      <c r="I16" s="25">
        <f>110629+táj.2.!H20</f>
        <v>148371</v>
      </c>
      <c r="J16" s="25">
        <f>69755+táj.2.!I20</f>
        <v>77283</v>
      </c>
      <c r="K16" s="25">
        <f>0+táj.2.!J20</f>
        <v>0</v>
      </c>
      <c r="L16" s="25">
        <f>0+táj.2.!K20</f>
        <v>0</v>
      </c>
      <c r="M16" s="25">
        <f>0+táj.2.!J20</f>
        <v>0</v>
      </c>
      <c r="N16" s="25">
        <f>SUM(D16:M16)</f>
        <v>6666350</v>
      </c>
    </row>
    <row r="17" spans="1:14" s="71" customFormat="1" ht="12.95" customHeight="1" x14ac:dyDescent="0.2">
      <c r="A17" s="77"/>
      <c r="B17" s="77"/>
      <c r="C17" s="112" t="s">
        <v>651</v>
      </c>
      <c r="D17" s="26">
        <f t="shared" ref="D17:N17" si="2">SUM(D15:D16)</f>
        <v>3055080</v>
      </c>
      <c r="E17" s="26">
        <f t="shared" si="2"/>
        <v>830291</v>
      </c>
      <c r="F17" s="26">
        <f t="shared" si="2"/>
        <v>4741244</v>
      </c>
      <c r="G17" s="26">
        <f t="shared" si="2"/>
        <v>422865</v>
      </c>
      <c r="H17" s="26">
        <f t="shared" si="2"/>
        <v>1756322</v>
      </c>
      <c r="I17" s="26">
        <f t="shared" si="2"/>
        <v>7280830</v>
      </c>
      <c r="J17" s="26">
        <f t="shared" si="2"/>
        <v>727314</v>
      </c>
      <c r="K17" s="26">
        <f t="shared" si="2"/>
        <v>798198</v>
      </c>
      <c r="L17" s="26">
        <f t="shared" si="2"/>
        <v>951340</v>
      </c>
      <c r="M17" s="26">
        <f t="shared" si="2"/>
        <v>441325</v>
      </c>
      <c r="N17" s="26">
        <f t="shared" si="2"/>
        <v>21004809</v>
      </c>
    </row>
    <row r="18" spans="1:14" s="16" customFormat="1" x14ac:dyDescent="0.2">
      <c r="M18" s="48"/>
      <c r="N18" s="48"/>
    </row>
    <row r="19" spans="1:14" s="16" customFormat="1" x14ac:dyDescent="0.2">
      <c r="M19" s="48"/>
      <c r="N19" s="187"/>
    </row>
    <row r="20" spans="1:14" s="16" customFormat="1" x14ac:dyDescent="0.2">
      <c r="M20" s="48"/>
      <c r="N20" s="48"/>
    </row>
    <row r="21" spans="1:14" s="16" customFormat="1" x14ac:dyDescent="0.2">
      <c r="M21" s="48"/>
      <c r="N21" s="48"/>
    </row>
    <row r="22" spans="1:14" s="16" customFormat="1" x14ac:dyDescent="0.2">
      <c r="M22" s="48"/>
      <c r="N22" s="48"/>
    </row>
    <row r="23" spans="1:14" s="16" customFormat="1" x14ac:dyDescent="0.2">
      <c r="M23" s="48"/>
      <c r="N23" s="48"/>
    </row>
    <row r="24" spans="1:14" s="16" customFormat="1" x14ac:dyDescent="0.2">
      <c r="M24" s="48"/>
      <c r="N24" s="48"/>
    </row>
    <row r="25" spans="1:14" s="16" customFormat="1" x14ac:dyDescent="0.2">
      <c r="M25" s="48"/>
      <c r="N25" s="48"/>
    </row>
    <row r="26" spans="1:14" s="16" customFormat="1" x14ac:dyDescent="0.2">
      <c r="M26" s="48"/>
      <c r="N26" s="48"/>
    </row>
    <row r="27" spans="1:14" s="16" customFormat="1" x14ac:dyDescent="0.2">
      <c r="M27" s="48"/>
      <c r="N27" s="48"/>
    </row>
    <row r="28" spans="1:14" s="16" customFormat="1" x14ac:dyDescent="0.2">
      <c r="M28" s="48"/>
      <c r="N28" s="48"/>
    </row>
  </sheetData>
  <dataConsolidate/>
  <mergeCells count="2">
    <mergeCell ref="D1:K1"/>
    <mergeCell ref="L1:M1"/>
  </mergeCells>
  <phoneticPr fontId="2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2014.  ÉVI KIADÁSI ELŐIRÁNYZATAI
CÍMENKÉNTI BONTÁSBAN&amp;R&amp;"Times New Roman CE,Félkövér dőlt"6. melléklet
Adatok: ezer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7"/>
  <sheetViews>
    <sheetView topLeftCell="D1" workbookViewId="0">
      <pane ySplit="3" topLeftCell="A250" activePane="bottomLeft" state="frozen"/>
      <selection pane="bottomLeft" activeCell="D251" sqref="D251"/>
    </sheetView>
  </sheetViews>
  <sheetFormatPr defaultRowHeight="12.75" x14ac:dyDescent="0.2"/>
  <cols>
    <col min="1" max="1" width="4.6640625" style="220" customWidth="1"/>
    <col min="2" max="2" width="4.33203125" style="220" customWidth="1"/>
    <col min="3" max="3" width="6.6640625" style="220" customWidth="1"/>
    <col min="4" max="4" width="64.33203125" style="220" customWidth="1"/>
    <col min="5" max="5" width="4.5" style="220" customWidth="1"/>
    <col min="6" max="6" width="5" style="220" customWidth="1"/>
    <col min="7" max="7" width="12.5" style="220" customWidth="1"/>
    <col min="8" max="8" width="10.83203125" style="220" customWidth="1"/>
    <col min="9" max="9" width="12.5" style="220" customWidth="1"/>
    <col min="10" max="10" width="11.1640625" style="220" customWidth="1"/>
    <col min="11" max="11" width="11.6640625" style="220" customWidth="1"/>
    <col min="12" max="12" width="12.33203125" style="220" customWidth="1"/>
    <col min="13" max="13" width="12.5" style="220" customWidth="1"/>
    <col min="14" max="14" width="14.5" style="220" customWidth="1"/>
    <col min="15" max="15" width="13" style="220" customWidth="1"/>
    <col min="16" max="16384" width="9.33203125" style="220"/>
  </cols>
  <sheetData>
    <row r="1" spans="1:15" ht="37.5" customHeight="1" x14ac:dyDescent="0.2">
      <c r="A1" s="715" t="s">
        <v>965</v>
      </c>
      <c r="B1" s="717" t="s">
        <v>164</v>
      </c>
      <c r="C1" s="717" t="s">
        <v>165</v>
      </c>
      <c r="D1" s="721" t="s">
        <v>658</v>
      </c>
      <c r="E1" s="722"/>
      <c r="F1" s="713" t="s">
        <v>168</v>
      </c>
      <c r="G1" s="725" t="s">
        <v>416</v>
      </c>
      <c r="H1" s="726"/>
      <c r="I1" s="727"/>
      <c r="J1" s="728" t="s">
        <v>417</v>
      </c>
      <c r="K1" s="728"/>
      <c r="L1" s="728"/>
      <c r="M1" s="710" t="s">
        <v>167</v>
      </c>
      <c r="N1" s="711"/>
      <c r="O1" s="712"/>
    </row>
    <row r="2" spans="1:15" ht="95.25" thickBot="1" x14ac:dyDescent="0.25">
      <c r="A2" s="716"/>
      <c r="B2" s="718"/>
      <c r="C2" s="718"/>
      <c r="D2" s="723"/>
      <c r="E2" s="724"/>
      <c r="F2" s="714"/>
      <c r="G2" s="221" t="s">
        <v>659</v>
      </c>
      <c r="H2" s="406" t="s">
        <v>568</v>
      </c>
      <c r="I2" s="221" t="s">
        <v>569</v>
      </c>
      <c r="J2" s="221" t="s">
        <v>659</v>
      </c>
      <c r="K2" s="406" t="s">
        <v>568</v>
      </c>
      <c r="L2" s="221" t="s">
        <v>569</v>
      </c>
      <c r="M2" s="221" t="s">
        <v>659</v>
      </c>
      <c r="N2" s="406" t="s">
        <v>568</v>
      </c>
      <c r="O2" s="221" t="s">
        <v>569</v>
      </c>
    </row>
    <row r="3" spans="1:15" ht="14.1" customHeight="1" x14ac:dyDescent="0.2">
      <c r="A3" s="222">
        <v>1</v>
      </c>
      <c r="B3" s="403"/>
      <c r="C3" s="403"/>
      <c r="D3" s="404" t="s">
        <v>680</v>
      </c>
      <c r="E3" s="405"/>
      <c r="F3" s="405"/>
      <c r="G3" s="408"/>
      <c r="H3" s="409"/>
      <c r="I3" s="409"/>
      <c r="J3" s="410"/>
      <c r="K3" s="410"/>
      <c r="L3" s="410"/>
      <c r="M3" s="410"/>
      <c r="N3" s="410"/>
      <c r="O3" s="410"/>
    </row>
    <row r="4" spans="1:15" ht="14.1" customHeight="1" x14ac:dyDescent="0.2">
      <c r="A4" s="226">
        <v>1</v>
      </c>
      <c r="B4" s="226">
        <v>12</v>
      </c>
      <c r="C4" s="227"/>
      <c r="D4" s="228" t="s">
        <v>466</v>
      </c>
      <c r="E4" s="224"/>
      <c r="F4" s="224"/>
      <c r="G4" s="411"/>
      <c r="H4" s="412"/>
      <c r="I4" s="412"/>
      <c r="J4" s="336"/>
      <c r="K4" s="336"/>
      <c r="L4" s="336"/>
      <c r="M4" s="336"/>
      <c r="N4" s="336"/>
      <c r="O4" s="336"/>
    </row>
    <row r="5" spans="1:15" ht="24.95" customHeight="1" x14ac:dyDescent="0.2">
      <c r="A5" s="222"/>
      <c r="B5" s="223"/>
      <c r="C5" s="222" t="s">
        <v>758</v>
      </c>
      <c r="D5" s="229" t="s">
        <v>983</v>
      </c>
      <c r="E5" s="230"/>
      <c r="F5" s="633"/>
      <c r="G5" s="412"/>
      <c r="H5" s="231">
        <v>20000</v>
      </c>
      <c r="I5" s="231">
        <f>SUM(G5:H5)</f>
        <v>20000</v>
      </c>
      <c r="J5" s="336"/>
      <c r="K5" s="336"/>
      <c r="L5" s="336">
        <f t="shared" ref="L5:L79" si="0">SUM(J5:K5)</f>
        <v>0</v>
      </c>
      <c r="M5" s="336">
        <f>SUM(G5+J5)</f>
        <v>0</v>
      </c>
      <c r="N5" s="336">
        <f>SUM(H5+K5)</f>
        <v>20000</v>
      </c>
      <c r="O5" s="336">
        <f t="shared" ref="O5:O79" si="1">SUM(M5:N5)</f>
        <v>20000</v>
      </c>
    </row>
    <row r="6" spans="1:15" ht="24.95" customHeight="1" x14ac:dyDescent="0.2">
      <c r="A6" s="222"/>
      <c r="B6" s="223"/>
      <c r="C6" s="222" t="s">
        <v>839</v>
      </c>
      <c r="D6" s="232" t="s">
        <v>984</v>
      </c>
      <c r="E6" s="233"/>
      <c r="F6" s="233"/>
      <c r="G6" s="411"/>
      <c r="H6" s="231">
        <v>22519</v>
      </c>
      <c r="I6" s="231">
        <f>SUM(G6:H6)</f>
        <v>22519</v>
      </c>
      <c r="J6" s="336"/>
      <c r="K6" s="336"/>
      <c r="L6" s="336">
        <f t="shared" si="0"/>
        <v>0</v>
      </c>
      <c r="M6" s="336">
        <f t="shared" ref="M6:M79" si="2">SUM(G6+J6)</f>
        <v>0</v>
      </c>
      <c r="N6" s="336">
        <f t="shared" ref="N6:N79" si="3">SUM(H6+K6)</f>
        <v>22519</v>
      </c>
      <c r="O6" s="336">
        <f t="shared" si="1"/>
        <v>22519</v>
      </c>
    </row>
    <row r="7" spans="1:15" ht="14.1" customHeight="1" x14ac:dyDescent="0.2">
      <c r="A7" s="234"/>
      <c r="B7" s="235"/>
      <c r="C7" s="234"/>
      <c r="D7" s="236" t="s">
        <v>985</v>
      </c>
      <c r="E7" s="237"/>
      <c r="F7" s="237"/>
      <c r="G7" s="413"/>
      <c r="H7" s="414">
        <f>SUM(H5:H6)</f>
        <v>42519</v>
      </c>
      <c r="I7" s="414">
        <f t="shared" ref="I7:O7" si="4">SUM(I5:I6)</f>
        <v>42519</v>
      </c>
      <c r="J7" s="414">
        <f t="shared" si="4"/>
        <v>0</v>
      </c>
      <c r="K7" s="414">
        <f t="shared" si="4"/>
        <v>0</v>
      </c>
      <c r="L7" s="414">
        <f t="shared" si="4"/>
        <v>0</v>
      </c>
      <c r="M7" s="414">
        <f t="shared" si="4"/>
        <v>0</v>
      </c>
      <c r="N7" s="414">
        <f t="shared" si="4"/>
        <v>42519</v>
      </c>
      <c r="O7" s="414">
        <f t="shared" si="4"/>
        <v>42519</v>
      </c>
    </row>
    <row r="8" spans="1:15" ht="14.1" customHeight="1" x14ac:dyDescent="0.2">
      <c r="A8" s="238">
        <v>1</v>
      </c>
      <c r="B8" s="238">
        <v>13</v>
      </c>
      <c r="C8" s="239"/>
      <c r="D8" s="240" t="s">
        <v>467</v>
      </c>
      <c r="E8" s="241"/>
      <c r="F8" s="241"/>
      <c r="G8" s="336">
        <v>0</v>
      </c>
      <c r="H8" s="336">
        <v>0</v>
      </c>
      <c r="I8" s="242">
        <f>SUM(G8:H8)</f>
        <v>0</v>
      </c>
      <c r="J8" s="336"/>
      <c r="K8" s="336"/>
      <c r="L8" s="336"/>
      <c r="M8" s="336">
        <f t="shared" si="2"/>
        <v>0</v>
      </c>
      <c r="N8" s="336">
        <f t="shared" si="3"/>
        <v>0</v>
      </c>
      <c r="O8" s="336"/>
    </row>
    <row r="9" spans="1:15" ht="14.1" customHeight="1" x14ac:dyDescent="0.2">
      <c r="A9" s="243"/>
      <c r="B9" s="244"/>
      <c r="C9" s="245" t="s">
        <v>758</v>
      </c>
      <c r="D9" s="246" t="s">
        <v>675</v>
      </c>
      <c r="E9" s="241"/>
      <c r="F9" s="241"/>
      <c r="G9" s="336">
        <v>0</v>
      </c>
      <c r="H9" s="336">
        <v>0</v>
      </c>
      <c r="I9" s="242">
        <f t="shared" ref="I9:I32" si="5">SUM(G9:H9)</f>
        <v>0</v>
      </c>
      <c r="J9" s="336"/>
      <c r="K9" s="336"/>
      <c r="L9" s="336"/>
      <c r="M9" s="336">
        <f t="shared" si="2"/>
        <v>0</v>
      </c>
      <c r="N9" s="336">
        <f t="shared" si="3"/>
        <v>0</v>
      </c>
      <c r="O9" s="336"/>
    </row>
    <row r="10" spans="1:15" ht="14.1" customHeight="1" x14ac:dyDescent="0.2">
      <c r="A10" s="243"/>
      <c r="B10" s="244"/>
      <c r="C10" s="247" t="s">
        <v>986</v>
      </c>
      <c r="D10" s="248" t="s">
        <v>987</v>
      </c>
      <c r="E10" s="241"/>
      <c r="F10" s="613"/>
      <c r="G10" s="336">
        <v>0</v>
      </c>
      <c r="H10" s="336">
        <v>0</v>
      </c>
      <c r="I10" s="242">
        <f t="shared" si="5"/>
        <v>0</v>
      </c>
      <c r="J10" s="336"/>
      <c r="K10" s="336"/>
      <c r="L10" s="336"/>
      <c r="M10" s="336">
        <f t="shared" si="2"/>
        <v>0</v>
      </c>
      <c r="N10" s="336">
        <f t="shared" si="3"/>
        <v>0</v>
      </c>
      <c r="O10" s="336"/>
    </row>
    <row r="11" spans="1:15" ht="14.1" customHeight="1" x14ac:dyDescent="0.2">
      <c r="A11" s="243"/>
      <c r="B11" s="244"/>
      <c r="C11" s="249" t="s">
        <v>988</v>
      </c>
      <c r="D11" s="250" t="s">
        <v>989</v>
      </c>
      <c r="E11" s="251"/>
      <c r="F11" s="251"/>
      <c r="G11" s="336">
        <v>0</v>
      </c>
      <c r="H11" s="336">
        <v>2000</v>
      </c>
      <c r="I11" s="242">
        <f t="shared" si="5"/>
        <v>2000</v>
      </c>
      <c r="J11" s="336"/>
      <c r="K11" s="336"/>
      <c r="L11" s="336">
        <f>SUM(J11:K11)</f>
        <v>0</v>
      </c>
      <c r="M11" s="336">
        <f t="shared" si="2"/>
        <v>0</v>
      </c>
      <c r="N11" s="336">
        <f t="shared" si="3"/>
        <v>2000</v>
      </c>
      <c r="O11" s="336">
        <f t="shared" si="1"/>
        <v>2000</v>
      </c>
    </row>
    <row r="12" spans="1:15" ht="14.1" customHeight="1" x14ac:dyDescent="0.2">
      <c r="A12" s="243"/>
      <c r="B12" s="244"/>
      <c r="C12" s="249" t="s">
        <v>200</v>
      </c>
      <c r="D12" s="590" t="s">
        <v>519</v>
      </c>
      <c r="E12" s="254"/>
      <c r="F12" s="622"/>
      <c r="G12" s="336">
        <v>600</v>
      </c>
      <c r="H12" s="336"/>
      <c r="I12" s="242">
        <f t="shared" si="5"/>
        <v>600</v>
      </c>
      <c r="J12" s="336"/>
      <c r="K12" s="336"/>
      <c r="L12" s="336">
        <f t="shared" si="0"/>
        <v>0</v>
      </c>
      <c r="M12" s="336">
        <f t="shared" si="2"/>
        <v>600</v>
      </c>
      <c r="N12" s="336"/>
      <c r="O12" s="336">
        <f t="shared" si="1"/>
        <v>600</v>
      </c>
    </row>
    <row r="13" spans="1:15" ht="14.1" customHeight="1" x14ac:dyDescent="0.2">
      <c r="A13" s="243"/>
      <c r="B13" s="244"/>
      <c r="C13" s="249" t="s">
        <v>990</v>
      </c>
      <c r="D13" s="253" t="s">
        <v>676</v>
      </c>
      <c r="E13" s="254"/>
      <c r="F13" s="622"/>
      <c r="G13" s="336">
        <v>0</v>
      </c>
      <c r="H13" s="336">
        <v>0</v>
      </c>
      <c r="I13" s="242">
        <f t="shared" si="5"/>
        <v>0</v>
      </c>
      <c r="J13" s="336"/>
      <c r="K13" s="336"/>
      <c r="L13" s="336">
        <f t="shared" si="0"/>
        <v>0</v>
      </c>
      <c r="M13" s="336">
        <f t="shared" si="2"/>
        <v>0</v>
      </c>
      <c r="N13" s="336">
        <f t="shared" si="3"/>
        <v>0</v>
      </c>
      <c r="O13" s="336">
        <f t="shared" si="1"/>
        <v>0</v>
      </c>
    </row>
    <row r="14" spans="1:15" ht="15" customHeight="1" x14ac:dyDescent="0.2">
      <c r="A14" s="243"/>
      <c r="B14" s="244"/>
      <c r="C14" s="249" t="s">
        <v>840</v>
      </c>
      <c r="D14" s="255" t="s">
        <v>991</v>
      </c>
      <c r="E14" s="254"/>
      <c r="F14" s="622"/>
      <c r="G14" s="336">
        <v>0</v>
      </c>
      <c r="H14" s="336">
        <v>13294</v>
      </c>
      <c r="I14" s="242">
        <f t="shared" si="5"/>
        <v>13294</v>
      </c>
      <c r="J14" s="336"/>
      <c r="K14" s="336"/>
      <c r="L14" s="336">
        <f t="shared" si="0"/>
        <v>0</v>
      </c>
      <c r="M14" s="336">
        <f t="shared" si="2"/>
        <v>0</v>
      </c>
      <c r="N14" s="336">
        <f t="shared" si="3"/>
        <v>13294</v>
      </c>
      <c r="O14" s="336">
        <f t="shared" si="1"/>
        <v>13294</v>
      </c>
    </row>
    <row r="15" spans="1:15" ht="15" customHeight="1" x14ac:dyDescent="0.2">
      <c r="A15" s="243"/>
      <c r="B15" s="244"/>
      <c r="C15" s="249" t="s">
        <v>669</v>
      </c>
      <c r="D15" s="256" t="s">
        <v>992</v>
      </c>
      <c r="E15" s="254"/>
      <c r="F15" s="622"/>
      <c r="G15" s="336">
        <v>0</v>
      </c>
      <c r="H15" s="336">
        <v>8000</v>
      </c>
      <c r="I15" s="242">
        <f t="shared" si="5"/>
        <v>8000</v>
      </c>
      <c r="J15" s="336"/>
      <c r="K15" s="336"/>
      <c r="L15" s="336">
        <f t="shared" si="0"/>
        <v>0</v>
      </c>
      <c r="M15" s="336">
        <f t="shared" si="2"/>
        <v>0</v>
      </c>
      <c r="N15" s="336">
        <f t="shared" si="3"/>
        <v>8000</v>
      </c>
      <c r="O15" s="336">
        <f t="shared" si="1"/>
        <v>8000</v>
      </c>
    </row>
    <row r="16" spans="1:15" ht="15" customHeight="1" x14ac:dyDescent="0.2">
      <c r="A16" s="243"/>
      <c r="B16" s="244"/>
      <c r="C16" s="249" t="s">
        <v>361</v>
      </c>
      <c r="D16" s="257" t="s">
        <v>993</v>
      </c>
      <c r="E16" s="254"/>
      <c r="F16" s="622"/>
      <c r="G16" s="336">
        <v>3000</v>
      </c>
      <c r="H16" s="336">
        <v>0</v>
      </c>
      <c r="I16" s="242">
        <f t="shared" si="5"/>
        <v>3000</v>
      </c>
      <c r="J16" s="336"/>
      <c r="K16" s="336"/>
      <c r="L16" s="336">
        <f t="shared" si="0"/>
        <v>0</v>
      </c>
      <c r="M16" s="336">
        <f t="shared" si="2"/>
        <v>3000</v>
      </c>
      <c r="N16" s="336">
        <f t="shared" si="3"/>
        <v>0</v>
      </c>
      <c r="O16" s="336">
        <f t="shared" si="1"/>
        <v>3000</v>
      </c>
    </row>
    <row r="17" spans="1:15" ht="15" customHeight="1" x14ac:dyDescent="0.2">
      <c r="A17" s="243"/>
      <c r="B17" s="244"/>
      <c r="C17" s="249" t="s">
        <v>523</v>
      </c>
      <c r="D17" s="257" t="s">
        <v>524</v>
      </c>
      <c r="E17" s="254"/>
      <c r="F17" s="622"/>
      <c r="G17" s="336">
        <v>2000</v>
      </c>
      <c r="H17" s="336"/>
      <c r="I17" s="242">
        <f t="shared" si="5"/>
        <v>2000</v>
      </c>
      <c r="J17" s="336"/>
      <c r="K17" s="336"/>
      <c r="L17" s="336">
        <f t="shared" si="0"/>
        <v>0</v>
      </c>
      <c r="M17" s="336">
        <f t="shared" si="2"/>
        <v>2000</v>
      </c>
      <c r="N17" s="336"/>
      <c r="O17" s="336">
        <f t="shared" si="1"/>
        <v>2000</v>
      </c>
    </row>
    <row r="18" spans="1:15" ht="15" customHeight="1" x14ac:dyDescent="0.2">
      <c r="A18" s="243"/>
      <c r="B18" s="244"/>
      <c r="C18" s="247" t="s">
        <v>994</v>
      </c>
      <c r="D18" s="258" t="s">
        <v>995</v>
      </c>
      <c r="E18" s="254"/>
      <c r="F18" s="622"/>
      <c r="G18" s="336">
        <v>0</v>
      </c>
      <c r="H18" s="336">
        <v>0</v>
      </c>
      <c r="I18" s="242">
        <f t="shared" si="5"/>
        <v>0</v>
      </c>
      <c r="J18" s="336"/>
      <c r="K18" s="336"/>
      <c r="L18" s="336">
        <f t="shared" si="0"/>
        <v>0</v>
      </c>
      <c r="M18" s="336">
        <f t="shared" si="2"/>
        <v>0</v>
      </c>
      <c r="N18" s="336">
        <f t="shared" si="3"/>
        <v>0</v>
      </c>
      <c r="O18" s="336">
        <f t="shared" si="1"/>
        <v>0</v>
      </c>
    </row>
    <row r="19" spans="1:15" ht="24.95" customHeight="1" x14ac:dyDescent="0.2">
      <c r="A19" s="243"/>
      <c r="B19" s="244"/>
      <c r="C19" s="239" t="s">
        <v>996</v>
      </c>
      <c r="D19" s="250" t="s">
        <v>512</v>
      </c>
      <c r="E19" s="254"/>
      <c r="F19" s="622"/>
      <c r="G19" s="336">
        <v>10325</v>
      </c>
      <c r="H19" s="336">
        <v>0</v>
      </c>
      <c r="I19" s="242">
        <f t="shared" si="5"/>
        <v>10325</v>
      </c>
      <c r="J19" s="336"/>
      <c r="K19" s="336"/>
      <c r="L19" s="336">
        <f t="shared" si="0"/>
        <v>0</v>
      </c>
      <c r="M19" s="336">
        <f t="shared" si="2"/>
        <v>10325</v>
      </c>
      <c r="N19" s="336">
        <f t="shared" si="3"/>
        <v>0</v>
      </c>
      <c r="O19" s="336">
        <f t="shared" si="1"/>
        <v>10325</v>
      </c>
    </row>
    <row r="20" spans="1:15" ht="24.95" customHeight="1" x14ac:dyDescent="0.2">
      <c r="A20" s="243"/>
      <c r="B20" s="244"/>
      <c r="C20" s="239" t="s">
        <v>997</v>
      </c>
      <c r="D20" s="250" t="s">
        <v>513</v>
      </c>
      <c r="E20" s="254"/>
      <c r="F20" s="622"/>
      <c r="G20" s="336">
        <v>44577</v>
      </c>
      <c r="H20" s="336">
        <v>0</v>
      </c>
      <c r="I20" s="242">
        <f t="shared" si="5"/>
        <v>44577</v>
      </c>
      <c r="J20" s="336"/>
      <c r="K20" s="336"/>
      <c r="L20" s="336">
        <f t="shared" si="0"/>
        <v>0</v>
      </c>
      <c r="M20" s="336">
        <f t="shared" si="2"/>
        <v>44577</v>
      </c>
      <c r="N20" s="336">
        <f t="shared" si="3"/>
        <v>0</v>
      </c>
      <c r="O20" s="336">
        <f t="shared" si="1"/>
        <v>44577</v>
      </c>
    </row>
    <row r="21" spans="1:15" ht="15" customHeight="1" x14ac:dyDescent="0.2">
      <c r="A21" s="243"/>
      <c r="B21" s="244"/>
      <c r="C21" s="239" t="s">
        <v>998</v>
      </c>
      <c r="D21" s="250" t="s">
        <v>999</v>
      </c>
      <c r="E21" s="254"/>
      <c r="F21" s="622"/>
      <c r="G21" s="336">
        <v>5000</v>
      </c>
      <c r="H21" s="336">
        <v>0</v>
      </c>
      <c r="I21" s="242">
        <f t="shared" si="5"/>
        <v>5000</v>
      </c>
      <c r="J21" s="336"/>
      <c r="K21" s="336"/>
      <c r="L21" s="336">
        <f t="shared" si="0"/>
        <v>0</v>
      </c>
      <c r="M21" s="336">
        <f t="shared" si="2"/>
        <v>5000</v>
      </c>
      <c r="N21" s="336">
        <f t="shared" si="3"/>
        <v>0</v>
      </c>
      <c r="O21" s="336">
        <f t="shared" si="1"/>
        <v>5000</v>
      </c>
    </row>
    <row r="22" spans="1:15" ht="15" customHeight="1" x14ac:dyDescent="0.2">
      <c r="A22" s="243"/>
      <c r="B22" s="244"/>
      <c r="C22" s="239" t="s">
        <v>1000</v>
      </c>
      <c r="D22" s="256" t="s">
        <v>1001</v>
      </c>
      <c r="E22" s="254"/>
      <c r="F22" s="622"/>
      <c r="G22" s="336">
        <v>4000</v>
      </c>
      <c r="H22" s="336">
        <v>0</v>
      </c>
      <c r="I22" s="242">
        <f t="shared" si="5"/>
        <v>4000</v>
      </c>
      <c r="J22" s="336"/>
      <c r="K22" s="336"/>
      <c r="L22" s="336">
        <f t="shared" si="0"/>
        <v>0</v>
      </c>
      <c r="M22" s="336">
        <f t="shared" si="2"/>
        <v>4000</v>
      </c>
      <c r="N22" s="336">
        <f t="shared" si="3"/>
        <v>0</v>
      </c>
      <c r="O22" s="336">
        <f t="shared" si="1"/>
        <v>4000</v>
      </c>
    </row>
    <row r="23" spans="1:15" ht="15" customHeight="1" x14ac:dyDescent="0.2">
      <c r="A23" s="243"/>
      <c r="B23" s="244"/>
      <c r="C23" s="239" t="s">
        <v>1002</v>
      </c>
      <c r="D23" s="259" t="s">
        <v>1003</v>
      </c>
      <c r="E23" s="254"/>
      <c r="F23" s="622"/>
      <c r="G23" s="336">
        <v>0</v>
      </c>
      <c r="H23" s="336">
        <v>4933</v>
      </c>
      <c r="I23" s="242">
        <f t="shared" si="5"/>
        <v>4933</v>
      </c>
      <c r="J23" s="336"/>
      <c r="K23" s="336"/>
      <c r="L23" s="336">
        <f t="shared" si="0"/>
        <v>0</v>
      </c>
      <c r="M23" s="336">
        <f t="shared" si="2"/>
        <v>0</v>
      </c>
      <c r="N23" s="336">
        <f t="shared" si="3"/>
        <v>4933</v>
      </c>
      <c r="O23" s="336">
        <f t="shared" si="1"/>
        <v>4933</v>
      </c>
    </row>
    <row r="24" spans="1:15" ht="15" customHeight="1" x14ac:dyDescent="0.2">
      <c r="A24" s="243"/>
      <c r="B24" s="244"/>
      <c r="C24" s="239" t="s">
        <v>506</v>
      </c>
      <c r="D24" s="259" t="s">
        <v>498</v>
      </c>
      <c r="E24" s="254"/>
      <c r="F24" s="622"/>
      <c r="G24" s="336">
        <v>50000</v>
      </c>
      <c r="H24" s="336"/>
      <c r="I24" s="242">
        <f t="shared" si="5"/>
        <v>50000</v>
      </c>
      <c r="J24" s="336"/>
      <c r="K24" s="336"/>
      <c r="L24" s="336">
        <f t="shared" si="0"/>
        <v>0</v>
      </c>
      <c r="M24" s="336">
        <f t="shared" si="2"/>
        <v>50000</v>
      </c>
      <c r="N24" s="336"/>
      <c r="O24" s="336">
        <f t="shared" si="1"/>
        <v>50000</v>
      </c>
    </row>
    <row r="25" spans="1:15" ht="24.95" customHeight="1" x14ac:dyDescent="0.2">
      <c r="A25" s="243"/>
      <c r="B25" s="244"/>
      <c r="C25" s="276" t="s">
        <v>501</v>
      </c>
      <c r="D25" s="259" t="s">
        <v>502</v>
      </c>
      <c r="E25" s="254"/>
      <c r="F25" s="622"/>
      <c r="G25" s="296"/>
      <c r="H25" s="296">
        <v>200</v>
      </c>
      <c r="I25" s="242">
        <f t="shared" si="5"/>
        <v>200</v>
      </c>
      <c r="J25" s="296"/>
      <c r="K25" s="296"/>
      <c r="L25" s="296">
        <f t="shared" si="0"/>
        <v>0</v>
      </c>
      <c r="M25" s="296"/>
      <c r="N25" s="296">
        <v>200</v>
      </c>
      <c r="O25" s="296">
        <f t="shared" si="1"/>
        <v>200</v>
      </c>
    </row>
    <row r="26" spans="1:15" ht="15" customHeight="1" x14ac:dyDescent="0.2">
      <c r="A26" s="243"/>
      <c r="B26" s="244"/>
      <c r="C26" s="276" t="s">
        <v>345</v>
      </c>
      <c r="D26" s="259" t="s">
        <v>862</v>
      </c>
      <c r="E26" s="254"/>
      <c r="F26" s="622" t="s">
        <v>693</v>
      </c>
      <c r="G26" s="296"/>
      <c r="H26" s="296"/>
      <c r="I26" s="242"/>
      <c r="J26" s="296">
        <v>28000</v>
      </c>
      <c r="K26" s="296"/>
      <c r="L26" s="296">
        <f t="shared" si="0"/>
        <v>28000</v>
      </c>
      <c r="M26" s="296">
        <f t="shared" si="2"/>
        <v>28000</v>
      </c>
      <c r="N26" s="296"/>
      <c r="O26" s="296">
        <f t="shared" si="1"/>
        <v>28000</v>
      </c>
    </row>
    <row r="27" spans="1:15" ht="15" customHeight="1" x14ac:dyDescent="0.2">
      <c r="A27" s="243"/>
      <c r="B27" s="244"/>
      <c r="C27" s="239">
        <v>5</v>
      </c>
      <c r="D27" s="260" t="s">
        <v>1004</v>
      </c>
      <c r="E27" s="254"/>
      <c r="F27" s="622"/>
      <c r="G27" s="296">
        <v>0</v>
      </c>
      <c r="H27" s="296">
        <v>0</v>
      </c>
      <c r="I27" s="242">
        <f t="shared" si="5"/>
        <v>0</v>
      </c>
      <c r="J27" s="296"/>
      <c r="K27" s="296"/>
      <c r="L27" s="296">
        <f t="shared" si="0"/>
        <v>0</v>
      </c>
      <c r="M27" s="296">
        <f t="shared" si="2"/>
        <v>0</v>
      </c>
      <c r="N27" s="296">
        <f t="shared" si="3"/>
        <v>0</v>
      </c>
      <c r="O27" s="296">
        <f t="shared" si="1"/>
        <v>0</v>
      </c>
    </row>
    <row r="28" spans="1:15" ht="15" customHeight="1" x14ac:dyDescent="0.2">
      <c r="A28" s="243"/>
      <c r="B28" s="244"/>
      <c r="C28" s="261" t="s">
        <v>1005</v>
      </c>
      <c r="D28" s="262" t="s">
        <v>1006</v>
      </c>
      <c r="E28" s="265"/>
      <c r="F28" s="623"/>
      <c r="G28" s="296">
        <v>19050</v>
      </c>
      <c r="H28" s="296">
        <v>0</v>
      </c>
      <c r="I28" s="242">
        <f t="shared" si="5"/>
        <v>19050</v>
      </c>
      <c r="J28" s="296"/>
      <c r="K28" s="296"/>
      <c r="L28" s="296">
        <f t="shared" si="0"/>
        <v>0</v>
      </c>
      <c r="M28" s="296">
        <f t="shared" si="2"/>
        <v>19050</v>
      </c>
      <c r="N28" s="296">
        <f t="shared" si="3"/>
        <v>0</v>
      </c>
      <c r="O28" s="296">
        <f t="shared" si="1"/>
        <v>19050</v>
      </c>
    </row>
    <row r="29" spans="1:15" ht="24.95" customHeight="1" x14ac:dyDescent="0.2">
      <c r="A29" s="243"/>
      <c r="B29" s="244"/>
      <c r="C29" s="261" t="s">
        <v>1007</v>
      </c>
      <c r="D29" s="264" t="s">
        <v>572</v>
      </c>
      <c r="E29" s="265"/>
      <c r="F29" s="623" t="s">
        <v>693</v>
      </c>
      <c r="G29" s="296">
        <v>254643</v>
      </c>
      <c r="H29" s="296">
        <v>0</v>
      </c>
      <c r="I29" s="242">
        <f t="shared" si="5"/>
        <v>254643</v>
      </c>
      <c r="J29" s="296">
        <v>-7318</v>
      </c>
      <c r="K29" s="296"/>
      <c r="L29" s="296">
        <f t="shared" si="0"/>
        <v>-7318</v>
      </c>
      <c r="M29" s="296">
        <f t="shared" si="2"/>
        <v>247325</v>
      </c>
      <c r="N29" s="296">
        <f t="shared" si="3"/>
        <v>0</v>
      </c>
      <c r="O29" s="296">
        <f t="shared" si="1"/>
        <v>247325</v>
      </c>
    </row>
    <row r="30" spans="1:15" ht="24.95" customHeight="1" x14ac:dyDescent="0.2">
      <c r="A30" s="243"/>
      <c r="B30" s="244"/>
      <c r="C30" s="261" t="s">
        <v>1008</v>
      </c>
      <c r="D30" s="266" t="s">
        <v>570</v>
      </c>
      <c r="E30" s="263"/>
      <c r="F30" s="610"/>
      <c r="G30" s="336">
        <v>2500</v>
      </c>
      <c r="H30" s="336">
        <v>0</v>
      </c>
      <c r="I30" s="242">
        <f t="shared" si="5"/>
        <v>2500</v>
      </c>
      <c r="J30" s="336"/>
      <c r="K30" s="336"/>
      <c r="L30" s="336">
        <f t="shared" si="0"/>
        <v>0</v>
      </c>
      <c r="M30" s="336">
        <f t="shared" si="2"/>
        <v>2500</v>
      </c>
      <c r="N30" s="336">
        <f t="shared" si="3"/>
        <v>0</v>
      </c>
      <c r="O30" s="336">
        <f t="shared" si="1"/>
        <v>2500</v>
      </c>
    </row>
    <row r="31" spans="1:15" ht="15" customHeight="1" x14ac:dyDescent="0.2">
      <c r="A31" s="243"/>
      <c r="B31" s="244"/>
      <c r="C31" s="261" t="s">
        <v>1009</v>
      </c>
      <c r="D31" s="266" t="s">
        <v>571</v>
      </c>
      <c r="E31" s="263"/>
      <c r="F31" s="610"/>
      <c r="G31" s="336">
        <v>2500</v>
      </c>
      <c r="H31" s="336">
        <v>0</v>
      </c>
      <c r="I31" s="242">
        <f t="shared" si="5"/>
        <v>2500</v>
      </c>
      <c r="J31" s="336"/>
      <c r="K31" s="336"/>
      <c r="L31" s="336">
        <f t="shared" si="0"/>
        <v>0</v>
      </c>
      <c r="M31" s="336">
        <f t="shared" si="2"/>
        <v>2500</v>
      </c>
      <c r="N31" s="336">
        <f t="shared" si="3"/>
        <v>0</v>
      </c>
      <c r="O31" s="336">
        <f t="shared" si="1"/>
        <v>2500</v>
      </c>
    </row>
    <row r="32" spans="1:15" ht="24.95" customHeight="1" x14ac:dyDescent="0.2">
      <c r="A32" s="243"/>
      <c r="B32" s="244"/>
      <c r="C32" s="261" t="s">
        <v>1010</v>
      </c>
      <c r="D32" s="259" t="s">
        <v>1011</v>
      </c>
      <c r="E32" s="267"/>
      <c r="F32" s="251"/>
      <c r="G32" s="336">
        <v>0</v>
      </c>
      <c r="H32" s="336">
        <v>29000</v>
      </c>
      <c r="I32" s="242">
        <f t="shared" si="5"/>
        <v>29000</v>
      </c>
      <c r="J32" s="336"/>
      <c r="K32" s="336"/>
      <c r="L32" s="336">
        <f t="shared" si="0"/>
        <v>0</v>
      </c>
      <c r="M32" s="336">
        <f t="shared" si="2"/>
        <v>0</v>
      </c>
      <c r="N32" s="336">
        <f t="shared" si="3"/>
        <v>29000</v>
      </c>
      <c r="O32" s="336">
        <f t="shared" si="1"/>
        <v>29000</v>
      </c>
    </row>
    <row r="33" spans="1:15" ht="12.95" customHeight="1" x14ac:dyDescent="0.2">
      <c r="A33" s="268"/>
      <c r="B33" s="269"/>
      <c r="C33" s="270"/>
      <c r="D33" s="271" t="s">
        <v>575</v>
      </c>
      <c r="E33" s="272"/>
      <c r="F33" s="614"/>
      <c r="G33" s="273">
        <f>SUM(G11:G32)</f>
        <v>398195</v>
      </c>
      <c r="H33" s="273">
        <f>SUM(H11:H32)</f>
        <v>57427</v>
      </c>
      <c r="I33" s="273">
        <f>SUM(I11:I32)</f>
        <v>455622</v>
      </c>
      <c r="J33" s="273">
        <f t="shared" ref="J33:O33" si="6">SUM(J11:J32)</f>
        <v>20682</v>
      </c>
      <c r="K33" s="273">
        <f t="shared" si="6"/>
        <v>0</v>
      </c>
      <c r="L33" s="273">
        <f t="shared" si="6"/>
        <v>20682</v>
      </c>
      <c r="M33" s="273">
        <f t="shared" si="6"/>
        <v>418877</v>
      </c>
      <c r="N33" s="273">
        <f t="shared" si="6"/>
        <v>57427</v>
      </c>
      <c r="O33" s="273">
        <f t="shared" si="6"/>
        <v>476304</v>
      </c>
    </row>
    <row r="34" spans="1:15" ht="12.95" customHeight="1" x14ac:dyDescent="0.2">
      <c r="A34" s="274">
        <v>1</v>
      </c>
      <c r="B34" s="275">
        <v>15</v>
      </c>
      <c r="C34" s="276"/>
      <c r="D34" s="277" t="s">
        <v>910</v>
      </c>
      <c r="E34" s="278"/>
      <c r="F34" s="615"/>
      <c r="G34" s="336"/>
      <c r="H34" s="336"/>
      <c r="I34" s="279"/>
      <c r="J34" s="336"/>
      <c r="K34" s="336"/>
      <c r="L34" s="336"/>
      <c r="M34" s="336"/>
      <c r="N34" s="336"/>
      <c r="O34" s="336"/>
    </row>
    <row r="35" spans="1:15" ht="12.95" customHeight="1" x14ac:dyDescent="0.2">
      <c r="A35" s="274"/>
      <c r="B35" s="275"/>
      <c r="C35" s="280">
        <v>1</v>
      </c>
      <c r="D35" s="277" t="s">
        <v>922</v>
      </c>
      <c r="E35" s="278"/>
      <c r="F35" s="615"/>
      <c r="G35" s="336"/>
      <c r="H35" s="336"/>
      <c r="I35" s="279"/>
      <c r="J35" s="336"/>
      <c r="K35" s="336"/>
      <c r="L35" s="336"/>
      <c r="M35" s="336"/>
      <c r="N35" s="336"/>
      <c r="O35" s="336">
        <f t="shared" si="1"/>
        <v>0</v>
      </c>
    </row>
    <row r="36" spans="1:15" ht="15" customHeight="1" x14ac:dyDescent="0.2">
      <c r="A36" s="274"/>
      <c r="B36" s="275"/>
      <c r="C36" s="276" t="s">
        <v>836</v>
      </c>
      <c r="D36" s="256" t="s">
        <v>1012</v>
      </c>
      <c r="E36" s="278"/>
      <c r="F36" s="615"/>
      <c r="G36" s="336">
        <v>18800</v>
      </c>
      <c r="H36" s="336">
        <v>0</v>
      </c>
      <c r="I36" s="281">
        <f t="shared" ref="I36:I100" si="7">SUM(G36:H36)</f>
        <v>18800</v>
      </c>
      <c r="J36" s="336"/>
      <c r="K36" s="336"/>
      <c r="L36" s="336">
        <f t="shared" si="0"/>
        <v>0</v>
      </c>
      <c r="M36" s="336">
        <f t="shared" si="2"/>
        <v>18800</v>
      </c>
      <c r="N36" s="336">
        <f t="shared" si="3"/>
        <v>0</v>
      </c>
      <c r="O36" s="336">
        <f t="shared" si="1"/>
        <v>18800</v>
      </c>
    </row>
    <row r="37" spans="1:15" ht="15" customHeight="1" x14ac:dyDescent="0.2">
      <c r="A37" s="282"/>
      <c r="B37" s="283"/>
      <c r="C37" s="276" t="s">
        <v>837</v>
      </c>
      <c r="D37" s="256" t="s">
        <v>1013</v>
      </c>
      <c r="E37" s="278"/>
      <c r="F37" s="615"/>
      <c r="G37" s="336">
        <v>700</v>
      </c>
      <c r="H37" s="336">
        <v>0</v>
      </c>
      <c r="I37" s="281">
        <f t="shared" si="7"/>
        <v>700</v>
      </c>
      <c r="J37" s="336"/>
      <c r="K37" s="336"/>
      <c r="L37" s="336">
        <f t="shared" si="0"/>
        <v>0</v>
      </c>
      <c r="M37" s="336">
        <f t="shared" si="2"/>
        <v>700</v>
      </c>
      <c r="N37" s="336">
        <f t="shared" si="3"/>
        <v>0</v>
      </c>
      <c r="O37" s="336">
        <f t="shared" si="1"/>
        <v>700</v>
      </c>
    </row>
    <row r="38" spans="1:15" ht="15" customHeight="1" x14ac:dyDescent="0.2">
      <c r="A38" s="274"/>
      <c r="B38" s="275"/>
      <c r="C38" s="276" t="s">
        <v>838</v>
      </c>
      <c r="D38" s="284" t="s">
        <v>1014</v>
      </c>
      <c r="E38" s="278"/>
      <c r="F38" s="615"/>
      <c r="G38" s="336">
        <v>1000</v>
      </c>
      <c r="H38" s="336">
        <v>0</v>
      </c>
      <c r="I38" s="281">
        <f t="shared" si="7"/>
        <v>1000</v>
      </c>
      <c r="J38" s="336"/>
      <c r="K38" s="336"/>
      <c r="L38" s="336">
        <f t="shared" si="0"/>
        <v>0</v>
      </c>
      <c r="M38" s="336">
        <f t="shared" si="2"/>
        <v>1000</v>
      </c>
      <c r="N38" s="336">
        <f t="shared" si="3"/>
        <v>0</v>
      </c>
      <c r="O38" s="336">
        <f t="shared" si="1"/>
        <v>1000</v>
      </c>
    </row>
    <row r="39" spans="1:15" ht="24.95" customHeight="1" x14ac:dyDescent="0.2">
      <c r="A39" s="274"/>
      <c r="B39" s="275"/>
      <c r="C39" s="276" t="s">
        <v>825</v>
      </c>
      <c r="D39" s="284" t="s">
        <v>1015</v>
      </c>
      <c r="E39" s="278"/>
      <c r="F39" s="615"/>
      <c r="G39" s="336">
        <v>5000</v>
      </c>
      <c r="H39" s="336">
        <v>0</v>
      </c>
      <c r="I39" s="281">
        <f t="shared" si="7"/>
        <v>5000</v>
      </c>
      <c r="J39" s="336"/>
      <c r="K39" s="336"/>
      <c r="L39" s="336">
        <f t="shared" si="0"/>
        <v>0</v>
      </c>
      <c r="M39" s="336">
        <f t="shared" si="2"/>
        <v>5000</v>
      </c>
      <c r="N39" s="336">
        <f t="shared" si="3"/>
        <v>0</v>
      </c>
      <c r="O39" s="336">
        <f t="shared" si="1"/>
        <v>5000</v>
      </c>
    </row>
    <row r="40" spans="1:15" ht="15" customHeight="1" x14ac:dyDescent="0.2">
      <c r="A40" s="274"/>
      <c r="B40" s="275"/>
      <c r="C40" s="276" t="s">
        <v>826</v>
      </c>
      <c r="D40" s="256" t="s">
        <v>1016</v>
      </c>
      <c r="E40" s="278"/>
      <c r="F40" s="615"/>
      <c r="G40" s="336">
        <v>3500</v>
      </c>
      <c r="H40" s="336">
        <v>0</v>
      </c>
      <c r="I40" s="281">
        <f t="shared" si="7"/>
        <v>3500</v>
      </c>
      <c r="J40" s="336"/>
      <c r="K40" s="336"/>
      <c r="L40" s="336">
        <f t="shared" si="0"/>
        <v>0</v>
      </c>
      <c r="M40" s="336">
        <f t="shared" si="2"/>
        <v>3500</v>
      </c>
      <c r="N40" s="336">
        <f t="shared" si="3"/>
        <v>0</v>
      </c>
      <c r="O40" s="336">
        <f t="shared" si="1"/>
        <v>3500</v>
      </c>
    </row>
    <row r="41" spans="1:15" ht="12.95" customHeight="1" x14ac:dyDescent="0.2">
      <c r="A41" s="274"/>
      <c r="B41" s="275"/>
      <c r="C41" s="276" t="s">
        <v>372</v>
      </c>
      <c r="D41" s="284" t="s">
        <v>1017</v>
      </c>
      <c r="E41" s="278"/>
      <c r="F41" s="615"/>
      <c r="G41" s="336">
        <v>1200</v>
      </c>
      <c r="H41" s="336">
        <v>0</v>
      </c>
      <c r="I41" s="281">
        <f t="shared" si="7"/>
        <v>1200</v>
      </c>
      <c r="J41" s="336"/>
      <c r="K41" s="336"/>
      <c r="L41" s="336">
        <f t="shared" si="0"/>
        <v>0</v>
      </c>
      <c r="M41" s="336">
        <f t="shared" si="2"/>
        <v>1200</v>
      </c>
      <c r="N41" s="336">
        <f t="shared" si="3"/>
        <v>0</v>
      </c>
      <c r="O41" s="336">
        <f t="shared" si="1"/>
        <v>1200</v>
      </c>
    </row>
    <row r="42" spans="1:15" ht="12.95" customHeight="1" x14ac:dyDescent="0.2">
      <c r="A42" s="274"/>
      <c r="B42" s="275"/>
      <c r="C42" s="276" t="s">
        <v>373</v>
      </c>
      <c r="D42" s="284" t="s">
        <v>581</v>
      </c>
      <c r="E42" s="278"/>
      <c r="F42" s="615"/>
      <c r="G42" s="336">
        <v>1000</v>
      </c>
      <c r="H42" s="336">
        <v>0</v>
      </c>
      <c r="I42" s="281">
        <f t="shared" si="7"/>
        <v>1000</v>
      </c>
      <c r="J42" s="336"/>
      <c r="K42" s="336"/>
      <c r="L42" s="336">
        <f t="shared" si="0"/>
        <v>0</v>
      </c>
      <c r="M42" s="336">
        <f t="shared" si="2"/>
        <v>1000</v>
      </c>
      <c r="N42" s="336">
        <f t="shared" si="3"/>
        <v>0</v>
      </c>
      <c r="O42" s="336">
        <f t="shared" si="1"/>
        <v>1000</v>
      </c>
    </row>
    <row r="43" spans="1:15" ht="12.95" customHeight="1" x14ac:dyDescent="0.2">
      <c r="A43" s="274"/>
      <c r="B43" s="275"/>
      <c r="C43" s="276" t="s">
        <v>371</v>
      </c>
      <c r="D43" s="256" t="s">
        <v>350</v>
      </c>
      <c r="E43" s="278"/>
      <c r="F43" s="615"/>
      <c r="G43" s="336">
        <v>1000</v>
      </c>
      <c r="H43" s="336">
        <v>0</v>
      </c>
      <c r="I43" s="281">
        <f t="shared" si="7"/>
        <v>1000</v>
      </c>
      <c r="J43" s="336"/>
      <c r="K43" s="336"/>
      <c r="L43" s="336">
        <f t="shared" si="0"/>
        <v>0</v>
      </c>
      <c r="M43" s="336">
        <f t="shared" si="2"/>
        <v>1000</v>
      </c>
      <c r="N43" s="336">
        <f t="shared" si="3"/>
        <v>0</v>
      </c>
      <c r="O43" s="336">
        <f t="shared" si="1"/>
        <v>1000</v>
      </c>
    </row>
    <row r="44" spans="1:15" ht="12.95" customHeight="1" x14ac:dyDescent="0.2">
      <c r="A44" s="274"/>
      <c r="B44" s="275"/>
      <c r="C44" s="276" t="s">
        <v>1018</v>
      </c>
      <c r="D44" s="256" t="s">
        <v>1019</v>
      </c>
      <c r="E44" s="278"/>
      <c r="F44" s="615"/>
      <c r="G44" s="336">
        <v>1000</v>
      </c>
      <c r="H44" s="336">
        <v>0</v>
      </c>
      <c r="I44" s="281">
        <f t="shared" si="7"/>
        <v>1000</v>
      </c>
      <c r="J44" s="336"/>
      <c r="K44" s="336"/>
      <c r="L44" s="336">
        <f t="shared" si="0"/>
        <v>0</v>
      </c>
      <c r="M44" s="336">
        <f t="shared" si="2"/>
        <v>1000</v>
      </c>
      <c r="N44" s="336">
        <f t="shared" si="3"/>
        <v>0</v>
      </c>
      <c r="O44" s="336">
        <f t="shared" si="1"/>
        <v>1000</v>
      </c>
    </row>
    <row r="45" spans="1:15" ht="12.95" customHeight="1" x14ac:dyDescent="0.2">
      <c r="A45" s="274"/>
      <c r="B45" s="275"/>
      <c r="C45" s="276" t="s">
        <v>533</v>
      </c>
      <c r="D45" s="256" t="s">
        <v>534</v>
      </c>
      <c r="E45" s="278"/>
      <c r="F45" s="615"/>
      <c r="G45" s="336">
        <v>0</v>
      </c>
      <c r="H45" s="336">
        <v>206514</v>
      </c>
      <c r="I45" s="281">
        <f t="shared" si="7"/>
        <v>206514</v>
      </c>
      <c r="J45" s="336"/>
      <c r="K45" s="336"/>
      <c r="L45" s="336">
        <f t="shared" si="0"/>
        <v>0</v>
      </c>
      <c r="M45" s="336">
        <f t="shared" si="2"/>
        <v>0</v>
      </c>
      <c r="N45" s="336">
        <f t="shared" si="3"/>
        <v>206514</v>
      </c>
      <c r="O45" s="336">
        <f t="shared" si="1"/>
        <v>206514</v>
      </c>
    </row>
    <row r="46" spans="1:15" ht="12.95" customHeight="1" x14ac:dyDescent="0.2">
      <c r="A46" s="274"/>
      <c r="B46" s="275"/>
      <c r="C46" s="276" t="s">
        <v>507</v>
      </c>
      <c r="D46" s="329" t="s">
        <v>535</v>
      </c>
      <c r="E46" s="278"/>
      <c r="F46" s="615"/>
      <c r="G46" s="336">
        <v>746</v>
      </c>
      <c r="H46" s="336">
        <v>0</v>
      </c>
      <c r="I46" s="281">
        <f t="shared" si="7"/>
        <v>746</v>
      </c>
      <c r="J46" s="336"/>
      <c r="K46" s="336"/>
      <c r="L46" s="336">
        <f t="shared" si="0"/>
        <v>0</v>
      </c>
      <c r="M46" s="336">
        <f t="shared" si="2"/>
        <v>746</v>
      </c>
      <c r="N46" s="336">
        <f t="shared" si="3"/>
        <v>0</v>
      </c>
      <c r="O46" s="336">
        <f t="shared" si="1"/>
        <v>746</v>
      </c>
    </row>
    <row r="47" spans="1:15" ht="12.95" customHeight="1" x14ac:dyDescent="0.2">
      <c r="A47" s="274"/>
      <c r="B47" s="275"/>
      <c r="C47" s="276"/>
      <c r="D47" s="285" t="s">
        <v>1004</v>
      </c>
      <c r="E47" s="278"/>
      <c r="F47" s="615"/>
      <c r="G47" s="336">
        <v>0</v>
      </c>
      <c r="H47" s="336">
        <v>0</v>
      </c>
      <c r="I47" s="281">
        <f t="shared" si="7"/>
        <v>0</v>
      </c>
      <c r="J47" s="336"/>
      <c r="K47" s="336"/>
      <c r="L47" s="336">
        <f t="shared" si="0"/>
        <v>0</v>
      </c>
      <c r="M47" s="336">
        <f t="shared" si="2"/>
        <v>0</v>
      </c>
      <c r="N47" s="336">
        <f t="shared" si="3"/>
        <v>0</v>
      </c>
      <c r="O47" s="336">
        <f t="shared" si="1"/>
        <v>0</v>
      </c>
    </row>
    <row r="48" spans="1:15" ht="12.95" customHeight="1" x14ac:dyDescent="0.2">
      <c r="A48" s="274"/>
      <c r="B48" s="275"/>
      <c r="C48" s="276" t="s">
        <v>697</v>
      </c>
      <c r="D48" s="286" t="s">
        <v>1020</v>
      </c>
      <c r="E48" s="287"/>
      <c r="F48" s="616"/>
      <c r="G48" s="336">
        <v>18326</v>
      </c>
      <c r="H48" s="336">
        <v>0</v>
      </c>
      <c r="I48" s="281">
        <f t="shared" si="7"/>
        <v>18326</v>
      </c>
      <c r="J48" s="336"/>
      <c r="K48" s="336"/>
      <c r="L48" s="336">
        <f t="shared" si="0"/>
        <v>0</v>
      </c>
      <c r="M48" s="336">
        <f t="shared" si="2"/>
        <v>18326</v>
      </c>
      <c r="N48" s="336">
        <f t="shared" si="3"/>
        <v>0</v>
      </c>
      <c r="O48" s="336">
        <f t="shared" si="1"/>
        <v>18326</v>
      </c>
    </row>
    <row r="49" spans="1:15" ht="12.95" customHeight="1" x14ac:dyDescent="0.2">
      <c r="A49" s="274"/>
      <c r="B49" s="275"/>
      <c r="C49" s="288" t="s">
        <v>839</v>
      </c>
      <c r="D49" s="289" t="s">
        <v>351</v>
      </c>
      <c r="E49" s="278"/>
      <c r="F49" s="615"/>
      <c r="G49" s="336"/>
      <c r="H49" s="336"/>
      <c r="I49" s="281">
        <f t="shared" si="7"/>
        <v>0</v>
      </c>
      <c r="J49" s="336"/>
      <c r="K49" s="336"/>
      <c r="L49" s="336"/>
      <c r="M49" s="336"/>
      <c r="N49" s="336"/>
      <c r="O49" s="336"/>
    </row>
    <row r="50" spans="1:15" ht="12.95" customHeight="1" x14ac:dyDescent="0.2">
      <c r="A50" s="274"/>
      <c r="B50" s="275"/>
      <c r="C50" s="276" t="s">
        <v>840</v>
      </c>
      <c r="D50" s="286" t="s">
        <v>670</v>
      </c>
      <c r="E50" s="278"/>
      <c r="F50" s="615"/>
      <c r="G50" s="336">
        <v>3000</v>
      </c>
      <c r="H50" s="336">
        <v>0</v>
      </c>
      <c r="I50" s="281">
        <f t="shared" si="7"/>
        <v>3000</v>
      </c>
      <c r="J50" s="336"/>
      <c r="K50" s="336"/>
      <c r="L50" s="336">
        <f t="shared" si="0"/>
        <v>0</v>
      </c>
      <c r="M50" s="336">
        <f t="shared" si="2"/>
        <v>3000</v>
      </c>
      <c r="N50" s="336">
        <f t="shared" si="3"/>
        <v>0</v>
      </c>
      <c r="O50" s="336">
        <f t="shared" si="1"/>
        <v>3000</v>
      </c>
    </row>
    <row r="51" spans="1:15" ht="12.95" customHeight="1" x14ac:dyDescent="0.2">
      <c r="A51" s="274"/>
      <c r="B51" s="275"/>
      <c r="C51" s="276" t="s">
        <v>669</v>
      </c>
      <c r="D51" s="290" t="s">
        <v>1021</v>
      </c>
      <c r="E51" s="278"/>
      <c r="F51" s="615"/>
      <c r="G51" s="336">
        <v>57864</v>
      </c>
      <c r="H51" s="336">
        <v>0</v>
      </c>
      <c r="I51" s="281">
        <f t="shared" si="7"/>
        <v>57864</v>
      </c>
      <c r="J51" s="336"/>
      <c r="K51" s="336"/>
      <c r="L51" s="336">
        <f t="shared" si="0"/>
        <v>0</v>
      </c>
      <c r="M51" s="336">
        <f t="shared" si="2"/>
        <v>57864</v>
      </c>
      <c r="N51" s="336">
        <f t="shared" si="3"/>
        <v>0</v>
      </c>
      <c r="O51" s="336">
        <f t="shared" si="1"/>
        <v>57864</v>
      </c>
    </row>
    <row r="52" spans="1:15" ht="12.95" customHeight="1" x14ac:dyDescent="0.2">
      <c r="A52" s="274"/>
      <c r="B52" s="275"/>
      <c r="C52" s="276" t="s">
        <v>361</v>
      </c>
      <c r="D52" s="591" t="s">
        <v>935</v>
      </c>
      <c r="E52" s="278"/>
      <c r="F52" s="615" t="s">
        <v>693</v>
      </c>
      <c r="G52" s="336">
        <v>0</v>
      </c>
      <c r="H52" s="336">
        <v>33986</v>
      </c>
      <c r="I52" s="281">
        <f t="shared" si="7"/>
        <v>33986</v>
      </c>
      <c r="J52" s="336"/>
      <c r="K52" s="336">
        <v>-33986</v>
      </c>
      <c r="L52" s="336">
        <f t="shared" si="0"/>
        <v>-33986</v>
      </c>
      <c r="M52" s="336">
        <f t="shared" si="2"/>
        <v>0</v>
      </c>
      <c r="N52" s="336">
        <f t="shared" si="3"/>
        <v>0</v>
      </c>
      <c r="O52" s="336">
        <f t="shared" si="1"/>
        <v>0</v>
      </c>
    </row>
    <row r="53" spans="1:15" ht="15" customHeight="1" x14ac:dyDescent="0.2">
      <c r="A53" s="274"/>
      <c r="B53" s="275"/>
      <c r="C53" s="276"/>
      <c r="D53" s="285" t="s">
        <v>1004</v>
      </c>
      <c r="E53" s="278"/>
      <c r="F53" s="615"/>
      <c r="G53" s="336">
        <v>0</v>
      </c>
      <c r="H53" s="336">
        <v>0</v>
      </c>
      <c r="I53" s="281">
        <f t="shared" si="7"/>
        <v>0</v>
      </c>
      <c r="J53" s="336"/>
      <c r="K53" s="336"/>
      <c r="L53" s="336">
        <f t="shared" si="0"/>
        <v>0</v>
      </c>
      <c r="M53" s="336">
        <f t="shared" si="2"/>
        <v>0</v>
      </c>
      <c r="N53" s="336">
        <f t="shared" si="3"/>
        <v>0</v>
      </c>
      <c r="O53" s="336">
        <f t="shared" si="1"/>
        <v>0</v>
      </c>
    </row>
    <row r="54" spans="1:15" ht="24.95" customHeight="1" x14ac:dyDescent="0.2">
      <c r="A54" s="274"/>
      <c r="B54" s="275"/>
      <c r="C54" s="276" t="s">
        <v>732</v>
      </c>
      <c r="D54" s="291" t="s">
        <v>1022</v>
      </c>
      <c r="E54" s="278"/>
      <c r="F54" s="615"/>
      <c r="G54" s="336">
        <v>0</v>
      </c>
      <c r="H54" s="336">
        <v>355893</v>
      </c>
      <c r="I54" s="281">
        <f t="shared" si="7"/>
        <v>355893</v>
      </c>
      <c r="J54" s="336"/>
      <c r="K54" s="336"/>
      <c r="L54" s="336">
        <f t="shared" si="0"/>
        <v>0</v>
      </c>
      <c r="M54" s="336">
        <f t="shared" si="2"/>
        <v>0</v>
      </c>
      <c r="N54" s="336">
        <f t="shared" si="3"/>
        <v>355893</v>
      </c>
      <c r="O54" s="336">
        <f t="shared" si="1"/>
        <v>355893</v>
      </c>
    </row>
    <row r="55" spans="1:15" ht="12.95" customHeight="1" x14ac:dyDescent="0.2">
      <c r="A55" s="274"/>
      <c r="B55" s="275"/>
      <c r="C55" s="292" t="s">
        <v>841</v>
      </c>
      <c r="D55" s="293" t="s">
        <v>759</v>
      </c>
      <c r="E55" s="278"/>
      <c r="F55" s="615"/>
      <c r="G55" s="336"/>
      <c r="H55" s="336"/>
      <c r="I55" s="281">
        <f t="shared" si="7"/>
        <v>0</v>
      </c>
      <c r="J55" s="336"/>
      <c r="K55" s="336"/>
      <c r="L55" s="336"/>
      <c r="M55" s="336"/>
      <c r="N55" s="336"/>
      <c r="O55" s="336"/>
    </row>
    <row r="56" spans="1:15" ht="12.95" customHeight="1" x14ac:dyDescent="0.2">
      <c r="A56" s="274"/>
      <c r="B56" s="275"/>
      <c r="C56" s="276" t="s">
        <v>846</v>
      </c>
      <c r="D56" s="284" t="s">
        <v>1023</v>
      </c>
      <c r="E56" s="278"/>
      <c r="F56" s="615"/>
      <c r="G56" s="336">
        <v>800</v>
      </c>
      <c r="H56" s="336">
        <v>0</v>
      </c>
      <c r="I56" s="281">
        <f t="shared" si="7"/>
        <v>800</v>
      </c>
      <c r="J56" s="336"/>
      <c r="K56" s="336"/>
      <c r="L56" s="336">
        <f t="shared" si="0"/>
        <v>0</v>
      </c>
      <c r="M56" s="336">
        <f t="shared" si="2"/>
        <v>800</v>
      </c>
      <c r="N56" s="336">
        <f t="shared" si="3"/>
        <v>0</v>
      </c>
      <c r="O56" s="336">
        <f t="shared" si="1"/>
        <v>800</v>
      </c>
    </row>
    <row r="57" spans="1:15" ht="12.95" customHeight="1" x14ac:dyDescent="0.2">
      <c r="A57" s="274"/>
      <c r="B57" s="275"/>
      <c r="C57" s="276" t="s">
        <v>847</v>
      </c>
      <c r="D57" s="294" t="s">
        <v>1024</v>
      </c>
      <c r="E57" s="295"/>
      <c r="F57" s="617"/>
      <c r="G57" s="336">
        <v>10000</v>
      </c>
      <c r="H57" s="336">
        <v>0</v>
      </c>
      <c r="I57" s="281">
        <f t="shared" si="7"/>
        <v>10000</v>
      </c>
      <c r="J57" s="336"/>
      <c r="K57" s="336"/>
      <c r="L57" s="336">
        <f t="shared" si="0"/>
        <v>0</v>
      </c>
      <c r="M57" s="336">
        <f t="shared" si="2"/>
        <v>10000</v>
      </c>
      <c r="N57" s="336">
        <f t="shared" si="3"/>
        <v>0</v>
      </c>
      <c r="O57" s="336">
        <f t="shared" si="1"/>
        <v>10000</v>
      </c>
    </row>
    <row r="58" spans="1:15" ht="12.95" customHeight="1" x14ac:dyDescent="0.2">
      <c r="A58" s="274"/>
      <c r="B58" s="275"/>
      <c r="C58" s="276" t="s">
        <v>891</v>
      </c>
      <c r="D58" s="297" t="s">
        <v>1025</v>
      </c>
      <c r="E58" s="295"/>
      <c r="F58" s="617"/>
      <c r="G58" s="336">
        <v>0</v>
      </c>
      <c r="H58" s="336">
        <v>0</v>
      </c>
      <c r="I58" s="281">
        <f t="shared" si="7"/>
        <v>0</v>
      </c>
      <c r="J58" s="336"/>
      <c r="K58" s="336"/>
      <c r="L58" s="336">
        <f t="shared" si="0"/>
        <v>0</v>
      </c>
      <c r="M58" s="336">
        <f t="shared" si="2"/>
        <v>0</v>
      </c>
      <c r="N58" s="336">
        <f t="shared" si="3"/>
        <v>0</v>
      </c>
      <c r="O58" s="336">
        <f t="shared" si="1"/>
        <v>0</v>
      </c>
    </row>
    <row r="59" spans="1:15" ht="38.1" customHeight="1" x14ac:dyDescent="0.2">
      <c r="A59" s="274"/>
      <c r="B59" s="275"/>
      <c r="C59" s="276" t="s">
        <v>679</v>
      </c>
      <c r="D59" s="297" t="s">
        <v>1026</v>
      </c>
      <c r="E59" s="295"/>
      <c r="F59" s="617"/>
      <c r="G59" s="336">
        <v>1000</v>
      </c>
      <c r="H59" s="336">
        <v>0</v>
      </c>
      <c r="I59" s="281">
        <f t="shared" si="7"/>
        <v>1000</v>
      </c>
      <c r="J59" s="336"/>
      <c r="K59" s="336"/>
      <c r="L59" s="336">
        <f t="shared" si="0"/>
        <v>0</v>
      </c>
      <c r="M59" s="336">
        <f t="shared" si="2"/>
        <v>1000</v>
      </c>
      <c r="N59" s="336">
        <f t="shared" si="3"/>
        <v>0</v>
      </c>
      <c r="O59" s="336">
        <f t="shared" si="1"/>
        <v>1000</v>
      </c>
    </row>
    <row r="60" spans="1:15" ht="12.95" customHeight="1" x14ac:dyDescent="0.2">
      <c r="A60" s="274"/>
      <c r="B60" s="275"/>
      <c r="C60" s="276" t="s">
        <v>412</v>
      </c>
      <c r="D60" s="297" t="s">
        <v>1027</v>
      </c>
      <c r="E60" s="295"/>
      <c r="F60" s="617"/>
      <c r="G60" s="336">
        <v>1200</v>
      </c>
      <c r="H60" s="336">
        <v>0</v>
      </c>
      <c r="I60" s="281">
        <f t="shared" si="7"/>
        <v>1200</v>
      </c>
      <c r="J60" s="336"/>
      <c r="K60" s="336"/>
      <c r="L60" s="336">
        <f t="shared" si="0"/>
        <v>0</v>
      </c>
      <c r="M60" s="336">
        <f t="shared" si="2"/>
        <v>1200</v>
      </c>
      <c r="N60" s="336">
        <f t="shared" si="3"/>
        <v>0</v>
      </c>
      <c r="O60" s="336">
        <f t="shared" si="1"/>
        <v>1200</v>
      </c>
    </row>
    <row r="61" spans="1:15" ht="12.95" customHeight="1" x14ac:dyDescent="0.2">
      <c r="A61" s="274"/>
      <c r="B61" s="275"/>
      <c r="C61" s="276" t="s">
        <v>413</v>
      </c>
      <c r="D61" s="297" t="s">
        <v>1028</v>
      </c>
      <c r="E61" s="295"/>
      <c r="F61" s="617"/>
      <c r="G61" s="336">
        <v>1200</v>
      </c>
      <c r="H61" s="336">
        <v>0</v>
      </c>
      <c r="I61" s="281">
        <f t="shared" si="7"/>
        <v>1200</v>
      </c>
      <c r="J61" s="336"/>
      <c r="K61" s="336"/>
      <c r="L61" s="336">
        <f t="shared" si="0"/>
        <v>0</v>
      </c>
      <c r="M61" s="336">
        <f t="shared" si="2"/>
        <v>1200</v>
      </c>
      <c r="N61" s="336">
        <f t="shared" si="3"/>
        <v>0</v>
      </c>
      <c r="O61" s="336">
        <f t="shared" si="1"/>
        <v>1200</v>
      </c>
    </row>
    <row r="62" spans="1:15" ht="12.95" customHeight="1" x14ac:dyDescent="0.2">
      <c r="A62" s="274"/>
      <c r="B62" s="275"/>
      <c r="C62" s="276" t="s">
        <v>414</v>
      </c>
      <c r="D62" s="297" t="s">
        <v>1029</v>
      </c>
      <c r="E62" s="295"/>
      <c r="F62" s="617"/>
      <c r="G62" s="336">
        <v>1000</v>
      </c>
      <c r="H62" s="336">
        <v>0</v>
      </c>
      <c r="I62" s="281">
        <f t="shared" si="7"/>
        <v>1000</v>
      </c>
      <c r="J62" s="336"/>
      <c r="K62" s="336"/>
      <c r="L62" s="336">
        <f t="shared" si="0"/>
        <v>0</v>
      </c>
      <c r="M62" s="336">
        <f t="shared" si="2"/>
        <v>1000</v>
      </c>
      <c r="N62" s="336">
        <f t="shared" si="3"/>
        <v>0</v>
      </c>
      <c r="O62" s="336">
        <f t="shared" si="1"/>
        <v>1000</v>
      </c>
    </row>
    <row r="63" spans="1:15" ht="12.95" customHeight="1" x14ac:dyDescent="0.2">
      <c r="A63" s="274"/>
      <c r="B63" s="275"/>
      <c r="C63" s="276" t="s">
        <v>503</v>
      </c>
      <c r="D63" s="297" t="s">
        <v>504</v>
      </c>
      <c r="E63" s="295"/>
      <c r="F63" s="617"/>
      <c r="G63" s="336">
        <v>1400</v>
      </c>
      <c r="H63" s="336">
        <v>0</v>
      </c>
      <c r="I63" s="281">
        <f t="shared" si="7"/>
        <v>1400</v>
      </c>
      <c r="J63" s="336"/>
      <c r="K63" s="336"/>
      <c r="L63" s="336">
        <f t="shared" si="0"/>
        <v>0</v>
      </c>
      <c r="M63" s="336">
        <f t="shared" si="2"/>
        <v>1400</v>
      </c>
      <c r="N63" s="336">
        <f t="shared" si="3"/>
        <v>0</v>
      </c>
      <c r="O63" s="336">
        <f t="shared" si="1"/>
        <v>1400</v>
      </c>
    </row>
    <row r="64" spans="1:15" ht="12.95" customHeight="1" x14ac:dyDescent="0.2">
      <c r="A64" s="274"/>
      <c r="B64" s="275"/>
      <c r="C64" s="276" t="s">
        <v>933</v>
      </c>
      <c r="D64" s="592" t="s">
        <v>934</v>
      </c>
      <c r="E64" s="295"/>
      <c r="F64" s="617"/>
      <c r="G64" s="336">
        <v>0</v>
      </c>
      <c r="H64" s="336">
        <v>24</v>
      </c>
      <c r="I64" s="281">
        <f t="shared" si="7"/>
        <v>24</v>
      </c>
      <c r="J64" s="336"/>
      <c r="K64" s="336"/>
      <c r="L64" s="336">
        <f t="shared" si="0"/>
        <v>0</v>
      </c>
      <c r="M64" s="336">
        <f t="shared" si="2"/>
        <v>0</v>
      </c>
      <c r="N64" s="336">
        <f t="shared" si="3"/>
        <v>24</v>
      </c>
      <c r="O64" s="336">
        <f t="shared" si="1"/>
        <v>24</v>
      </c>
    </row>
    <row r="65" spans="1:15" ht="12.95" customHeight="1" x14ac:dyDescent="0.2">
      <c r="A65" s="274"/>
      <c r="B65" s="275"/>
      <c r="C65" s="292"/>
      <c r="D65" s="285" t="s">
        <v>1004</v>
      </c>
      <c r="E65" s="278"/>
      <c r="F65" s="615"/>
      <c r="G65" s="336">
        <v>0</v>
      </c>
      <c r="H65" s="336">
        <v>0</v>
      </c>
      <c r="I65" s="281">
        <f t="shared" si="7"/>
        <v>0</v>
      </c>
      <c r="J65" s="336"/>
      <c r="K65" s="336"/>
      <c r="L65" s="336">
        <f t="shared" si="0"/>
        <v>0</v>
      </c>
      <c r="M65" s="336">
        <f t="shared" si="2"/>
        <v>0</v>
      </c>
      <c r="N65" s="336">
        <f t="shared" si="3"/>
        <v>0</v>
      </c>
      <c r="O65" s="336">
        <f t="shared" si="1"/>
        <v>0</v>
      </c>
    </row>
    <row r="66" spans="1:15" ht="12.95" customHeight="1" x14ac:dyDescent="0.2">
      <c r="A66" s="274"/>
      <c r="B66" s="275"/>
      <c r="C66" s="298" t="s">
        <v>1030</v>
      </c>
      <c r="D66" s="299" t="s">
        <v>352</v>
      </c>
      <c r="E66" s="278"/>
      <c r="F66" s="615"/>
      <c r="G66" s="336">
        <v>2653</v>
      </c>
      <c r="H66" s="336">
        <v>0</v>
      </c>
      <c r="I66" s="281">
        <f t="shared" si="7"/>
        <v>2653</v>
      </c>
      <c r="J66" s="336"/>
      <c r="K66" s="336"/>
      <c r="L66" s="336">
        <f t="shared" si="0"/>
        <v>0</v>
      </c>
      <c r="M66" s="336">
        <f t="shared" si="2"/>
        <v>2653</v>
      </c>
      <c r="N66" s="336">
        <f t="shared" si="3"/>
        <v>0</v>
      </c>
      <c r="O66" s="336">
        <f t="shared" si="1"/>
        <v>2653</v>
      </c>
    </row>
    <row r="67" spans="1:15" ht="12.95" customHeight="1" x14ac:dyDescent="0.2">
      <c r="A67" s="274"/>
      <c r="B67" s="275"/>
      <c r="C67" s="292" t="s">
        <v>843</v>
      </c>
      <c r="D67" s="300" t="s">
        <v>848</v>
      </c>
      <c r="E67" s="278"/>
      <c r="F67" s="615"/>
      <c r="G67" s="336"/>
      <c r="H67" s="336"/>
      <c r="I67" s="281">
        <f t="shared" si="7"/>
        <v>0</v>
      </c>
      <c r="J67" s="336"/>
      <c r="K67" s="336"/>
      <c r="L67" s="336"/>
      <c r="M67" s="336"/>
      <c r="N67" s="336"/>
      <c r="O67" s="336"/>
    </row>
    <row r="68" spans="1:15" ht="12.95" customHeight="1" x14ac:dyDescent="0.2">
      <c r="A68" s="274"/>
      <c r="B68" s="275"/>
      <c r="C68" s="276" t="s">
        <v>849</v>
      </c>
      <c r="D68" s="301" t="s">
        <v>353</v>
      </c>
      <c r="E68" s="278"/>
      <c r="F68" s="615"/>
      <c r="G68" s="336">
        <v>9862</v>
      </c>
      <c r="H68" s="336">
        <v>0</v>
      </c>
      <c r="I68" s="281">
        <f t="shared" si="7"/>
        <v>9862</v>
      </c>
      <c r="J68" s="336"/>
      <c r="K68" s="336"/>
      <c r="L68" s="336">
        <f t="shared" si="0"/>
        <v>0</v>
      </c>
      <c r="M68" s="336">
        <f t="shared" si="2"/>
        <v>9862</v>
      </c>
      <c r="N68" s="336">
        <f t="shared" si="3"/>
        <v>0</v>
      </c>
      <c r="O68" s="336">
        <f t="shared" si="1"/>
        <v>9862</v>
      </c>
    </row>
    <row r="69" spans="1:15" ht="12.95" customHeight="1" x14ac:dyDescent="0.2">
      <c r="A69" s="274"/>
      <c r="B69" s="275"/>
      <c r="C69" s="276" t="s">
        <v>850</v>
      </c>
      <c r="D69" s="301" t="s">
        <v>1031</v>
      </c>
      <c r="E69" s="278"/>
      <c r="F69" s="615"/>
      <c r="G69" s="336">
        <v>8000</v>
      </c>
      <c r="H69" s="336">
        <v>0</v>
      </c>
      <c r="I69" s="281">
        <f t="shared" si="7"/>
        <v>8000</v>
      </c>
      <c r="J69" s="336"/>
      <c r="K69" s="336"/>
      <c r="L69" s="336">
        <f t="shared" si="0"/>
        <v>0</v>
      </c>
      <c r="M69" s="336">
        <f t="shared" si="2"/>
        <v>8000</v>
      </c>
      <c r="N69" s="336">
        <f t="shared" si="3"/>
        <v>0</v>
      </c>
      <c r="O69" s="336">
        <f t="shared" si="1"/>
        <v>8000</v>
      </c>
    </row>
    <row r="70" spans="1:15" ht="12.95" customHeight="1" x14ac:dyDescent="0.2">
      <c r="A70" s="274"/>
      <c r="B70" s="275"/>
      <c r="C70" s="276" t="s">
        <v>851</v>
      </c>
      <c r="D70" s="301" t="s">
        <v>1032</v>
      </c>
      <c r="E70" s="278"/>
      <c r="F70" s="615"/>
      <c r="G70" s="336">
        <v>3000</v>
      </c>
      <c r="H70" s="336">
        <v>0</v>
      </c>
      <c r="I70" s="281">
        <f t="shared" si="7"/>
        <v>3000</v>
      </c>
      <c r="J70" s="336"/>
      <c r="K70" s="336"/>
      <c r="L70" s="336">
        <f t="shared" si="0"/>
        <v>0</v>
      </c>
      <c r="M70" s="336">
        <f t="shared" si="2"/>
        <v>3000</v>
      </c>
      <c r="N70" s="336">
        <f t="shared" si="3"/>
        <v>0</v>
      </c>
      <c r="O70" s="336">
        <f t="shared" si="1"/>
        <v>3000</v>
      </c>
    </row>
    <row r="71" spans="1:15" ht="12.95" customHeight="1" x14ac:dyDescent="0.2">
      <c r="A71" s="274"/>
      <c r="B71" s="275"/>
      <c r="C71" s="276" t="s">
        <v>852</v>
      </c>
      <c r="D71" s="290" t="s">
        <v>1033</v>
      </c>
      <c r="E71" s="278"/>
      <c r="F71" s="615" t="s">
        <v>924</v>
      </c>
      <c r="G71" s="336">
        <v>1000</v>
      </c>
      <c r="H71" s="336">
        <v>0</v>
      </c>
      <c r="I71" s="281">
        <f t="shared" si="7"/>
        <v>1000</v>
      </c>
      <c r="J71" s="336">
        <v>2918</v>
      </c>
      <c r="K71" s="336"/>
      <c r="L71" s="336">
        <f t="shared" si="0"/>
        <v>2918</v>
      </c>
      <c r="M71" s="336">
        <f t="shared" si="2"/>
        <v>3918</v>
      </c>
      <c r="N71" s="336">
        <f t="shared" si="3"/>
        <v>0</v>
      </c>
      <c r="O71" s="336">
        <f t="shared" si="1"/>
        <v>3918</v>
      </c>
    </row>
    <row r="72" spans="1:15" ht="12.95" customHeight="1" x14ac:dyDescent="0.2">
      <c r="A72" s="274"/>
      <c r="B72" s="275"/>
      <c r="C72" s="276" t="s">
        <v>853</v>
      </c>
      <c r="D72" s="301" t="s">
        <v>1034</v>
      </c>
      <c r="E72" s="278"/>
      <c r="F72" s="615"/>
      <c r="G72" s="336">
        <v>2000</v>
      </c>
      <c r="H72" s="336">
        <v>0</v>
      </c>
      <c r="I72" s="281">
        <f t="shared" si="7"/>
        <v>2000</v>
      </c>
      <c r="J72" s="336"/>
      <c r="K72" s="336"/>
      <c r="L72" s="336">
        <f t="shared" si="0"/>
        <v>0</v>
      </c>
      <c r="M72" s="336">
        <f t="shared" si="2"/>
        <v>2000</v>
      </c>
      <c r="N72" s="336">
        <f t="shared" si="3"/>
        <v>0</v>
      </c>
      <c r="O72" s="336">
        <f t="shared" si="1"/>
        <v>2000</v>
      </c>
    </row>
    <row r="73" spans="1:15" ht="12.95" customHeight="1" x14ac:dyDescent="0.2">
      <c r="A73" s="274"/>
      <c r="B73" s="275"/>
      <c r="C73" s="276" t="s">
        <v>854</v>
      </c>
      <c r="D73" s="302" t="s">
        <v>1035</v>
      </c>
      <c r="E73" s="278"/>
      <c r="F73" s="615"/>
      <c r="G73" s="336">
        <v>2000</v>
      </c>
      <c r="H73" s="336">
        <v>0</v>
      </c>
      <c r="I73" s="281">
        <f t="shared" si="7"/>
        <v>2000</v>
      </c>
      <c r="J73" s="336"/>
      <c r="K73" s="336"/>
      <c r="L73" s="336">
        <f t="shared" si="0"/>
        <v>0</v>
      </c>
      <c r="M73" s="336">
        <f t="shared" si="2"/>
        <v>2000</v>
      </c>
      <c r="N73" s="336">
        <f t="shared" si="3"/>
        <v>0</v>
      </c>
      <c r="O73" s="336">
        <f t="shared" si="1"/>
        <v>2000</v>
      </c>
    </row>
    <row r="74" spans="1:15" ht="12.95" customHeight="1" x14ac:dyDescent="0.2">
      <c r="A74" s="274"/>
      <c r="B74" s="275"/>
      <c r="C74" s="276" t="s">
        <v>855</v>
      </c>
      <c r="D74" s="301" t="s">
        <v>1036</v>
      </c>
      <c r="E74" s="278"/>
      <c r="F74" s="615"/>
      <c r="G74" s="336">
        <v>10000</v>
      </c>
      <c r="H74" s="336">
        <v>0</v>
      </c>
      <c r="I74" s="281">
        <f t="shared" si="7"/>
        <v>10000</v>
      </c>
      <c r="J74" s="336"/>
      <c r="K74" s="336"/>
      <c r="L74" s="336">
        <f t="shared" si="0"/>
        <v>0</v>
      </c>
      <c r="M74" s="336">
        <f t="shared" si="2"/>
        <v>10000</v>
      </c>
      <c r="N74" s="336">
        <f t="shared" si="3"/>
        <v>0</v>
      </c>
      <c r="O74" s="336">
        <f t="shared" si="1"/>
        <v>10000</v>
      </c>
    </row>
    <row r="75" spans="1:15" ht="12.95" customHeight="1" x14ac:dyDescent="0.2">
      <c r="A75" s="274"/>
      <c r="B75" s="275"/>
      <c r="C75" s="276" t="s">
        <v>345</v>
      </c>
      <c r="D75" s="290" t="s">
        <v>346</v>
      </c>
      <c r="E75" s="278"/>
      <c r="F75" s="615" t="s">
        <v>924</v>
      </c>
      <c r="G75" s="336"/>
      <c r="H75" s="336"/>
      <c r="I75" s="281"/>
      <c r="J75" s="336">
        <v>400</v>
      </c>
      <c r="K75" s="336"/>
      <c r="L75" s="336">
        <f t="shared" si="0"/>
        <v>400</v>
      </c>
      <c r="M75" s="336">
        <f t="shared" si="2"/>
        <v>400</v>
      </c>
      <c r="N75" s="336"/>
      <c r="O75" s="336">
        <f t="shared" si="1"/>
        <v>400</v>
      </c>
    </row>
    <row r="76" spans="1:15" ht="12.95" customHeight="1" x14ac:dyDescent="0.2">
      <c r="A76" s="274"/>
      <c r="B76" s="275"/>
      <c r="C76" s="292"/>
      <c r="D76" s="285" t="s">
        <v>1004</v>
      </c>
      <c r="E76" s="278"/>
      <c r="F76" s="615"/>
      <c r="G76" s="336"/>
      <c r="H76" s="336"/>
      <c r="I76" s="281">
        <f t="shared" si="7"/>
        <v>0</v>
      </c>
      <c r="J76" s="336"/>
      <c r="K76" s="336"/>
      <c r="L76" s="336"/>
      <c r="M76" s="336"/>
      <c r="N76" s="336"/>
      <c r="O76" s="336"/>
    </row>
    <row r="77" spans="1:15" ht="24.95" customHeight="1" x14ac:dyDescent="0.2">
      <c r="A77" s="282"/>
      <c r="B77" s="283"/>
      <c r="C77" s="276" t="s">
        <v>733</v>
      </c>
      <c r="D77" s="303" t="s">
        <v>577</v>
      </c>
      <c r="E77" s="278"/>
      <c r="F77" s="615"/>
      <c r="G77" s="336">
        <v>1415</v>
      </c>
      <c r="H77" s="336">
        <v>0</v>
      </c>
      <c r="I77" s="281">
        <f t="shared" si="7"/>
        <v>1415</v>
      </c>
      <c r="J77" s="336"/>
      <c r="K77" s="336"/>
      <c r="L77" s="336">
        <f t="shared" si="0"/>
        <v>0</v>
      </c>
      <c r="M77" s="336">
        <f t="shared" si="2"/>
        <v>1415</v>
      </c>
      <c r="N77" s="336">
        <f t="shared" si="3"/>
        <v>0</v>
      </c>
      <c r="O77" s="336">
        <f t="shared" si="1"/>
        <v>1415</v>
      </c>
    </row>
    <row r="78" spans="1:15" ht="15" customHeight="1" x14ac:dyDescent="0.2">
      <c r="A78" s="274"/>
      <c r="B78" s="275"/>
      <c r="C78" s="276" t="s">
        <v>850</v>
      </c>
      <c r="D78" s="304" t="s">
        <v>1037</v>
      </c>
      <c r="E78" s="278"/>
      <c r="F78" s="615"/>
      <c r="G78" s="336">
        <v>1987</v>
      </c>
      <c r="H78" s="336">
        <v>0</v>
      </c>
      <c r="I78" s="281">
        <f t="shared" si="7"/>
        <v>1987</v>
      </c>
      <c r="J78" s="336"/>
      <c r="K78" s="336"/>
      <c r="L78" s="336">
        <f t="shared" si="0"/>
        <v>0</v>
      </c>
      <c r="M78" s="336">
        <f t="shared" si="2"/>
        <v>1987</v>
      </c>
      <c r="N78" s="336">
        <f t="shared" si="3"/>
        <v>0</v>
      </c>
      <c r="O78" s="336">
        <f t="shared" si="1"/>
        <v>1987</v>
      </c>
    </row>
    <row r="79" spans="1:15" ht="12.95" customHeight="1" x14ac:dyDescent="0.2">
      <c r="A79" s="274"/>
      <c r="B79" s="275"/>
      <c r="C79" s="276" t="s">
        <v>851</v>
      </c>
      <c r="D79" s="303" t="s">
        <v>1038</v>
      </c>
      <c r="E79" s="278"/>
      <c r="F79" s="615"/>
      <c r="G79" s="336">
        <v>1380</v>
      </c>
      <c r="H79" s="336">
        <v>0</v>
      </c>
      <c r="I79" s="281">
        <f t="shared" si="7"/>
        <v>1380</v>
      </c>
      <c r="J79" s="336"/>
      <c r="K79" s="336"/>
      <c r="L79" s="336">
        <f t="shared" si="0"/>
        <v>0</v>
      </c>
      <c r="M79" s="336">
        <f t="shared" si="2"/>
        <v>1380</v>
      </c>
      <c r="N79" s="336">
        <f t="shared" si="3"/>
        <v>0</v>
      </c>
      <c r="O79" s="336">
        <f t="shared" si="1"/>
        <v>1380</v>
      </c>
    </row>
    <row r="80" spans="1:15" ht="12.95" customHeight="1" x14ac:dyDescent="0.2">
      <c r="A80" s="274"/>
      <c r="B80" s="275"/>
      <c r="C80" s="292" t="s">
        <v>844</v>
      </c>
      <c r="D80" s="293" t="s">
        <v>760</v>
      </c>
      <c r="E80" s="278"/>
      <c r="F80" s="615"/>
      <c r="G80" s="336"/>
      <c r="H80" s="336"/>
      <c r="I80" s="281">
        <f t="shared" si="7"/>
        <v>0</v>
      </c>
      <c r="J80" s="336"/>
      <c r="K80" s="336"/>
      <c r="L80" s="336"/>
      <c r="M80" s="336"/>
      <c r="N80" s="336"/>
      <c r="O80" s="336"/>
    </row>
    <row r="81" spans="1:15" ht="12.95" customHeight="1" x14ac:dyDescent="0.2">
      <c r="A81" s="274"/>
      <c r="B81" s="275"/>
      <c r="C81" s="298" t="s">
        <v>887</v>
      </c>
      <c r="D81" s="305" t="s">
        <v>1039</v>
      </c>
      <c r="E81" s="278"/>
      <c r="F81" s="615"/>
      <c r="G81" s="336">
        <v>2000</v>
      </c>
      <c r="H81" s="336">
        <v>0</v>
      </c>
      <c r="I81" s="281">
        <f t="shared" si="7"/>
        <v>2000</v>
      </c>
      <c r="J81" s="336"/>
      <c r="K81" s="336"/>
      <c r="L81" s="336">
        <f t="shared" ref="L81:L148" si="8">SUM(J81:K81)</f>
        <v>0</v>
      </c>
      <c r="M81" s="336">
        <f t="shared" ref="M81:M150" si="9">SUM(G81+J81)</f>
        <v>2000</v>
      </c>
      <c r="N81" s="336">
        <f t="shared" ref="N81:N150" si="10">SUM(H81+K81)</f>
        <v>0</v>
      </c>
      <c r="O81" s="336">
        <f t="shared" ref="O81:O148" si="11">SUM(M81:N81)</f>
        <v>2000</v>
      </c>
    </row>
    <row r="82" spans="1:15" ht="12.95" customHeight="1" x14ac:dyDescent="0.2">
      <c r="A82" s="274"/>
      <c r="B82" s="275"/>
      <c r="C82" s="298" t="s">
        <v>888</v>
      </c>
      <c r="D82" s="305" t="s">
        <v>1040</v>
      </c>
      <c r="E82" s="278"/>
      <c r="F82" s="615"/>
      <c r="G82" s="336">
        <v>1000</v>
      </c>
      <c r="H82" s="336">
        <v>0</v>
      </c>
      <c r="I82" s="281">
        <f t="shared" si="7"/>
        <v>1000</v>
      </c>
      <c r="J82" s="336"/>
      <c r="K82" s="336"/>
      <c r="L82" s="336">
        <f t="shared" si="8"/>
        <v>0</v>
      </c>
      <c r="M82" s="336">
        <f t="shared" si="9"/>
        <v>1000</v>
      </c>
      <c r="N82" s="336">
        <f t="shared" si="10"/>
        <v>0</v>
      </c>
      <c r="O82" s="336">
        <f t="shared" si="11"/>
        <v>1000</v>
      </c>
    </row>
    <row r="83" spans="1:15" ht="12.95" customHeight="1" x14ac:dyDescent="0.2">
      <c r="A83" s="274"/>
      <c r="B83" s="275"/>
      <c r="C83" s="298" t="s">
        <v>889</v>
      </c>
      <c r="D83" s="306" t="s">
        <v>1041</v>
      </c>
      <c r="E83" s="278"/>
      <c r="F83" s="615" t="s">
        <v>924</v>
      </c>
      <c r="G83" s="336">
        <v>635</v>
      </c>
      <c r="H83" s="336">
        <v>0</v>
      </c>
      <c r="I83" s="281">
        <f t="shared" si="7"/>
        <v>635</v>
      </c>
      <c r="J83" s="336">
        <v>-141</v>
      </c>
      <c r="K83" s="336"/>
      <c r="L83" s="336">
        <f t="shared" si="8"/>
        <v>-141</v>
      </c>
      <c r="M83" s="336">
        <f t="shared" si="9"/>
        <v>494</v>
      </c>
      <c r="N83" s="336">
        <f t="shared" si="10"/>
        <v>0</v>
      </c>
      <c r="O83" s="336">
        <f t="shared" si="11"/>
        <v>494</v>
      </c>
    </row>
    <row r="84" spans="1:15" ht="12.95" customHeight="1" x14ac:dyDescent="0.2">
      <c r="A84" s="274"/>
      <c r="B84" s="275"/>
      <c r="C84" s="298" t="s">
        <v>890</v>
      </c>
      <c r="D84" s="256" t="s">
        <v>1042</v>
      </c>
      <c r="E84" s="278"/>
      <c r="F84" s="615" t="s">
        <v>693</v>
      </c>
      <c r="G84" s="336">
        <v>0</v>
      </c>
      <c r="H84" s="336">
        <v>800</v>
      </c>
      <c r="I84" s="281">
        <f t="shared" si="7"/>
        <v>800</v>
      </c>
      <c r="J84" s="336"/>
      <c r="K84" s="336"/>
      <c r="L84" s="336">
        <f t="shared" si="8"/>
        <v>0</v>
      </c>
      <c r="M84" s="336">
        <f t="shared" si="9"/>
        <v>0</v>
      </c>
      <c r="N84" s="336">
        <f t="shared" si="10"/>
        <v>800</v>
      </c>
      <c r="O84" s="336">
        <f t="shared" si="11"/>
        <v>800</v>
      </c>
    </row>
    <row r="85" spans="1:15" ht="12.95" customHeight="1" x14ac:dyDescent="0.2">
      <c r="A85" s="274"/>
      <c r="B85" s="275"/>
      <c r="C85" s="298" t="s">
        <v>1043</v>
      </c>
      <c r="D85" s="256" t="s">
        <v>1044</v>
      </c>
      <c r="E85" s="278"/>
      <c r="F85" s="615"/>
      <c r="G85" s="336">
        <v>0</v>
      </c>
      <c r="H85" s="336">
        <v>0</v>
      </c>
      <c r="I85" s="281">
        <f t="shared" si="7"/>
        <v>0</v>
      </c>
      <c r="J85" s="336"/>
      <c r="K85" s="336"/>
      <c r="L85" s="336">
        <f t="shared" si="8"/>
        <v>0</v>
      </c>
      <c r="M85" s="336">
        <f t="shared" si="9"/>
        <v>0</v>
      </c>
      <c r="N85" s="336">
        <f t="shared" si="10"/>
        <v>0</v>
      </c>
      <c r="O85" s="336">
        <f t="shared" si="11"/>
        <v>0</v>
      </c>
    </row>
    <row r="86" spans="1:15" ht="12.95" customHeight="1" x14ac:dyDescent="0.2">
      <c r="A86" s="274"/>
      <c r="B86" s="275"/>
      <c r="C86" s="298" t="s">
        <v>1045</v>
      </c>
      <c r="D86" s="256" t="s">
        <v>1046</v>
      </c>
      <c r="E86" s="278"/>
      <c r="F86" s="615"/>
      <c r="G86" s="336">
        <v>1000</v>
      </c>
      <c r="H86" s="336">
        <v>0</v>
      </c>
      <c r="I86" s="281">
        <f t="shared" si="7"/>
        <v>1000</v>
      </c>
      <c r="J86" s="336"/>
      <c r="K86" s="336"/>
      <c r="L86" s="336">
        <f t="shared" si="8"/>
        <v>0</v>
      </c>
      <c r="M86" s="336">
        <f t="shared" si="9"/>
        <v>1000</v>
      </c>
      <c r="N86" s="336">
        <f t="shared" si="10"/>
        <v>0</v>
      </c>
      <c r="O86" s="336">
        <f t="shared" si="11"/>
        <v>1000</v>
      </c>
    </row>
    <row r="87" spans="1:15" ht="12.95" customHeight="1" x14ac:dyDescent="0.2">
      <c r="A87" s="274"/>
      <c r="B87" s="275"/>
      <c r="C87" s="298" t="s">
        <v>1047</v>
      </c>
      <c r="D87" s="256" t="s">
        <v>1048</v>
      </c>
      <c r="E87" s="278"/>
      <c r="F87" s="615"/>
      <c r="G87" s="336">
        <v>1500</v>
      </c>
      <c r="H87" s="336">
        <v>0</v>
      </c>
      <c r="I87" s="281">
        <f t="shared" si="7"/>
        <v>1500</v>
      </c>
      <c r="J87" s="336"/>
      <c r="K87" s="336"/>
      <c r="L87" s="336">
        <f t="shared" si="8"/>
        <v>0</v>
      </c>
      <c r="M87" s="336">
        <f t="shared" si="9"/>
        <v>1500</v>
      </c>
      <c r="N87" s="336">
        <f t="shared" si="10"/>
        <v>0</v>
      </c>
      <c r="O87" s="336">
        <f t="shared" si="11"/>
        <v>1500</v>
      </c>
    </row>
    <row r="88" spans="1:15" ht="12.95" customHeight="1" x14ac:dyDescent="0.2">
      <c r="A88" s="274"/>
      <c r="B88" s="275"/>
      <c r="C88" s="298" t="s">
        <v>1049</v>
      </c>
      <c r="D88" s="307" t="s">
        <v>1050</v>
      </c>
      <c r="E88" s="278"/>
      <c r="F88" s="615"/>
      <c r="G88" s="336">
        <v>1000</v>
      </c>
      <c r="H88" s="336">
        <v>0</v>
      </c>
      <c r="I88" s="281">
        <f t="shared" si="7"/>
        <v>1000</v>
      </c>
      <c r="J88" s="336"/>
      <c r="K88" s="336"/>
      <c r="L88" s="336">
        <f t="shared" si="8"/>
        <v>0</v>
      </c>
      <c r="M88" s="336">
        <f t="shared" si="9"/>
        <v>1000</v>
      </c>
      <c r="N88" s="336">
        <f t="shared" si="10"/>
        <v>0</v>
      </c>
      <c r="O88" s="336">
        <f t="shared" si="11"/>
        <v>1000</v>
      </c>
    </row>
    <row r="89" spans="1:15" ht="12.95" customHeight="1" x14ac:dyDescent="0.2">
      <c r="A89" s="274"/>
      <c r="B89" s="275"/>
      <c r="C89" s="298" t="s">
        <v>1051</v>
      </c>
      <c r="D89" s="284" t="s">
        <v>1052</v>
      </c>
      <c r="E89" s="278"/>
      <c r="F89" s="615"/>
      <c r="G89" s="336">
        <v>2500</v>
      </c>
      <c r="H89" s="336">
        <v>0</v>
      </c>
      <c r="I89" s="281">
        <f t="shared" si="7"/>
        <v>2500</v>
      </c>
      <c r="J89" s="336"/>
      <c r="K89" s="336"/>
      <c r="L89" s="336">
        <f t="shared" si="8"/>
        <v>0</v>
      </c>
      <c r="M89" s="336">
        <f t="shared" si="9"/>
        <v>2500</v>
      </c>
      <c r="N89" s="336">
        <f t="shared" si="10"/>
        <v>0</v>
      </c>
      <c r="O89" s="336">
        <f t="shared" si="11"/>
        <v>2500</v>
      </c>
    </row>
    <row r="90" spans="1:15" ht="12.95" customHeight="1" x14ac:dyDescent="0.2">
      <c r="A90" s="274"/>
      <c r="B90" s="275"/>
      <c r="C90" s="298" t="s">
        <v>1053</v>
      </c>
      <c r="D90" s="284" t="s">
        <v>1054</v>
      </c>
      <c r="E90" s="278"/>
      <c r="F90" s="615"/>
      <c r="G90" s="336">
        <v>0</v>
      </c>
      <c r="H90" s="336">
        <v>0</v>
      </c>
      <c r="I90" s="281">
        <f t="shared" si="7"/>
        <v>0</v>
      </c>
      <c r="J90" s="336"/>
      <c r="K90" s="336"/>
      <c r="L90" s="336">
        <f t="shared" si="8"/>
        <v>0</v>
      </c>
      <c r="M90" s="336">
        <f t="shared" si="9"/>
        <v>0</v>
      </c>
      <c r="N90" s="336">
        <f t="shared" si="10"/>
        <v>0</v>
      </c>
      <c r="O90" s="336">
        <f t="shared" si="11"/>
        <v>0</v>
      </c>
    </row>
    <row r="91" spans="1:15" ht="24.95" customHeight="1" x14ac:dyDescent="0.2">
      <c r="A91" s="274"/>
      <c r="B91" s="275"/>
      <c r="C91" s="298" t="s">
        <v>1055</v>
      </c>
      <c r="D91" s="308" t="s">
        <v>1056</v>
      </c>
      <c r="E91" s="278"/>
      <c r="F91" s="615"/>
      <c r="G91" s="336">
        <v>2500</v>
      </c>
      <c r="H91" s="336">
        <v>0</v>
      </c>
      <c r="I91" s="281">
        <f t="shared" si="7"/>
        <v>2500</v>
      </c>
      <c r="J91" s="336"/>
      <c r="K91" s="336"/>
      <c r="L91" s="336">
        <f t="shared" si="8"/>
        <v>0</v>
      </c>
      <c r="M91" s="336">
        <f t="shared" si="9"/>
        <v>2500</v>
      </c>
      <c r="N91" s="336">
        <f t="shared" si="10"/>
        <v>0</v>
      </c>
      <c r="O91" s="336">
        <f t="shared" si="11"/>
        <v>2500</v>
      </c>
    </row>
    <row r="92" spans="1:15" ht="12.95" customHeight="1" x14ac:dyDescent="0.2">
      <c r="A92" s="274"/>
      <c r="B92" s="275"/>
      <c r="C92" s="298" t="s">
        <v>1057</v>
      </c>
      <c r="D92" s="284" t="s">
        <v>1058</v>
      </c>
      <c r="E92" s="278"/>
      <c r="F92" s="615"/>
      <c r="G92" s="336">
        <v>1000</v>
      </c>
      <c r="H92" s="336">
        <v>0</v>
      </c>
      <c r="I92" s="281">
        <f t="shared" si="7"/>
        <v>1000</v>
      </c>
      <c r="J92" s="336"/>
      <c r="K92" s="336"/>
      <c r="L92" s="336">
        <f t="shared" si="8"/>
        <v>0</v>
      </c>
      <c r="M92" s="336">
        <f t="shared" si="9"/>
        <v>1000</v>
      </c>
      <c r="N92" s="336">
        <f t="shared" si="10"/>
        <v>0</v>
      </c>
      <c r="O92" s="336">
        <f t="shared" si="11"/>
        <v>1000</v>
      </c>
    </row>
    <row r="93" spans="1:15" ht="24.95" customHeight="1" x14ac:dyDescent="0.2">
      <c r="A93" s="274"/>
      <c r="B93" s="275"/>
      <c r="C93" s="298" t="s">
        <v>1059</v>
      </c>
      <c r="D93" s="284" t="s">
        <v>1060</v>
      </c>
      <c r="E93" s="278"/>
      <c r="F93" s="615"/>
      <c r="G93" s="336">
        <v>800</v>
      </c>
      <c r="H93" s="336">
        <v>0</v>
      </c>
      <c r="I93" s="281">
        <f t="shared" si="7"/>
        <v>800</v>
      </c>
      <c r="J93" s="336"/>
      <c r="K93" s="336"/>
      <c r="L93" s="336">
        <f t="shared" si="8"/>
        <v>0</v>
      </c>
      <c r="M93" s="336">
        <f t="shared" si="9"/>
        <v>800</v>
      </c>
      <c r="N93" s="336">
        <f t="shared" si="10"/>
        <v>0</v>
      </c>
      <c r="O93" s="336">
        <f t="shared" si="11"/>
        <v>800</v>
      </c>
    </row>
    <row r="94" spans="1:15" ht="12.95" customHeight="1" x14ac:dyDescent="0.2">
      <c r="A94" s="274"/>
      <c r="B94" s="275"/>
      <c r="C94" s="298" t="s">
        <v>1061</v>
      </c>
      <c r="D94" s="309" t="s">
        <v>1062</v>
      </c>
      <c r="E94" s="278"/>
      <c r="F94" s="615"/>
      <c r="G94" s="336">
        <v>3000</v>
      </c>
      <c r="H94" s="336">
        <v>0</v>
      </c>
      <c r="I94" s="281">
        <f t="shared" si="7"/>
        <v>3000</v>
      </c>
      <c r="J94" s="336"/>
      <c r="K94" s="336"/>
      <c r="L94" s="336">
        <f t="shared" si="8"/>
        <v>0</v>
      </c>
      <c r="M94" s="336">
        <f t="shared" si="9"/>
        <v>3000</v>
      </c>
      <c r="N94" s="336">
        <f t="shared" si="10"/>
        <v>0</v>
      </c>
      <c r="O94" s="336">
        <f t="shared" si="11"/>
        <v>3000</v>
      </c>
    </row>
    <row r="95" spans="1:15" ht="12.95" customHeight="1" x14ac:dyDescent="0.2">
      <c r="A95" s="274"/>
      <c r="B95" s="275"/>
      <c r="C95" s="298" t="s">
        <v>1063</v>
      </c>
      <c r="D95" s="309" t="s">
        <v>1064</v>
      </c>
      <c r="E95" s="278"/>
      <c r="F95" s="615"/>
      <c r="G95" s="336">
        <v>2000</v>
      </c>
      <c r="H95" s="336">
        <v>0</v>
      </c>
      <c r="I95" s="281">
        <f t="shared" si="7"/>
        <v>2000</v>
      </c>
      <c r="J95" s="336"/>
      <c r="K95" s="336"/>
      <c r="L95" s="336">
        <f t="shared" si="8"/>
        <v>0</v>
      </c>
      <c r="M95" s="336">
        <f t="shared" si="9"/>
        <v>2000</v>
      </c>
      <c r="N95" s="336">
        <f t="shared" si="10"/>
        <v>0</v>
      </c>
      <c r="O95" s="336">
        <f t="shared" si="11"/>
        <v>2000</v>
      </c>
    </row>
    <row r="96" spans="1:15" ht="24.95" customHeight="1" x14ac:dyDescent="0.2">
      <c r="A96" s="274"/>
      <c r="B96" s="275"/>
      <c r="C96" s="298" t="s">
        <v>1065</v>
      </c>
      <c r="D96" s="284" t="s">
        <v>1066</v>
      </c>
      <c r="E96" s="278"/>
      <c r="F96" s="615"/>
      <c r="G96" s="336">
        <v>1800</v>
      </c>
      <c r="H96" s="336">
        <v>0</v>
      </c>
      <c r="I96" s="281">
        <f t="shared" si="7"/>
        <v>1800</v>
      </c>
      <c r="J96" s="336"/>
      <c r="K96" s="336"/>
      <c r="L96" s="336">
        <f t="shared" si="8"/>
        <v>0</v>
      </c>
      <c r="M96" s="336">
        <f t="shared" si="9"/>
        <v>1800</v>
      </c>
      <c r="N96" s="336">
        <f t="shared" si="10"/>
        <v>0</v>
      </c>
      <c r="O96" s="336">
        <f t="shared" si="11"/>
        <v>1800</v>
      </c>
    </row>
    <row r="97" spans="1:15" ht="24.95" customHeight="1" x14ac:dyDescent="0.2">
      <c r="A97" s="274"/>
      <c r="B97" s="275"/>
      <c r="C97" s="298" t="s">
        <v>1067</v>
      </c>
      <c r="D97" s="284" t="s">
        <v>1068</v>
      </c>
      <c r="E97" s="278"/>
      <c r="F97" s="615"/>
      <c r="G97" s="336">
        <v>1500</v>
      </c>
      <c r="H97" s="336">
        <v>0</v>
      </c>
      <c r="I97" s="281">
        <f t="shared" si="7"/>
        <v>1500</v>
      </c>
      <c r="J97" s="336"/>
      <c r="K97" s="336"/>
      <c r="L97" s="336">
        <f t="shared" si="8"/>
        <v>0</v>
      </c>
      <c r="M97" s="336">
        <f t="shared" si="9"/>
        <v>1500</v>
      </c>
      <c r="N97" s="336">
        <f t="shared" si="10"/>
        <v>0</v>
      </c>
      <c r="O97" s="336">
        <f t="shared" si="11"/>
        <v>1500</v>
      </c>
    </row>
    <row r="98" spans="1:15" ht="12.95" customHeight="1" x14ac:dyDescent="0.2">
      <c r="A98" s="274"/>
      <c r="B98" s="275"/>
      <c r="C98" s="298" t="s">
        <v>1069</v>
      </c>
      <c r="D98" s="284" t="s">
        <v>1070</v>
      </c>
      <c r="E98" s="278"/>
      <c r="F98" s="615"/>
      <c r="G98" s="336">
        <v>8000</v>
      </c>
      <c r="H98" s="336">
        <v>0</v>
      </c>
      <c r="I98" s="281">
        <f t="shared" si="7"/>
        <v>8000</v>
      </c>
      <c r="J98" s="336"/>
      <c r="K98" s="336"/>
      <c r="L98" s="336">
        <f t="shared" si="8"/>
        <v>0</v>
      </c>
      <c r="M98" s="336">
        <f t="shared" si="9"/>
        <v>8000</v>
      </c>
      <c r="N98" s="336">
        <f t="shared" si="10"/>
        <v>0</v>
      </c>
      <c r="O98" s="336">
        <f t="shared" si="11"/>
        <v>8000</v>
      </c>
    </row>
    <row r="99" spans="1:15" ht="12.95" customHeight="1" x14ac:dyDescent="0.2">
      <c r="A99" s="274"/>
      <c r="B99" s="275"/>
      <c r="C99" s="298" t="s">
        <v>1071</v>
      </c>
      <c r="D99" s="310" t="s">
        <v>1072</v>
      </c>
      <c r="E99" s="278"/>
      <c r="F99" s="615"/>
      <c r="G99" s="336">
        <v>0</v>
      </c>
      <c r="H99" s="336">
        <v>6000</v>
      </c>
      <c r="I99" s="281">
        <f t="shared" si="7"/>
        <v>6000</v>
      </c>
      <c r="J99" s="336"/>
      <c r="K99" s="336"/>
      <c r="L99" s="336">
        <f t="shared" si="8"/>
        <v>0</v>
      </c>
      <c r="M99" s="336">
        <f t="shared" si="9"/>
        <v>0</v>
      </c>
      <c r="N99" s="336">
        <f t="shared" si="10"/>
        <v>6000</v>
      </c>
      <c r="O99" s="336">
        <f t="shared" si="11"/>
        <v>6000</v>
      </c>
    </row>
    <row r="100" spans="1:15" ht="12.95" customHeight="1" x14ac:dyDescent="0.2">
      <c r="A100" s="274"/>
      <c r="B100" s="275"/>
      <c r="C100" s="298" t="s">
        <v>1073</v>
      </c>
      <c r="D100" s="310" t="s">
        <v>1074</v>
      </c>
      <c r="E100" s="278"/>
      <c r="F100" s="615"/>
      <c r="G100" s="336">
        <v>500</v>
      </c>
      <c r="H100" s="336">
        <v>0</v>
      </c>
      <c r="I100" s="281">
        <f t="shared" si="7"/>
        <v>500</v>
      </c>
      <c r="J100" s="336"/>
      <c r="K100" s="336"/>
      <c r="L100" s="336">
        <f t="shared" si="8"/>
        <v>0</v>
      </c>
      <c r="M100" s="336">
        <f t="shared" si="9"/>
        <v>500</v>
      </c>
      <c r="N100" s="336">
        <f t="shared" si="10"/>
        <v>0</v>
      </c>
      <c r="O100" s="336">
        <f t="shared" si="11"/>
        <v>500</v>
      </c>
    </row>
    <row r="101" spans="1:15" ht="24.95" customHeight="1" x14ac:dyDescent="0.2">
      <c r="A101" s="274"/>
      <c r="B101" s="275"/>
      <c r="C101" s="298" t="s">
        <v>508</v>
      </c>
      <c r="D101" s="593" t="s">
        <v>528</v>
      </c>
      <c r="E101" s="278"/>
      <c r="F101" s="615"/>
      <c r="G101" s="336">
        <v>0</v>
      </c>
      <c r="H101" s="336">
        <v>500</v>
      </c>
      <c r="I101" s="281">
        <f t="shared" ref="I101:I122" si="12">SUM(G101:H101)</f>
        <v>500</v>
      </c>
      <c r="J101" s="336"/>
      <c r="K101" s="336"/>
      <c r="L101" s="336">
        <f t="shared" si="8"/>
        <v>0</v>
      </c>
      <c r="M101" s="336">
        <f t="shared" si="9"/>
        <v>0</v>
      </c>
      <c r="N101" s="336">
        <f t="shared" si="10"/>
        <v>500</v>
      </c>
      <c r="O101" s="336">
        <f t="shared" si="11"/>
        <v>500</v>
      </c>
    </row>
    <row r="102" spans="1:15" ht="12.95" customHeight="1" x14ac:dyDescent="0.2">
      <c r="A102" s="274"/>
      <c r="B102" s="275"/>
      <c r="C102" s="298" t="s">
        <v>509</v>
      </c>
      <c r="D102" s="593" t="s">
        <v>529</v>
      </c>
      <c r="E102" s="278"/>
      <c r="F102" s="615"/>
      <c r="G102" s="336">
        <v>997</v>
      </c>
      <c r="H102" s="336"/>
      <c r="I102" s="281">
        <f t="shared" si="12"/>
        <v>997</v>
      </c>
      <c r="J102" s="336"/>
      <c r="K102" s="336"/>
      <c r="L102" s="336">
        <f t="shared" si="8"/>
        <v>0</v>
      </c>
      <c r="M102" s="336">
        <f t="shared" si="9"/>
        <v>997</v>
      </c>
      <c r="N102" s="336"/>
      <c r="O102" s="336">
        <f t="shared" si="11"/>
        <v>997</v>
      </c>
    </row>
    <row r="103" spans="1:15" ht="12.95" customHeight="1" x14ac:dyDescent="0.2">
      <c r="A103" s="274"/>
      <c r="B103" s="275"/>
      <c r="C103" s="292"/>
      <c r="D103" s="285" t="s">
        <v>1004</v>
      </c>
      <c r="E103" s="278"/>
      <c r="F103" s="615"/>
      <c r="G103" s="336">
        <v>0</v>
      </c>
      <c r="H103" s="336">
        <v>0</v>
      </c>
      <c r="I103" s="281">
        <f t="shared" si="12"/>
        <v>0</v>
      </c>
      <c r="J103" s="336"/>
      <c r="K103" s="336"/>
      <c r="L103" s="336">
        <f t="shared" si="8"/>
        <v>0</v>
      </c>
      <c r="M103" s="336">
        <f t="shared" si="9"/>
        <v>0</v>
      </c>
      <c r="N103" s="336">
        <f t="shared" si="10"/>
        <v>0</v>
      </c>
      <c r="O103" s="336">
        <f t="shared" si="11"/>
        <v>0</v>
      </c>
    </row>
    <row r="104" spans="1:15" ht="12.95" customHeight="1" x14ac:dyDescent="0.2">
      <c r="A104" s="274"/>
      <c r="B104" s="275"/>
      <c r="C104" s="298" t="s">
        <v>354</v>
      </c>
      <c r="D104" s="311" t="s">
        <v>1075</v>
      </c>
      <c r="E104" s="278"/>
      <c r="F104" s="615"/>
      <c r="G104" s="336">
        <v>1905</v>
      </c>
      <c r="H104" s="336">
        <v>0</v>
      </c>
      <c r="I104" s="281">
        <f t="shared" si="12"/>
        <v>1905</v>
      </c>
      <c r="J104" s="336"/>
      <c r="K104" s="336"/>
      <c r="L104" s="336">
        <f t="shared" si="8"/>
        <v>0</v>
      </c>
      <c r="M104" s="336">
        <f t="shared" si="9"/>
        <v>1905</v>
      </c>
      <c r="N104" s="336">
        <f t="shared" si="10"/>
        <v>0</v>
      </c>
      <c r="O104" s="336">
        <f t="shared" si="11"/>
        <v>1905</v>
      </c>
    </row>
    <row r="105" spans="1:15" ht="12.95" customHeight="1" x14ac:dyDescent="0.2">
      <c r="A105" s="274"/>
      <c r="B105" s="275"/>
      <c r="C105" s="292" t="s">
        <v>897</v>
      </c>
      <c r="D105" s="300" t="s">
        <v>898</v>
      </c>
      <c r="E105" s="278"/>
      <c r="F105" s="615"/>
      <c r="G105" s="336"/>
      <c r="H105" s="336"/>
      <c r="I105" s="281">
        <f t="shared" si="12"/>
        <v>0</v>
      </c>
      <c r="J105" s="336"/>
      <c r="K105" s="336"/>
      <c r="L105" s="336"/>
      <c r="M105" s="336"/>
      <c r="N105" s="336"/>
      <c r="O105" s="336"/>
    </row>
    <row r="106" spans="1:15" ht="24.95" customHeight="1" x14ac:dyDescent="0.2">
      <c r="A106" s="274"/>
      <c r="B106" s="275"/>
      <c r="C106" s="298" t="s">
        <v>355</v>
      </c>
      <c r="D106" s="312" t="s">
        <v>1076</v>
      </c>
      <c r="E106" s="278"/>
      <c r="F106" s="615" t="s">
        <v>924</v>
      </c>
      <c r="G106" s="296">
        <v>600</v>
      </c>
      <c r="H106" s="296">
        <v>0</v>
      </c>
      <c r="I106" s="281">
        <f t="shared" si="12"/>
        <v>600</v>
      </c>
      <c r="J106" s="296">
        <v>1798</v>
      </c>
      <c r="K106" s="296"/>
      <c r="L106" s="296">
        <f t="shared" si="8"/>
        <v>1798</v>
      </c>
      <c r="M106" s="296">
        <f t="shared" si="9"/>
        <v>2398</v>
      </c>
      <c r="N106" s="296">
        <f t="shared" si="10"/>
        <v>0</v>
      </c>
      <c r="O106" s="296">
        <f t="shared" si="11"/>
        <v>2398</v>
      </c>
    </row>
    <row r="107" spans="1:15" ht="12.95" customHeight="1" x14ac:dyDescent="0.2">
      <c r="A107" s="274"/>
      <c r="B107" s="275"/>
      <c r="C107" s="298" t="s">
        <v>356</v>
      </c>
      <c r="D107" s="313" t="s">
        <v>1078</v>
      </c>
      <c r="E107" s="278"/>
      <c r="F107" s="615"/>
      <c r="G107" s="336">
        <v>4000</v>
      </c>
      <c r="H107" s="336">
        <v>0</v>
      </c>
      <c r="I107" s="281">
        <f t="shared" si="12"/>
        <v>4000</v>
      </c>
      <c r="J107" s="336"/>
      <c r="K107" s="336"/>
      <c r="L107" s="336">
        <f t="shared" si="8"/>
        <v>0</v>
      </c>
      <c r="M107" s="336">
        <f t="shared" si="9"/>
        <v>4000</v>
      </c>
      <c r="N107" s="336">
        <f t="shared" si="10"/>
        <v>0</v>
      </c>
      <c r="O107" s="336">
        <f t="shared" si="11"/>
        <v>4000</v>
      </c>
    </row>
    <row r="108" spans="1:15" ht="12.95" customHeight="1" x14ac:dyDescent="0.2">
      <c r="A108" s="274"/>
      <c r="B108" s="275"/>
      <c r="C108" s="292" t="s">
        <v>899</v>
      </c>
      <c r="D108" s="293" t="s">
        <v>900</v>
      </c>
      <c r="E108" s="278"/>
      <c r="F108" s="615"/>
      <c r="G108" s="336"/>
      <c r="H108" s="336"/>
      <c r="I108" s="281">
        <f t="shared" si="12"/>
        <v>0</v>
      </c>
      <c r="J108" s="336"/>
      <c r="K108" s="336"/>
      <c r="L108" s="336"/>
      <c r="M108" s="336"/>
      <c r="N108" s="336"/>
      <c r="O108" s="336"/>
    </row>
    <row r="109" spans="1:15" ht="12.95" customHeight="1" x14ac:dyDescent="0.2">
      <c r="A109" s="274"/>
      <c r="B109" s="275"/>
      <c r="C109" s="298" t="s">
        <v>901</v>
      </c>
      <c r="D109" s="301" t="s">
        <v>1079</v>
      </c>
      <c r="E109" s="278"/>
      <c r="F109" s="615"/>
      <c r="G109" s="336">
        <v>5000</v>
      </c>
      <c r="H109" s="336">
        <v>0</v>
      </c>
      <c r="I109" s="281">
        <f t="shared" si="12"/>
        <v>5000</v>
      </c>
      <c r="J109" s="336"/>
      <c r="K109" s="336"/>
      <c r="L109" s="336">
        <f t="shared" si="8"/>
        <v>0</v>
      </c>
      <c r="M109" s="336">
        <f t="shared" si="9"/>
        <v>5000</v>
      </c>
      <c r="N109" s="336">
        <f t="shared" si="10"/>
        <v>0</v>
      </c>
      <c r="O109" s="336">
        <f t="shared" si="11"/>
        <v>5000</v>
      </c>
    </row>
    <row r="110" spans="1:15" ht="12.95" customHeight="1" x14ac:dyDescent="0.2">
      <c r="A110" s="274"/>
      <c r="B110" s="275"/>
      <c r="C110" s="298" t="s">
        <v>902</v>
      </c>
      <c r="D110" s="301" t="s">
        <v>1080</v>
      </c>
      <c r="E110" s="278"/>
      <c r="F110" s="615"/>
      <c r="G110" s="336">
        <v>6000</v>
      </c>
      <c r="H110" s="336">
        <v>0</v>
      </c>
      <c r="I110" s="281">
        <f t="shared" si="12"/>
        <v>6000</v>
      </c>
      <c r="J110" s="336"/>
      <c r="K110" s="336"/>
      <c r="L110" s="336">
        <f t="shared" si="8"/>
        <v>0</v>
      </c>
      <c r="M110" s="336">
        <f t="shared" si="9"/>
        <v>6000</v>
      </c>
      <c r="N110" s="336">
        <f t="shared" si="10"/>
        <v>0</v>
      </c>
      <c r="O110" s="336">
        <f t="shared" si="11"/>
        <v>6000</v>
      </c>
    </row>
    <row r="111" spans="1:15" ht="12.95" customHeight="1" x14ac:dyDescent="0.2">
      <c r="A111" s="274"/>
      <c r="B111" s="275"/>
      <c r="C111" s="298" t="s">
        <v>903</v>
      </c>
      <c r="D111" s="256" t="s">
        <v>1081</v>
      </c>
      <c r="E111" s="278"/>
      <c r="F111" s="634"/>
      <c r="G111" s="336">
        <v>2300</v>
      </c>
      <c r="H111" s="336">
        <v>0</v>
      </c>
      <c r="I111" s="281">
        <f t="shared" si="12"/>
        <v>2300</v>
      </c>
      <c r="J111" s="336"/>
      <c r="K111" s="336"/>
      <c r="L111" s="336">
        <f t="shared" si="8"/>
        <v>0</v>
      </c>
      <c r="M111" s="336">
        <f t="shared" si="9"/>
        <v>2300</v>
      </c>
      <c r="N111" s="336">
        <f t="shared" si="10"/>
        <v>0</v>
      </c>
      <c r="O111" s="336">
        <f t="shared" si="11"/>
        <v>2300</v>
      </c>
    </row>
    <row r="112" spans="1:15" ht="24.95" customHeight="1" x14ac:dyDescent="0.2">
      <c r="A112" s="274"/>
      <c r="B112" s="275"/>
      <c r="C112" s="298" t="s">
        <v>904</v>
      </c>
      <c r="D112" s="314" t="s">
        <v>511</v>
      </c>
      <c r="E112" s="315"/>
      <c r="F112" s="634"/>
      <c r="G112" s="336">
        <v>0</v>
      </c>
      <c r="H112" s="336">
        <v>500</v>
      </c>
      <c r="I112" s="281">
        <f t="shared" si="12"/>
        <v>500</v>
      </c>
      <c r="J112" s="336"/>
      <c r="K112" s="336"/>
      <c r="L112" s="336">
        <f t="shared" si="8"/>
        <v>0</v>
      </c>
      <c r="M112" s="336">
        <f t="shared" si="9"/>
        <v>0</v>
      </c>
      <c r="N112" s="336">
        <f t="shared" si="10"/>
        <v>500</v>
      </c>
      <c r="O112" s="336">
        <f t="shared" si="11"/>
        <v>500</v>
      </c>
    </row>
    <row r="113" spans="1:15" ht="24.95" customHeight="1" x14ac:dyDescent="0.2">
      <c r="A113" s="282"/>
      <c r="B113" s="283"/>
      <c r="C113" s="298" t="s">
        <v>358</v>
      </c>
      <c r="D113" s="316" t="s">
        <v>554</v>
      </c>
      <c r="E113" s="263"/>
      <c r="F113" s="634"/>
      <c r="G113" s="296">
        <v>22914</v>
      </c>
      <c r="H113" s="296">
        <v>0</v>
      </c>
      <c r="I113" s="281">
        <f t="shared" si="12"/>
        <v>22914</v>
      </c>
      <c r="J113" s="296"/>
      <c r="K113" s="296"/>
      <c r="L113" s="296">
        <f t="shared" si="8"/>
        <v>0</v>
      </c>
      <c r="M113" s="296">
        <f t="shared" si="9"/>
        <v>22914</v>
      </c>
      <c r="N113" s="296">
        <f t="shared" si="10"/>
        <v>0</v>
      </c>
      <c r="O113" s="296">
        <f t="shared" si="11"/>
        <v>22914</v>
      </c>
    </row>
    <row r="114" spans="1:15" ht="24.95" customHeight="1" x14ac:dyDescent="0.2">
      <c r="A114" s="274"/>
      <c r="B114" s="275"/>
      <c r="C114" s="298" t="s">
        <v>359</v>
      </c>
      <c r="D114" s="360" t="s">
        <v>527</v>
      </c>
      <c r="E114" s="263"/>
      <c r="F114" s="634"/>
      <c r="G114" s="296">
        <v>993</v>
      </c>
      <c r="H114" s="336"/>
      <c r="I114" s="281">
        <f t="shared" si="12"/>
        <v>993</v>
      </c>
      <c r="J114" s="336"/>
      <c r="K114" s="336"/>
      <c r="L114" s="296">
        <f t="shared" si="8"/>
        <v>0</v>
      </c>
      <c r="M114" s="296">
        <f t="shared" si="9"/>
        <v>993</v>
      </c>
      <c r="N114" s="336"/>
      <c r="O114" s="296">
        <f t="shared" si="11"/>
        <v>993</v>
      </c>
    </row>
    <row r="115" spans="1:15" ht="15" customHeight="1" x14ac:dyDescent="0.2">
      <c r="A115" s="274"/>
      <c r="B115" s="275"/>
      <c r="C115" s="298" t="s">
        <v>525</v>
      </c>
      <c r="D115" s="360" t="s">
        <v>530</v>
      </c>
      <c r="E115" s="263"/>
      <c r="F115" s="634"/>
      <c r="G115" s="296">
        <v>150</v>
      </c>
      <c r="H115" s="336"/>
      <c r="I115" s="281">
        <f t="shared" si="12"/>
        <v>150</v>
      </c>
      <c r="J115" s="336"/>
      <c r="K115" s="336"/>
      <c r="L115" s="296">
        <f t="shared" si="8"/>
        <v>0</v>
      </c>
      <c r="M115" s="296">
        <f t="shared" si="9"/>
        <v>150</v>
      </c>
      <c r="N115" s="336"/>
      <c r="O115" s="296">
        <f t="shared" si="11"/>
        <v>150</v>
      </c>
    </row>
    <row r="116" spans="1:15" ht="15" customHeight="1" x14ac:dyDescent="0.2">
      <c r="A116" s="274"/>
      <c r="B116" s="275"/>
      <c r="C116" s="298" t="s">
        <v>514</v>
      </c>
      <c r="D116" s="32" t="s">
        <v>531</v>
      </c>
      <c r="E116" s="263"/>
      <c r="F116" s="634"/>
      <c r="G116" s="296">
        <v>463</v>
      </c>
      <c r="H116" s="336"/>
      <c r="I116" s="281">
        <f t="shared" si="12"/>
        <v>463</v>
      </c>
      <c r="J116" s="336"/>
      <c r="K116" s="336"/>
      <c r="L116" s="296">
        <f t="shared" si="8"/>
        <v>0</v>
      </c>
      <c r="M116" s="296">
        <f t="shared" si="9"/>
        <v>463</v>
      </c>
      <c r="N116" s="336"/>
      <c r="O116" s="296">
        <f t="shared" si="11"/>
        <v>463</v>
      </c>
    </row>
    <row r="117" spans="1:15" ht="15" customHeight="1" x14ac:dyDescent="0.2">
      <c r="A117" s="274"/>
      <c r="B117" s="275"/>
      <c r="C117" s="298" t="s">
        <v>515</v>
      </c>
      <c r="D117" s="90" t="s">
        <v>532</v>
      </c>
      <c r="E117" s="263"/>
      <c r="F117" s="634" t="s">
        <v>693</v>
      </c>
      <c r="G117" s="296">
        <v>5450</v>
      </c>
      <c r="H117" s="336"/>
      <c r="I117" s="281">
        <f t="shared" si="12"/>
        <v>5450</v>
      </c>
      <c r="J117" s="336">
        <v>-950</v>
      </c>
      <c r="K117" s="336"/>
      <c r="L117" s="296">
        <f t="shared" si="8"/>
        <v>-950</v>
      </c>
      <c r="M117" s="296">
        <f t="shared" si="9"/>
        <v>4500</v>
      </c>
      <c r="N117" s="336"/>
      <c r="O117" s="296">
        <f t="shared" si="11"/>
        <v>4500</v>
      </c>
    </row>
    <row r="118" spans="1:15" ht="15" customHeight="1" x14ac:dyDescent="0.2">
      <c r="A118" s="274"/>
      <c r="B118" s="275"/>
      <c r="C118" s="298"/>
      <c r="D118" s="317" t="s">
        <v>1004</v>
      </c>
      <c r="E118" s="278"/>
      <c r="F118" s="615"/>
      <c r="G118" s="336"/>
      <c r="H118" s="336"/>
      <c r="I118" s="281">
        <f t="shared" si="12"/>
        <v>0</v>
      </c>
      <c r="J118" s="336"/>
      <c r="K118" s="336"/>
      <c r="L118" s="336"/>
      <c r="M118" s="336"/>
      <c r="N118" s="336"/>
      <c r="O118" s="336"/>
    </row>
    <row r="119" spans="1:15" ht="24.95" customHeight="1" x14ac:dyDescent="0.2">
      <c r="A119" s="274"/>
      <c r="B119" s="275"/>
      <c r="C119" s="298" t="s">
        <v>752</v>
      </c>
      <c r="D119" s="318" t="s">
        <v>357</v>
      </c>
      <c r="E119" s="287"/>
      <c r="F119" s="616"/>
      <c r="G119" s="336">
        <v>4875</v>
      </c>
      <c r="H119" s="336">
        <v>0</v>
      </c>
      <c r="I119" s="281">
        <f t="shared" si="12"/>
        <v>4875</v>
      </c>
      <c r="J119" s="336"/>
      <c r="K119" s="336"/>
      <c r="L119" s="336">
        <f t="shared" si="8"/>
        <v>0</v>
      </c>
      <c r="M119" s="336">
        <f t="shared" si="9"/>
        <v>4875</v>
      </c>
      <c r="N119" s="336">
        <f t="shared" si="10"/>
        <v>0</v>
      </c>
      <c r="O119" s="336">
        <f t="shared" si="11"/>
        <v>4875</v>
      </c>
    </row>
    <row r="120" spans="1:15" ht="15" customHeight="1" x14ac:dyDescent="0.2">
      <c r="A120" s="274"/>
      <c r="B120" s="275"/>
      <c r="C120" s="298" t="s">
        <v>691</v>
      </c>
      <c r="D120" s="311" t="s">
        <v>1082</v>
      </c>
      <c r="E120" s="278"/>
      <c r="F120" s="615"/>
      <c r="G120" s="336">
        <v>852</v>
      </c>
      <c r="H120" s="336">
        <v>0</v>
      </c>
      <c r="I120" s="281">
        <f t="shared" si="12"/>
        <v>852</v>
      </c>
      <c r="J120" s="336"/>
      <c r="K120" s="336"/>
      <c r="L120" s="336">
        <f t="shared" si="8"/>
        <v>0</v>
      </c>
      <c r="M120" s="336">
        <f t="shared" si="9"/>
        <v>852</v>
      </c>
      <c r="N120" s="336">
        <f t="shared" si="10"/>
        <v>0</v>
      </c>
      <c r="O120" s="336">
        <f t="shared" si="11"/>
        <v>852</v>
      </c>
    </row>
    <row r="121" spans="1:15" ht="15" customHeight="1" x14ac:dyDescent="0.2">
      <c r="A121" s="274"/>
      <c r="B121" s="275"/>
      <c r="C121" s="298" t="s">
        <v>1083</v>
      </c>
      <c r="D121" s="319" t="s">
        <v>1084</v>
      </c>
      <c r="E121" s="278"/>
      <c r="F121" s="615" t="s">
        <v>924</v>
      </c>
      <c r="G121" s="336">
        <v>45664</v>
      </c>
      <c r="H121" s="336">
        <v>0</v>
      </c>
      <c r="I121" s="281">
        <f t="shared" si="12"/>
        <v>45664</v>
      </c>
      <c r="J121" s="336">
        <v>2732</v>
      </c>
      <c r="K121" s="336"/>
      <c r="L121" s="336">
        <f t="shared" si="8"/>
        <v>2732</v>
      </c>
      <c r="M121" s="336">
        <f t="shared" si="9"/>
        <v>48396</v>
      </c>
      <c r="N121" s="336">
        <f t="shared" si="10"/>
        <v>0</v>
      </c>
      <c r="O121" s="336">
        <f t="shared" si="11"/>
        <v>48396</v>
      </c>
    </row>
    <row r="122" spans="1:15" ht="15" customHeight="1" x14ac:dyDescent="0.2">
      <c r="A122" s="274"/>
      <c r="B122" s="275"/>
      <c r="C122" s="298" t="s">
        <v>1085</v>
      </c>
      <c r="D122" s="320" t="s">
        <v>1086</v>
      </c>
      <c r="E122" s="278"/>
      <c r="F122" s="615"/>
      <c r="G122" s="336">
        <v>2000</v>
      </c>
      <c r="H122" s="336">
        <v>0</v>
      </c>
      <c r="I122" s="281">
        <f t="shared" si="12"/>
        <v>2000</v>
      </c>
      <c r="J122" s="336"/>
      <c r="K122" s="336"/>
      <c r="L122" s="336">
        <f t="shared" si="8"/>
        <v>0</v>
      </c>
      <c r="M122" s="336">
        <f t="shared" si="9"/>
        <v>2000</v>
      </c>
      <c r="N122" s="336">
        <f t="shared" si="10"/>
        <v>0</v>
      </c>
      <c r="O122" s="336">
        <f t="shared" si="11"/>
        <v>2000</v>
      </c>
    </row>
    <row r="123" spans="1:15" ht="12.95" customHeight="1" x14ac:dyDescent="0.2">
      <c r="A123" s="268"/>
      <c r="B123" s="269"/>
      <c r="C123" s="270"/>
      <c r="D123" s="321" t="s">
        <v>821</v>
      </c>
      <c r="E123" s="322"/>
      <c r="F123" s="619"/>
      <c r="G123" s="273">
        <f>SUM(G36:G122)</f>
        <v>307931</v>
      </c>
      <c r="H123" s="273">
        <f>SUM(H36:H122)</f>
        <v>604217</v>
      </c>
      <c r="I123" s="273">
        <f>SUM(I36:I122)</f>
        <v>912148</v>
      </c>
      <c r="J123" s="273">
        <f t="shared" ref="J123:O123" si="13">SUM(J36:J122)</f>
        <v>6757</v>
      </c>
      <c r="K123" s="273">
        <f t="shared" si="13"/>
        <v>-33986</v>
      </c>
      <c r="L123" s="273">
        <f t="shared" si="13"/>
        <v>-27229</v>
      </c>
      <c r="M123" s="273">
        <f t="shared" si="13"/>
        <v>314688</v>
      </c>
      <c r="N123" s="273">
        <f t="shared" si="13"/>
        <v>570231</v>
      </c>
      <c r="O123" s="273">
        <f t="shared" si="13"/>
        <v>884919</v>
      </c>
    </row>
    <row r="124" spans="1:15" ht="14.1" customHeight="1" x14ac:dyDescent="0.2">
      <c r="A124" s="243">
        <v>1</v>
      </c>
      <c r="B124" s="244">
        <v>16</v>
      </c>
      <c r="C124" s="239"/>
      <c r="D124" s="323" t="s">
        <v>657</v>
      </c>
      <c r="E124" s="324"/>
      <c r="F124" s="620"/>
      <c r="G124" s="336"/>
      <c r="H124" s="336"/>
      <c r="I124" s="242"/>
      <c r="J124" s="336"/>
      <c r="K124" s="336"/>
      <c r="L124" s="336"/>
      <c r="M124" s="336"/>
      <c r="N124" s="336"/>
      <c r="O124" s="336"/>
    </row>
    <row r="125" spans="1:15" ht="14.1" customHeight="1" x14ac:dyDescent="0.2">
      <c r="A125" s="274"/>
      <c r="B125" s="275"/>
      <c r="C125" s="280">
        <v>1</v>
      </c>
      <c r="D125" s="277" t="s">
        <v>922</v>
      </c>
      <c r="E125" s="278"/>
      <c r="F125" s="615"/>
      <c r="G125" s="336"/>
      <c r="H125" s="336"/>
      <c r="I125" s="281"/>
      <c r="J125" s="336"/>
      <c r="K125" s="336"/>
      <c r="L125" s="336"/>
      <c r="M125" s="336"/>
      <c r="N125" s="336"/>
      <c r="O125" s="336"/>
    </row>
    <row r="126" spans="1:15" ht="36" customHeight="1" x14ac:dyDescent="0.2">
      <c r="A126" s="274"/>
      <c r="B126" s="275"/>
      <c r="C126" s="276" t="s">
        <v>836</v>
      </c>
      <c r="D126" s="327" t="s">
        <v>8</v>
      </c>
      <c r="E126" s="278"/>
      <c r="F126" s="615"/>
      <c r="G126" s="336">
        <v>12500</v>
      </c>
      <c r="H126" s="336">
        <v>0</v>
      </c>
      <c r="I126" s="281">
        <f t="shared" ref="I126:I189" si="14">SUM(G126:H126)</f>
        <v>12500</v>
      </c>
      <c r="J126" s="336"/>
      <c r="K126" s="336"/>
      <c r="L126" s="336">
        <f t="shared" si="8"/>
        <v>0</v>
      </c>
      <c r="M126" s="336">
        <f t="shared" si="9"/>
        <v>12500</v>
      </c>
      <c r="N126" s="336">
        <f t="shared" si="10"/>
        <v>0</v>
      </c>
      <c r="O126" s="336">
        <f t="shared" si="11"/>
        <v>12500</v>
      </c>
    </row>
    <row r="127" spans="1:15" ht="24.95" customHeight="1" x14ac:dyDescent="0.2">
      <c r="A127" s="274"/>
      <c r="B127" s="275"/>
      <c r="C127" s="276" t="s">
        <v>837</v>
      </c>
      <c r="D127" s="327" t="s">
        <v>79</v>
      </c>
      <c r="E127" s="278"/>
      <c r="F127" s="615"/>
      <c r="G127" s="336">
        <v>20000</v>
      </c>
      <c r="H127" s="336">
        <v>0</v>
      </c>
      <c r="I127" s="281">
        <f t="shared" si="14"/>
        <v>20000</v>
      </c>
      <c r="J127" s="336"/>
      <c r="K127" s="336"/>
      <c r="L127" s="336">
        <f t="shared" si="8"/>
        <v>0</v>
      </c>
      <c r="M127" s="336">
        <f t="shared" si="9"/>
        <v>20000</v>
      </c>
      <c r="N127" s="336">
        <f t="shared" si="10"/>
        <v>0</v>
      </c>
      <c r="O127" s="336">
        <f t="shared" si="11"/>
        <v>20000</v>
      </c>
    </row>
    <row r="128" spans="1:15" ht="24.95" customHeight="1" x14ac:dyDescent="0.2">
      <c r="A128" s="274"/>
      <c r="B128" s="275"/>
      <c r="C128" s="276" t="s">
        <v>838</v>
      </c>
      <c r="D128" s="327" t="s">
        <v>80</v>
      </c>
      <c r="E128" s="278"/>
      <c r="F128" s="615"/>
      <c r="G128" s="336">
        <v>5100</v>
      </c>
      <c r="H128" s="336">
        <v>0</v>
      </c>
      <c r="I128" s="281">
        <f t="shared" si="14"/>
        <v>5100</v>
      </c>
      <c r="J128" s="336"/>
      <c r="K128" s="336"/>
      <c r="L128" s="336">
        <f t="shared" si="8"/>
        <v>0</v>
      </c>
      <c r="M128" s="336">
        <f t="shared" si="9"/>
        <v>5100</v>
      </c>
      <c r="N128" s="336">
        <f t="shared" si="10"/>
        <v>0</v>
      </c>
      <c r="O128" s="336">
        <f t="shared" si="11"/>
        <v>5100</v>
      </c>
    </row>
    <row r="129" spans="1:15" ht="14.1" customHeight="1" x14ac:dyDescent="0.2">
      <c r="A129" s="274"/>
      <c r="B129" s="275"/>
      <c r="C129" s="276" t="s">
        <v>825</v>
      </c>
      <c r="D129" s="328" t="s">
        <v>81</v>
      </c>
      <c r="E129" s="278"/>
      <c r="F129" s="615"/>
      <c r="G129" s="336">
        <v>31000</v>
      </c>
      <c r="H129" s="336">
        <v>0</v>
      </c>
      <c r="I129" s="281">
        <f t="shared" si="14"/>
        <v>31000</v>
      </c>
      <c r="J129" s="336"/>
      <c r="K129" s="336"/>
      <c r="L129" s="336">
        <f t="shared" si="8"/>
        <v>0</v>
      </c>
      <c r="M129" s="336">
        <f t="shared" si="9"/>
        <v>31000</v>
      </c>
      <c r="N129" s="336">
        <f t="shared" si="10"/>
        <v>0</v>
      </c>
      <c r="O129" s="336">
        <f t="shared" si="11"/>
        <v>31000</v>
      </c>
    </row>
    <row r="130" spans="1:15" ht="14.1" customHeight="1" x14ac:dyDescent="0.2">
      <c r="A130" s="274"/>
      <c r="B130" s="275"/>
      <c r="C130" s="276" t="s">
        <v>826</v>
      </c>
      <c r="D130" s="256" t="s">
        <v>82</v>
      </c>
      <c r="E130" s="278"/>
      <c r="F130" s="615"/>
      <c r="G130" s="336">
        <v>5000</v>
      </c>
      <c r="H130" s="336">
        <v>0</v>
      </c>
      <c r="I130" s="281">
        <f t="shared" si="14"/>
        <v>5000</v>
      </c>
      <c r="J130" s="336"/>
      <c r="K130" s="336"/>
      <c r="L130" s="336">
        <f t="shared" si="8"/>
        <v>0</v>
      </c>
      <c r="M130" s="336">
        <f t="shared" si="9"/>
        <v>5000</v>
      </c>
      <c r="N130" s="336">
        <f t="shared" si="10"/>
        <v>0</v>
      </c>
      <c r="O130" s="336">
        <f t="shared" si="11"/>
        <v>5000</v>
      </c>
    </row>
    <row r="131" spans="1:15" ht="14.1" customHeight="1" x14ac:dyDescent="0.2">
      <c r="A131" s="274"/>
      <c r="B131" s="275"/>
      <c r="C131" s="276" t="s">
        <v>372</v>
      </c>
      <c r="D131" s="256" t="s">
        <v>83</v>
      </c>
      <c r="E131" s="278"/>
      <c r="F131" s="615"/>
      <c r="G131" s="336">
        <v>3000</v>
      </c>
      <c r="H131" s="336">
        <v>0</v>
      </c>
      <c r="I131" s="281">
        <f t="shared" si="14"/>
        <v>3000</v>
      </c>
      <c r="J131" s="336"/>
      <c r="K131" s="336"/>
      <c r="L131" s="336">
        <f t="shared" si="8"/>
        <v>0</v>
      </c>
      <c r="M131" s="336">
        <f t="shared" si="9"/>
        <v>3000</v>
      </c>
      <c r="N131" s="336">
        <f t="shared" si="10"/>
        <v>0</v>
      </c>
      <c r="O131" s="336">
        <f t="shared" si="11"/>
        <v>3000</v>
      </c>
    </row>
    <row r="132" spans="1:15" ht="14.1" customHeight="1" x14ac:dyDescent="0.2">
      <c r="A132" s="274"/>
      <c r="B132" s="275"/>
      <c r="C132" s="280"/>
      <c r="D132" s="285" t="s">
        <v>1004</v>
      </c>
      <c r="E132" s="278"/>
      <c r="F132" s="615"/>
      <c r="G132" s="336">
        <v>0</v>
      </c>
      <c r="H132" s="336">
        <v>0</v>
      </c>
      <c r="I132" s="281">
        <f t="shared" si="14"/>
        <v>0</v>
      </c>
      <c r="J132" s="336"/>
      <c r="K132" s="336"/>
      <c r="L132" s="336">
        <f t="shared" si="8"/>
        <v>0</v>
      </c>
      <c r="M132" s="336">
        <f t="shared" si="9"/>
        <v>0</v>
      </c>
      <c r="N132" s="336">
        <f t="shared" si="10"/>
        <v>0</v>
      </c>
      <c r="O132" s="336">
        <f t="shared" si="11"/>
        <v>0</v>
      </c>
    </row>
    <row r="133" spans="1:15" ht="14.1" customHeight="1" x14ac:dyDescent="0.2">
      <c r="A133" s="274"/>
      <c r="B133" s="275"/>
      <c r="C133" s="276" t="s">
        <v>697</v>
      </c>
      <c r="D133" s="329" t="s">
        <v>362</v>
      </c>
      <c r="E133" s="278"/>
      <c r="F133" s="615"/>
      <c r="G133" s="336">
        <v>236</v>
      </c>
      <c r="H133" s="336">
        <v>0</v>
      </c>
      <c r="I133" s="281">
        <f t="shared" si="14"/>
        <v>236</v>
      </c>
      <c r="J133" s="336"/>
      <c r="K133" s="336"/>
      <c r="L133" s="336">
        <f t="shared" si="8"/>
        <v>0</v>
      </c>
      <c r="M133" s="336">
        <f t="shared" si="9"/>
        <v>236</v>
      </c>
      <c r="N133" s="336">
        <f t="shared" si="10"/>
        <v>0</v>
      </c>
      <c r="O133" s="336">
        <f t="shared" si="11"/>
        <v>236</v>
      </c>
    </row>
    <row r="134" spans="1:15" ht="14.1" customHeight="1" x14ac:dyDescent="0.2">
      <c r="A134" s="274"/>
      <c r="B134" s="275"/>
      <c r="C134" s="276" t="s">
        <v>729</v>
      </c>
      <c r="D134" s="328" t="s">
        <v>84</v>
      </c>
      <c r="E134" s="278"/>
      <c r="F134" s="615"/>
      <c r="G134" s="336">
        <v>20414</v>
      </c>
      <c r="H134" s="336">
        <v>0</v>
      </c>
      <c r="I134" s="281">
        <f t="shared" si="14"/>
        <v>20414</v>
      </c>
      <c r="J134" s="336"/>
      <c r="K134" s="336"/>
      <c r="L134" s="336">
        <f t="shared" si="8"/>
        <v>0</v>
      </c>
      <c r="M134" s="336">
        <f t="shared" si="9"/>
        <v>20414</v>
      </c>
      <c r="N134" s="336">
        <f t="shared" si="10"/>
        <v>0</v>
      </c>
      <c r="O134" s="336">
        <f t="shared" si="11"/>
        <v>20414</v>
      </c>
    </row>
    <row r="135" spans="1:15" ht="14.1" customHeight="1" x14ac:dyDescent="0.2">
      <c r="A135" s="274"/>
      <c r="B135" s="275"/>
      <c r="C135" s="276" t="s">
        <v>730</v>
      </c>
      <c r="D135" s="328" t="s">
        <v>85</v>
      </c>
      <c r="E135" s="278"/>
      <c r="F135" s="615"/>
      <c r="G135" s="336">
        <v>6091</v>
      </c>
      <c r="H135" s="336">
        <v>0</v>
      </c>
      <c r="I135" s="281">
        <f t="shared" si="14"/>
        <v>6091</v>
      </c>
      <c r="J135" s="336"/>
      <c r="K135" s="336"/>
      <c r="L135" s="336">
        <f t="shared" si="8"/>
        <v>0</v>
      </c>
      <c r="M135" s="336">
        <f t="shared" si="9"/>
        <v>6091</v>
      </c>
      <c r="N135" s="336">
        <f t="shared" si="10"/>
        <v>0</v>
      </c>
      <c r="O135" s="336">
        <f t="shared" si="11"/>
        <v>6091</v>
      </c>
    </row>
    <row r="136" spans="1:15" ht="15" customHeight="1" x14ac:dyDescent="0.2">
      <c r="A136" s="282"/>
      <c r="B136" s="282"/>
      <c r="C136" s="276" t="s">
        <v>731</v>
      </c>
      <c r="D136" s="330" t="s">
        <v>576</v>
      </c>
      <c r="E136" s="331"/>
      <c r="F136" s="466"/>
      <c r="G136" s="336">
        <v>900</v>
      </c>
      <c r="H136" s="336">
        <v>0</v>
      </c>
      <c r="I136" s="281">
        <f t="shared" si="14"/>
        <v>900</v>
      </c>
      <c r="J136" s="336"/>
      <c r="K136" s="336"/>
      <c r="L136" s="336">
        <f t="shared" si="8"/>
        <v>0</v>
      </c>
      <c r="M136" s="336">
        <f t="shared" si="9"/>
        <v>900</v>
      </c>
      <c r="N136" s="336">
        <f t="shared" si="10"/>
        <v>0</v>
      </c>
      <c r="O136" s="336">
        <f t="shared" si="11"/>
        <v>900</v>
      </c>
    </row>
    <row r="137" spans="1:15" ht="15" customHeight="1" x14ac:dyDescent="0.2">
      <c r="A137" s="282"/>
      <c r="B137" s="282"/>
      <c r="C137" s="276" t="s">
        <v>573</v>
      </c>
      <c r="D137" s="332" t="s">
        <v>582</v>
      </c>
      <c r="E137" s="333"/>
      <c r="F137" s="611"/>
      <c r="G137" s="336">
        <v>343</v>
      </c>
      <c r="H137" s="336">
        <v>0</v>
      </c>
      <c r="I137" s="281">
        <f t="shared" si="14"/>
        <v>343</v>
      </c>
      <c r="J137" s="336"/>
      <c r="K137" s="336"/>
      <c r="L137" s="336">
        <f t="shared" si="8"/>
        <v>0</v>
      </c>
      <c r="M137" s="336">
        <f t="shared" si="9"/>
        <v>343</v>
      </c>
      <c r="N137" s="336">
        <f t="shared" si="10"/>
        <v>0</v>
      </c>
      <c r="O137" s="336">
        <f t="shared" si="11"/>
        <v>343</v>
      </c>
    </row>
    <row r="138" spans="1:15" ht="15" customHeight="1" x14ac:dyDescent="0.2">
      <c r="A138" s="282"/>
      <c r="B138" s="282"/>
      <c r="C138" s="276" t="s">
        <v>574</v>
      </c>
      <c r="D138" s="334" t="s">
        <v>360</v>
      </c>
      <c r="E138" s="335"/>
      <c r="F138" s="624"/>
      <c r="G138" s="336">
        <v>924</v>
      </c>
      <c r="H138" s="336">
        <v>0</v>
      </c>
      <c r="I138" s="281">
        <f t="shared" si="14"/>
        <v>924</v>
      </c>
      <c r="J138" s="336"/>
      <c r="K138" s="336"/>
      <c r="L138" s="336">
        <f t="shared" si="8"/>
        <v>0</v>
      </c>
      <c r="M138" s="336">
        <f t="shared" si="9"/>
        <v>924</v>
      </c>
      <c r="N138" s="336">
        <f t="shared" si="10"/>
        <v>0</v>
      </c>
      <c r="O138" s="336">
        <f t="shared" si="11"/>
        <v>924</v>
      </c>
    </row>
    <row r="139" spans="1:15" ht="14.1" customHeight="1" x14ac:dyDescent="0.2">
      <c r="A139" s="337"/>
      <c r="B139" s="337"/>
      <c r="C139" s="288" t="s">
        <v>839</v>
      </c>
      <c r="D139" s="289" t="s">
        <v>351</v>
      </c>
      <c r="E139" s="295"/>
      <c r="F139" s="617"/>
      <c r="G139" s="336"/>
      <c r="H139" s="336"/>
      <c r="I139" s="281">
        <f t="shared" si="14"/>
        <v>0</v>
      </c>
      <c r="J139" s="336"/>
      <c r="K139" s="336"/>
      <c r="L139" s="336"/>
      <c r="M139" s="336"/>
      <c r="N139" s="336"/>
      <c r="O139" s="336"/>
    </row>
    <row r="140" spans="1:15" ht="26.1" customHeight="1" x14ac:dyDescent="0.2">
      <c r="A140" s="337"/>
      <c r="B140" s="337"/>
      <c r="C140" s="261" t="s">
        <v>840</v>
      </c>
      <c r="D140" s="338" t="s">
        <v>86</v>
      </c>
      <c r="E140" s="295"/>
      <c r="F140" s="617"/>
      <c r="G140" s="336">
        <v>55500</v>
      </c>
      <c r="H140" s="336">
        <v>0</v>
      </c>
      <c r="I140" s="281">
        <f t="shared" si="14"/>
        <v>55500</v>
      </c>
      <c r="J140" s="336"/>
      <c r="K140" s="336"/>
      <c r="L140" s="336">
        <f t="shared" si="8"/>
        <v>0</v>
      </c>
      <c r="M140" s="336">
        <f t="shared" si="9"/>
        <v>55500</v>
      </c>
      <c r="N140" s="336">
        <f t="shared" si="10"/>
        <v>0</v>
      </c>
      <c r="O140" s="336">
        <f t="shared" si="11"/>
        <v>55500</v>
      </c>
    </row>
    <row r="141" spans="1:15" ht="14.1" customHeight="1" x14ac:dyDescent="0.2">
      <c r="A141" s="337"/>
      <c r="B141" s="337"/>
      <c r="C141" s="261" t="s">
        <v>669</v>
      </c>
      <c r="D141" s="328" t="s">
        <v>87</v>
      </c>
      <c r="E141" s="295"/>
      <c r="F141" s="617"/>
      <c r="G141" s="336">
        <v>500</v>
      </c>
      <c r="H141" s="336">
        <v>0</v>
      </c>
      <c r="I141" s="281">
        <f t="shared" si="14"/>
        <v>500</v>
      </c>
      <c r="J141" s="336"/>
      <c r="K141" s="336"/>
      <c r="L141" s="336">
        <f t="shared" si="8"/>
        <v>0</v>
      </c>
      <c r="M141" s="336">
        <f t="shared" si="9"/>
        <v>500</v>
      </c>
      <c r="N141" s="336">
        <f t="shared" si="10"/>
        <v>0</v>
      </c>
      <c r="O141" s="336">
        <f t="shared" si="11"/>
        <v>500</v>
      </c>
    </row>
    <row r="142" spans="1:15" ht="14.1" customHeight="1" x14ac:dyDescent="0.2">
      <c r="A142" s="337"/>
      <c r="B142" s="337"/>
      <c r="C142" s="261" t="s">
        <v>361</v>
      </c>
      <c r="D142" s="339" t="s">
        <v>88</v>
      </c>
      <c r="E142" s="295"/>
      <c r="F142" s="617"/>
      <c r="G142" s="336">
        <v>1500</v>
      </c>
      <c r="H142" s="336">
        <v>0</v>
      </c>
      <c r="I142" s="281">
        <f t="shared" si="14"/>
        <v>1500</v>
      </c>
      <c r="J142" s="336"/>
      <c r="K142" s="336"/>
      <c r="L142" s="336">
        <f t="shared" si="8"/>
        <v>0</v>
      </c>
      <c r="M142" s="336">
        <f t="shared" si="9"/>
        <v>1500</v>
      </c>
      <c r="N142" s="336">
        <f t="shared" si="10"/>
        <v>0</v>
      </c>
      <c r="O142" s="336">
        <f t="shared" si="11"/>
        <v>1500</v>
      </c>
    </row>
    <row r="143" spans="1:15" ht="14.1" customHeight="1" x14ac:dyDescent="0.2">
      <c r="A143" s="337"/>
      <c r="B143" s="337"/>
      <c r="C143" s="288"/>
      <c r="D143" s="285" t="s">
        <v>1004</v>
      </c>
      <c r="E143" s="295"/>
      <c r="F143" s="617"/>
      <c r="G143" s="336">
        <v>0</v>
      </c>
      <c r="H143" s="336">
        <v>0</v>
      </c>
      <c r="I143" s="281">
        <f t="shared" si="14"/>
        <v>0</v>
      </c>
      <c r="J143" s="336"/>
      <c r="K143" s="336"/>
      <c r="L143" s="336">
        <f t="shared" si="8"/>
        <v>0</v>
      </c>
      <c r="M143" s="336">
        <f t="shared" si="9"/>
        <v>0</v>
      </c>
      <c r="N143" s="336">
        <f t="shared" si="10"/>
        <v>0</v>
      </c>
      <c r="O143" s="336">
        <f t="shared" si="11"/>
        <v>0</v>
      </c>
    </row>
    <row r="144" spans="1:15" ht="14.1" customHeight="1" x14ac:dyDescent="0.2">
      <c r="A144" s="337"/>
      <c r="B144" s="337"/>
      <c r="C144" s="261" t="s">
        <v>732</v>
      </c>
      <c r="D144" s="340" t="s">
        <v>583</v>
      </c>
      <c r="E144" s="278"/>
      <c r="F144" s="615"/>
      <c r="G144" s="336">
        <v>400</v>
      </c>
      <c r="H144" s="336">
        <v>0</v>
      </c>
      <c r="I144" s="281">
        <f t="shared" si="14"/>
        <v>400</v>
      </c>
      <c r="J144" s="336"/>
      <c r="K144" s="336"/>
      <c r="L144" s="336">
        <f t="shared" si="8"/>
        <v>0</v>
      </c>
      <c r="M144" s="336">
        <f t="shared" si="9"/>
        <v>400</v>
      </c>
      <c r="N144" s="336">
        <f t="shared" si="10"/>
        <v>0</v>
      </c>
      <c r="O144" s="336">
        <f t="shared" si="11"/>
        <v>400</v>
      </c>
    </row>
    <row r="145" spans="1:15" ht="14.1" customHeight="1" x14ac:dyDescent="0.2">
      <c r="A145" s="337"/>
      <c r="B145" s="337"/>
      <c r="C145" s="292" t="s">
        <v>841</v>
      </c>
      <c r="D145" s="293" t="s">
        <v>759</v>
      </c>
      <c r="E145" s="295"/>
      <c r="F145" s="617"/>
      <c r="G145" s="336"/>
      <c r="H145" s="336"/>
      <c r="I145" s="281">
        <f t="shared" si="14"/>
        <v>0</v>
      </c>
      <c r="J145" s="336"/>
      <c r="K145" s="336"/>
      <c r="L145" s="336"/>
      <c r="M145" s="336"/>
      <c r="N145" s="336"/>
      <c r="O145" s="336"/>
    </row>
    <row r="146" spans="1:15" ht="14.1" customHeight="1" x14ac:dyDescent="0.2">
      <c r="A146" s="337"/>
      <c r="B146" s="337"/>
      <c r="C146" s="292"/>
      <c r="D146" s="285" t="s">
        <v>1004</v>
      </c>
      <c r="E146" s="295"/>
      <c r="F146" s="617"/>
      <c r="G146" s="336"/>
      <c r="H146" s="336"/>
      <c r="I146" s="281">
        <f t="shared" si="14"/>
        <v>0</v>
      </c>
      <c r="J146" s="336"/>
      <c r="K146" s="336"/>
      <c r="L146" s="336"/>
      <c r="M146" s="336"/>
      <c r="N146" s="336"/>
      <c r="O146" s="336"/>
    </row>
    <row r="147" spans="1:15" ht="15" customHeight="1" x14ac:dyDescent="0.2">
      <c r="A147" s="337"/>
      <c r="B147" s="337"/>
      <c r="C147" s="261" t="s">
        <v>1030</v>
      </c>
      <c r="D147" s="341" t="s">
        <v>89</v>
      </c>
      <c r="E147" s="342" t="s">
        <v>652</v>
      </c>
      <c r="F147" s="617"/>
      <c r="G147" s="336">
        <v>577653</v>
      </c>
      <c r="H147" s="336">
        <v>0</v>
      </c>
      <c r="I147" s="281">
        <f t="shared" si="14"/>
        <v>577653</v>
      </c>
      <c r="J147" s="336"/>
      <c r="K147" s="336"/>
      <c r="L147" s="336">
        <f t="shared" si="8"/>
        <v>0</v>
      </c>
      <c r="M147" s="336">
        <f t="shared" si="9"/>
        <v>577653</v>
      </c>
      <c r="N147" s="336">
        <f t="shared" si="10"/>
        <v>0</v>
      </c>
      <c r="O147" s="336">
        <f t="shared" si="11"/>
        <v>577653</v>
      </c>
    </row>
    <row r="148" spans="1:15" ht="24.95" customHeight="1" x14ac:dyDescent="0.2">
      <c r="A148" s="337"/>
      <c r="B148" s="337"/>
      <c r="C148" s="261" t="s">
        <v>90</v>
      </c>
      <c r="D148" s="341" t="s">
        <v>91</v>
      </c>
      <c r="E148" s="342" t="s">
        <v>652</v>
      </c>
      <c r="F148" s="617"/>
      <c r="G148" s="336">
        <v>581631</v>
      </c>
      <c r="H148" s="336">
        <v>0</v>
      </c>
      <c r="I148" s="281">
        <f t="shared" si="14"/>
        <v>581631</v>
      </c>
      <c r="J148" s="336"/>
      <c r="K148" s="336"/>
      <c r="L148" s="336">
        <f t="shared" si="8"/>
        <v>0</v>
      </c>
      <c r="M148" s="336">
        <f t="shared" si="9"/>
        <v>581631</v>
      </c>
      <c r="N148" s="336">
        <f t="shared" si="10"/>
        <v>0</v>
      </c>
      <c r="O148" s="336">
        <f t="shared" si="11"/>
        <v>581631</v>
      </c>
    </row>
    <row r="149" spans="1:15" ht="12" customHeight="1" x14ac:dyDescent="0.2">
      <c r="A149" s="292"/>
      <c r="B149" s="292"/>
      <c r="C149" s="292" t="s">
        <v>843</v>
      </c>
      <c r="D149" s="293" t="s">
        <v>848</v>
      </c>
      <c r="E149" s="344"/>
      <c r="F149" s="612"/>
      <c r="G149" s="336"/>
      <c r="H149" s="336"/>
      <c r="I149" s="281">
        <f t="shared" si="14"/>
        <v>0</v>
      </c>
      <c r="J149" s="336"/>
      <c r="K149" s="336"/>
      <c r="L149" s="336"/>
      <c r="M149" s="336"/>
      <c r="N149" s="336"/>
      <c r="O149" s="336"/>
    </row>
    <row r="150" spans="1:15" ht="12" customHeight="1" x14ac:dyDescent="0.2">
      <c r="A150" s="292"/>
      <c r="B150" s="292"/>
      <c r="C150" s="298" t="s">
        <v>849</v>
      </c>
      <c r="D150" s="338" t="s">
        <v>92</v>
      </c>
      <c r="E150" s="344"/>
      <c r="F150" s="612"/>
      <c r="G150" s="336">
        <v>5000</v>
      </c>
      <c r="H150" s="336">
        <v>0</v>
      </c>
      <c r="I150" s="281">
        <f t="shared" si="14"/>
        <v>5000</v>
      </c>
      <c r="J150" s="336"/>
      <c r="K150" s="336"/>
      <c r="L150" s="336">
        <f t="shared" ref="L150:L215" si="15">SUM(J150:K150)</f>
        <v>0</v>
      </c>
      <c r="M150" s="336">
        <f t="shared" si="9"/>
        <v>5000</v>
      </c>
      <c r="N150" s="336">
        <f t="shared" si="10"/>
        <v>0</v>
      </c>
      <c r="O150" s="336">
        <f t="shared" ref="O150:O215" si="16">SUM(M150:N150)</f>
        <v>5000</v>
      </c>
    </row>
    <row r="151" spans="1:15" ht="12" customHeight="1" x14ac:dyDescent="0.2">
      <c r="A151" s="292"/>
      <c r="B151" s="292"/>
      <c r="C151" s="298" t="s">
        <v>850</v>
      </c>
      <c r="D151" s="250" t="s">
        <v>93</v>
      </c>
      <c r="E151" s="344"/>
      <c r="F151" s="612"/>
      <c r="G151" s="336">
        <v>3000</v>
      </c>
      <c r="H151" s="336">
        <v>0</v>
      </c>
      <c r="I151" s="281">
        <f t="shared" si="14"/>
        <v>3000</v>
      </c>
      <c r="J151" s="336"/>
      <c r="K151" s="336"/>
      <c r="L151" s="336">
        <f t="shared" si="15"/>
        <v>0</v>
      </c>
      <c r="M151" s="336">
        <f t="shared" ref="M151:M216" si="17">SUM(G151+J151)</f>
        <v>3000</v>
      </c>
      <c r="N151" s="336">
        <f t="shared" ref="N151:N216" si="18">SUM(H151+K151)</f>
        <v>0</v>
      </c>
      <c r="O151" s="336">
        <f t="shared" si="16"/>
        <v>3000</v>
      </c>
    </row>
    <row r="152" spans="1:15" ht="12" customHeight="1" x14ac:dyDescent="0.2">
      <c r="A152" s="292"/>
      <c r="B152" s="292"/>
      <c r="C152" s="298" t="s">
        <v>851</v>
      </c>
      <c r="D152" s="301" t="s">
        <v>2</v>
      </c>
      <c r="E152" s="278"/>
      <c r="F152" s="615" t="s">
        <v>924</v>
      </c>
      <c r="G152" s="336">
        <v>5000</v>
      </c>
      <c r="H152" s="336">
        <v>0</v>
      </c>
      <c r="I152" s="281">
        <f t="shared" si="14"/>
        <v>5000</v>
      </c>
      <c r="J152" s="336"/>
      <c r="K152" s="336"/>
      <c r="L152" s="336">
        <f t="shared" si="15"/>
        <v>0</v>
      </c>
      <c r="M152" s="336">
        <f t="shared" si="17"/>
        <v>5000</v>
      </c>
      <c r="N152" s="336">
        <f t="shared" si="18"/>
        <v>0</v>
      </c>
      <c r="O152" s="336">
        <f t="shared" si="16"/>
        <v>5000</v>
      </c>
    </row>
    <row r="153" spans="1:15" ht="12" customHeight="1" x14ac:dyDescent="0.2">
      <c r="A153" s="292"/>
      <c r="B153" s="292"/>
      <c r="C153" s="298" t="s">
        <v>852</v>
      </c>
      <c r="D153" s="290" t="s">
        <v>94</v>
      </c>
      <c r="E153" s="278"/>
      <c r="F153" s="615"/>
      <c r="G153" s="336">
        <v>18000</v>
      </c>
      <c r="H153" s="336">
        <v>0</v>
      </c>
      <c r="I153" s="281">
        <f t="shared" si="14"/>
        <v>18000</v>
      </c>
      <c r="J153" s="336"/>
      <c r="K153" s="336"/>
      <c r="L153" s="336">
        <f t="shared" si="15"/>
        <v>0</v>
      </c>
      <c r="M153" s="336">
        <f t="shared" si="17"/>
        <v>18000</v>
      </c>
      <c r="N153" s="336">
        <f t="shared" si="18"/>
        <v>0</v>
      </c>
      <c r="O153" s="336">
        <f t="shared" si="16"/>
        <v>18000</v>
      </c>
    </row>
    <row r="154" spans="1:15" ht="12" customHeight="1" x14ac:dyDescent="0.2">
      <c r="A154" s="292"/>
      <c r="B154" s="292"/>
      <c r="C154" s="298" t="s">
        <v>853</v>
      </c>
      <c r="D154" s="301" t="s">
        <v>95</v>
      </c>
      <c r="E154" s="278"/>
      <c r="F154" s="615"/>
      <c r="G154" s="336">
        <v>2500</v>
      </c>
      <c r="H154" s="336">
        <v>0</v>
      </c>
      <c r="I154" s="281">
        <f t="shared" si="14"/>
        <v>2500</v>
      </c>
      <c r="J154" s="336"/>
      <c r="K154" s="336"/>
      <c r="L154" s="336">
        <f t="shared" si="15"/>
        <v>0</v>
      </c>
      <c r="M154" s="336">
        <f t="shared" si="17"/>
        <v>2500</v>
      </c>
      <c r="N154" s="336">
        <f t="shared" si="18"/>
        <v>0</v>
      </c>
      <c r="O154" s="336">
        <f t="shared" si="16"/>
        <v>2500</v>
      </c>
    </row>
    <row r="155" spans="1:15" ht="12" customHeight="1" x14ac:dyDescent="0.2">
      <c r="A155" s="292"/>
      <c r="B155" s="292"/>
      <c r="C155" s="298" t="s">
        <v>854</v>
      </c>
      <c r="D155" s="301" t="s">
        <v>96</v>
      </c>
      <c r="E155" s="278"/>
      <c r="F155" s="615"/>
      <c r="G155" s="336">
        <v>0</v>
      </c>
      <c r="H155" s="336">
        <v>4000</v>
      </c>
      <c r="I155" s="281">
        <f t="shared" si="14"/>
        <v>4000</v>
      </c>
      <c r="J155" s="336"/>
      <c r="K155" s="336"/>
      <c r="L155" s="336">
        <f t="shared" si="15"/>
        <v>0</v>
      </c>
      <c r="M155" s="336">
        <f t="shared" si="17"/>
        <v>0</v>
      </c>
      <c r="N155" s="336">
        <f t="shared" si="18"/>
        <v>4000</v>
      </c>
      <c r="O155" s="336">
        <f t="shared" si="16"/>
        <v>4000</v>
      </c>
    </row>
    <row r="156" spans="1:15" ht="12" customHeight="1" x14ac:dyDescent="0.2">
      <c r="A156" s="292"/>
      <c r="B156" s="292"/>
      <c r="C156" s="298" t="s">
        <v>855</v>
      </c>
      <c r="D156" s="313" t="s">
        <v>97</v>
      </c>
      <c r="E156" s="278"/>
      <c r="F156" s="615"/>
      <c r="G156" s="336">
        <v>10700</v>
      </c>
      <c r="H156" s="336">
        <v>0</v>
      </c>
      <c r="I156" s="281">
        <f t="shared" si="14"/>
        <v>10700</v>
      </c>
      <c r="J156" s="336"/>
      <c r="K156" s="336"/>
      <c r="L156" s="336">
        <f t="shared" si="15"/>
        <v>0</v>
      </c>
      <c r="M156" s="336">
        <f t="shared" si="17"/>
        <v>10700</v>
      </c>
      <c r="N156" s="336">
        <f t="shared" si="18"/>
        <v>0</v>
      </c>
      <c r="O156" s="336">
        <f t="shared" si="16"/>
        <v>10700</v>
      </c>
    </row>
    <row r="157" spans="1:15" ht="12" customHeight="1" x14ac:dyDescent="0.2">
      <c r="A157" s="292"/>
      <c r="B157" s="292"/>
      <c r="C157" s="298" t="s">
        <v>879</v>
      </c>
      <c r="D157" s="290" t="s">
        <v>333</v>
      </c>
      <c r="E157" s="278"/>
      <c r="F157" s="615"/>
      <c r="G157" s="336">
        <v>4000</v>
      </c>
      <c r="H157" s="336"/>
      <c r="I157" s="281">
        <f t="shared" si="14"/>
        <v>4000</v>
      </c>
      <c r="J157" s="336"/>
      <c r="K157" s="336"/>
      <c r="L157" s="336">
        <f t="shared" si="15"/>
        <v>0</v>
      </c>
      <c r="M157" s="336">
        <f t="shared" si="17"/>
        <v>4000</v>
      </c>
      <c r="N157" s="336"/>
      <c r="O157" s="336">
        <f t="shared" si="16"/>
        <v>4000</v>
      </c>
    </row>
    <row r="158" spans="1:15" ht="12" customHeight="1" x14ac:dyDescent="0.2">
      <c r="A158" s="292"/>
      <c r="B158" s="292"/>
      <c r="C158" s="292"/>
      <c r="D158" s="285" t="s">
        <v>1004</v>
      </c>
      <c r="E158" s="344"/>
      <c r="F158" s="612"/>
      <c r="G158" s="336">
        <v>0</v>
      </c>
      <c r="H158" s="336">
        <v>0</v>
      </c>
      <c r="I158" s="281">
        <f t="shared" si="14"/>
        <v>0</v>
      </c>
      <c r="J158" s="336"/>
      <c r="K158" s="336"/>
      <c r="L158" s="336">
        <f t="shared" si="15"/>
        <v>0</v>
      </c>
      <c r="M158" s="336">
        <f t="shared" si="17"/>
        <v>0</v>
      </c>
      <c r="N158" s="336">
        <f t="shared" si="18"/>
        <v>0</v>
      </c>
      <c r="O158" s="336">
        <f t="shared" si="16"/>
        <v>0</v>
      </c>
    </row>
    <row r="159" spans="1:15" ht="12" customHeight="1" x14ac:dyDescent="0.2">
      <c r="A159" s="292"/>
      <c r="B159" s="292"/>
      <c r="C159" s="345" t="s">
        <v>733</v>
      </c>
      <c r="D159" s="318" t="s">
        <v>98</v>
      </c>
      <c r="E159" s="344"/>
      <c r="F159" s="612"/>
      <c r="G159" s="336">
        <v>13510</v>
      </c>
      <c r="H159" s="336">
        <v>0</v>
      </c>
      <c r="I159" s="281">
        <f t="shared" si="14"/>
        <v>13510</v>
      </c>
      <c r="J159" s="336"/>
      <c r="K159" s="336"/>
      <c r="L159" s="336">
        <f t="shared" si="15"/>
        <v>0</v>
      </c>
      <c r="M159" s="336">
        <f t="shared" si="17"/>
        <v>13510</v>
      </c>
      <c r="N159" s="336">
        <f t="shared" si="18"/>
        <v>0</v>
      </c>
      <c r="O159" s="336">
        <f t="shared" si="16"/>
        <v>13510</v>
      </c>
    </row>
    <row r="160" spans="1:15" ht="12" customHeight="1" x14ac:dyDescent="0.2">
      <c r="A160" s="292"/>
      <c r="B160" s="292"/>
      <c r="C160" s="345" t="s">
        <v>734</v>
      </c>
      <c r="D160" s="341" t="s">
        <v>587</v>
      </c>
      <c r="E160" s="344"/>
      <c r="F160" s="612"/>
      <c r="G160" s="336">
        <v>25076</v>
      </c>
      <c r="H160" s="336">
        <v>0</v>
      </c>
      <c r="I160" s="281">
        <f t="shared" si="14"/>
        <v>25076</v>
      </c>
      <c r="J160" s="336"/>
      <c r="K160" s="336"/>
      <c r="L160" s="336">
        <f t="shared" si="15"/>
        <v>0</v>
      </c>
      <c r="M160" s="336">
        <f t="shared" si="17"/>
        <v>25076</v>
      </c>
      <c r="N160" s="336">
        <f t="shared" si="18"/>
        <v>0</v>
      </c>
      <c r="O160" s="336">
        <f t="shared" si="16"/>
        <v>25076</v>
      </c>
    </row>
    <row r="161" spans="1:15" ht="24.95" customHeight="1" x14ac:dyDescent="0.2">
      <c r="A161" s="292"/>
      <c r="B161" s="292"/>
      <c r="C161" s="345" t="s">
        <v>735</v>
      </c>
      <c r="D161" s="346" t="s">
        <v>99</v>
      </c>
      <c r="E161" s="344"/>
      <c r="F161" s="612"/>
      <c r="G161" s="336">
        <v>0</v>
      </c>
      <c r="H161" s="336">
        <v>12100</v>
      </c>
      <c r="I161" s="281">
        <f t="shared" si="14"/>
        <v>12100</v>
      </c>
      <c r="J161" s="336"/>
      <c r="K161" s="336"/>
      <c r="L161" s="336">
        <f t="shared" si="15"/>
        <v>0</v>
      </c>
      <c r="M161" s="336">
        <f t="shared" si="17"/>
        <v>0</v>
      </c>
      <c r="N161" s="336">
        <f t="shared" si="18"/>
        <v>12100</v>
      </c>
      <c r="O161" s="336">
        <f t="shared" si="16"/>
        <v>12100</v>
      </c>
    </row>
    <row r="162" spans="1:15" ht="12" customHeight="1" x14ac:dyDescent="0.2">
      <c r="A162" s="292"/>
      <c r="B162" s="292"/>
      <c r="C162" s="345" t="s">
        <v>736</v>
      </c>
      <c r="D162" s="347" t="s">
        <v>585</v>
      </c>
      <c r="E162" s="344"/>
      <c r="F162" s="612"/>
      <c r="G162" s="336">
        <v>30000</v>
      </c>
      <c r="H162" s="336">
        <v>0</v>
      </c>
      <c r="I162" s="281">
        <f t="shared" si="14"/>
        <v>30000</v>
      </c>
      <c r="J162" s="336"/>
      <c r="K162" s="336"/>
      <c r="L162" s="336">
        <f t="shared" si="15"/>
        <v>0</v>
      </c>
      <c r="M162" s="336">
        <f t="shared" si="17"/>
        <v>30000</v>
      </c>
      <c r="N162" s="336">
        <f t="shared" si="18"/>
        <v>0</v>
      </c>
      <c r="O162" s="336">
        <f t="shared" si="16"/>
        <v>30000</v>
      </c>
    </row>
    <row r="163" spans="1:15" ht="12" customHeight="1" x14ac:dyDescent="0.2">
      <c r="A163" s="292"/>
      <c r="B163" s="292"/>
      <c r="C163" s="345" t="s">
        <v>737</v>
      </c>
      <c r="D163" s="348" t="s">
        <v>586</v>
      </c>
      <c r="E163" s="344"/>
      <c r="F163" s="612"/>
      <c r="G163" s="336">
        <v>21384</v>
      </c>
      <c r="H163" s="336">
        <v>0</v>
      </c>
      <c r="I163" s="281">
        <f t="shared" si="14"/>
        <v>21384</v>
      </c>
      <c r="J163" s="336"/>
      <c r="K163" s="336"/>
      <c r="L163" s="336">
        <f t="shared" si="15"/>
        <v>0</v>
      </c>
      <c r="M163" s="336">
        <f t="shared" si="17"/>
        <v>21384</v>
      </c>
      <c r="N163" s="336">
        <f t="shared" si="18"/>
        <v>0</v>
      </c>
      <c r="O163" s="336">
        <f t="shared" si="16"/>
        <v>21384</v>
      </c>
    </row>
    <row r="164" spans="1:15" ht="12" customHeight="1" x14ac:dyDescent="0.2">
      <c r="A164" s="292"/>
      <c r="B164" s="292"/>
      <c r="C164" s="345" t="s">
        <v>738</v>
      </c>
      <c r="D164" s="334" t="s">
        <v>584</v>
      </c>
      <c r="E164" s="344"/>
      <c r="F164" s="612"/>
      <c r="G164" s="336">
        <v>1519</v>
      </c>
      <c r="H164" s="336">
        <v>0</v>
      </c>
      <c r="I164" s="281">
        <f t="shared" si="14"/>
        <v>1519</v>
      </c>
      <c r="J164" s="336"/>
      <c r="K164" s="336"/>
      <c r="L164" s="336">
        <f t="shared" si="15"/>
        <v>0</v>
      </c>
      <c r="M164" s="336">
        <f t="shared" si="17"/>
        <v>1519</v>
      </c>
      <c r="N164" s="336">
        <f t="shared" si="18"/>
        <v>0</v>
      </c>
      <c r="O164" s="336">
        <f t="shared" si="16"/>
        <v>1519</v>
      </c>
    </row>
    <row r="165" spans="1:15" ht="12" customHeight="1" x14ac:dyDescent="0.2">
      <c r="A165" s="292"/>
      <c r="B165" s="292"/>
      <c r="C165" s="345" t="s">
        <v>739</v>
      </c>
      <c r="D165" s="349" t="s">
        <v>100</v>
      </c>
      <c r="E165" s="344"/>
      <c r="F165" s="612"/>
      <c r="G165" s="336">
        <v>17418</v>
      </c>
      <c r="H165" s="336">
        <v>0</v>
      </c>
      <c r="I165" s="281">
        <f t="shared" si="14"/>
        <v>17418</v>
      </c>
      <c r="J165" s="336"/>
      <c r="K165" s="336"/>
      <c r="L165" s="336">
        <f t="shared" si="15"/>
        <v>0</v>
      </c>
      <c r="M165" s="336">
        <f t="shared" si="17"/>
        <v>17418</v>
      </c>
      <c r="N165" s="336">
        <f t="shared" si="18"/>
        <v>0</v>
      </c>
      <c r="O165" s="336">
        <f t="shared" si="16"/>
        <v>17418</v>
      </c>
    </row>
    <row r="166" spans="1:15" ht="14.1" customHeight="1" x14ac:dyDescent="0.2">
      <c r="A166" s="292"/>
      <c r="B166" s="292"/>
      <c r="C166" s="292" t="s">
        <v>844</v>
      </c>
      <c r="D166" s="293" t="s">
        <v>760</v>
      </c>
      <c r="E166" s="350"/>
      <c r="F166" s="358"/>
      <c r="G166" s="336"/>
      <c r="H166" s="336"/>
      <c r="I166" s="281">
        <f t="shared" si="14"/>
        <v>0</v>
      </c>
      <c r="J166" s="336"/>
      <c r="K166" s="336"/>
      <c r="L166" s="336"/>
      <c r="M166" s="336"/>
      <c r="N166" s="336"/>
      <c r="O166" s="336"/>
    </row>
    <row r="167" spans="1:15" ht="14.1" customHeight="1" x14ac:dyDescent="0.2">
      <c r="A167" s="292"/>
      <c r="B167" s="292"/>
      <c r="C167" s="292"/>
      <c r="D167" s="285" t="s">
        <v>1004</v>
      </c>
      <c r="E167" s="350"/>
      <c r="F167" s="358"/>
      <c r="G167" s="336"/>
      <c r="H167" s="336"/>
      <c r="I167" s="281">
        <f t="shared" si="14"/>
        <v>0</v>
      </c>
      <c r="J167" s="336"/>
      <c r="K167" s="336"/>
      <c r="L167" s="336"/>
      <c r="M167" s="336"/>
      <c r="N167" s="336"/>
      <c r="O167" s="336"/>
    </row>
    <row r="168" spans="1:15" ht="14.1" customHeight="1" x14ac:dyDescent="0.2">
      <c r="A168" s="292"/>
      <c r="B168" s="292"/>
      <c r="C168" s="298" t="s">
        <v>1005</v>
      </c>
      <c r="D168" s="351" t="s">
        <v>101</v>
      </c>
      <c r="E168" s="278"/>
      <c r="F168" s="615" t="s">
        <v>924</v>
      </c>
      <c r="G168" s="336">
        <v>3836</v>
      </c>
      <c r="H168" s="336">
        <v>0</v>
      </c>
      <c r="I168" s="281">
        <f t="shared" si="14"/>
        <v>3836</v>
      </c>
      <c r="J168" s="336">
        <v>22</v>
      </c>
      <c r="K168" s="336"/>
      <c r="L168" s="336">
        <f t="shared" si="15"/>
        <v>22</v>
      </c>
      <c r="M168" s="336">
        <f t="shared" si="17"/>
        <v>3858</v>
      </c>
      <c r="N168" s="336">
        <f t="shared" si="18"/>
        <v>0</v>
      </c>
      <c r="O168" s="336">
        <f t="shared" si="16"/>
        <v>3858</v>
      </c>
    </row>
    <row r="169" spans="1:15" ht="14.1" customHeight="1" x14ac:dyDescent="0.2">
      <c r="A169" s="292"/>
      <c r="B169" s="292"/>
      <c r="C169" s="298" t="s">
        <v>1007</v>
      </c>
      <c r="D169" s="352" t="s">
        <v>687</v>
      </c>
      <c r="E169" s="278"/>
      <c r="F169" s="615"/>
      <c r="G169" s="336">
        <v>4000</v>
      </c>
      <c r="H169" s="336">
        <v>0</v>
      </c>
      <c r="I169" s="281">
        <f t="shared" si="14"/>
        <v>4000</v>
      </c>
      <c r="J169" s="336"/>
      <c r="K169" s="336"/>
      <c r="L169" s="336">
        <f t="shared" si="15"/>
        <v>0</v>
      </c>
      <c r="M169" s="336">
        <f t="shared" si="17"/>
        <v>4000</v>
      </c>
      <c r="N169" s="336">
        <f t="shared" si="18"/>
        <v>0</v>
      </c>
      <c r="O169" s="336">
        <f t="shared" si="16"/>
        <v>4000</v>
      </c>
    </row>
    <row r="170" spans="1:15" ht="14.1" customHeight="1" x14ac:dyDescent="0.2">
      <c r="A170" s="292"/>
      <c r="B170" s="292"/>
      <c r="C170" s="298" t="s">
        <v>1008</v>
      </c>
      <c r="D170" s="353" t="s">
        <v>102</v>
      </c>
      <c r="E170" s="278"/>
      <c r="F170" s="615"/>
      <c r="G170" s="336">
        <v>2500</v>
      </c>
      <c r="H170" s="336">
        <v>0</v>
      </c>
      <c r="I170" s="281">
        <f t="shared" si="14"/>
        <v>2500</v>
      </c>
      <c r="J170" s="336"/>
      <c r="K170" s="336"/>
      <c r="L170" s="336">
        <f t="shared" si="15"/>
        <v>0</v>
      </c>
      <c r="M170" s="336">
        <f t="shared" si="17"/>
        <v>2500</v>
      </c>
      <c r="N170" s="336">
        <f t="shared" si="18"/>
        <v>0</v>
      </c>
      <c r="O170" s="336">
        <f t="shared" si="16"/>
        <v>2500</v>
      </c>
    </row>
    <row r="171" spans="1:15" ht="12.95" customHeight="1" x14ac:dyDescent="0.2">
      <c r="A171" s="292"/>
      <c r="B171" s="292"/>
      <c r="C171" s="292" t="s">
        <v>845</v>
      </c>
      <c r="D171" s="293" t="s">
        <v>761</v>
      </c>
      <c r="E171" s="344"/>
      <c r="F171" s="612"/>
      <c r="G171" s="336"/>
      <c r="H171" s="336"/>
      <c r="I171" s="281">
        <f t="shared" si="14"/>
        <v>0</v>
      </c>
      <c r="J171" s="336"/>
      <c r="K171" s="336"/>
      <c r="L171" s="336"/>
      <c r="M171" s="336"/>
      <c r="N171" s="336"/>
      <c r="O171" s="336"/>
    </row>
    <row r="172" spans="1:15" ht="12.95" customHeight="1" x14ac:dyDescent="0.2">
      <c r="A172" s="292"/>
      <c r="B172" s="292"/>
      <c r="C172" s="298" t="s">
        <v>893</v>
      </c>
      <c r="D172" s="352" t="s">
        <v>740</v>
      </c>
      <c r="E172" s="350"/>
      <c r="F172" s="358"/>
      <c r="G172" s="336">
        <v>10191</v>
      </c>
      <c r="H172" s="336">
        <v>0</v>
      </c>
      <c r="I172" s="281">
        <f t="shared" si="14"/>
        <v>10191</v>
      </c>
      <c r="J172" s="336"/>
      <c r="K172" s="336"/>
      <c r="L172" s="336">
        <f t="shared" si="15"/>
        <v>0</v>
      </c>
      <c r="M172" s="336">
        <f t="shared" si="17"/>
        <v>10191</v>
      </c>
      <c r="N172" s="336">
        <f t="shared" si="18"/>
        <v>0</v>
      </c>
      <c r="O172" s="336">
        <f t="shared" si="16"/>
        <v>10191</v>
      </c>
    </row>
    <row r="173" spans="1:15" ht="12.95" customHeight="1" x14ac:dyDescent="0.2">
      <c r="A173" s="292"/>
      <c r="B173" s="292"/>
      <c r="C173" s="298"/>
      <c r="D173" s="285" t="s">
        <v>103</v>
      </c>
      <c r="E173" s="350"/>
      <c r="F173" s="358"/>
      <c r="G173" s="336">
        <v>0</v>
      </c>
      <c r="H173" s="336">
        <v>0</v>
      </c>
      <c r="I173" s="281">
        <f t="shared" si="14"/>
        <v>0</v>
      </c>
      <c r="J173" s="336"/>
      <c r="K173" s="336"/>
      <c r="L173" s="336">
        <f t="shared" si="15"/>
        <v>0</v>
      </c>
      <c r="M173" s="336">
        <f t="shared" si="17"/>
        <v>0</v>
      </c>
      <c r="N173" s="336">
        <f t="shared" si="18"/>
        <v>0</v>
      </c>
      <c r="O173" s="336">
        <f t="shared" si="16"/>
        <v>0</v>
      </c>
    </row>
    <row r="174" spans="1:15" ht="12.95" customHeight="1" x14ac:dyDescent="0.2">
      <c r="A174" s="292"/>
      <c r="B174" s="292"/>
      <c r="C174" s="298" t="s">
        <v>741</v>
      </c>
      <c r="D174" s="354" t="s">
        <v>104</v>
      </c>
      <c r="E174" s="350"/>
      <c r="F174" s="358"/>
      <c r="G174" s="336">
        <v>1000</v>
      </c>
      <c r="H174" s="336">
        <v>0</v>
      </c>
      <c r="I174" s="281">
        <f t="shared" si="14"/>
        <v>1000</v>
      </c>
      <c r="J174" s="336"/>
      <c r="K174" s="336"/>
      <c r="L174" s="336">
        <f t="shared" si="15"/>
        <v>0</v>
      </c>
      <c r="M174" s="336">
        <f t="shared" si="17"/>
        <v>1000</v>
      </c>
      <c r="N174" s="336">
        <f t="shared" si="18"/>
        <v>0</v>
      </c>
      <c r="O174" s="336">
        <f t="shared" si="16"/>
        <v>1000</v>
      </c>
    </row>
    <row r="175" spans="1:15" ht="24.95" customHeight="1" x14ac:dyDescent="0.2">
      <c r="A175" s="292"/>
      <c r="B175" s="292"/>
      <c r="C175" s="298" t="s">
        <v>647</v>
      </c>
      <c r="D175" s="355" t="s">
        <v>105</v>
      </c>
      <c r="E175" s="350"/>
      <c r="F175" s="358"/>
      <c r="G175" s="336">
        <v>1500</v>
      </c>
      <c r="H175" s="336">
        <v>0</v>
      </c>
      <c r="I175" s="281">
        <f t="shared" si="14"/>
        <v>1500</v>
      </c>
      <c r="J175" s="336"/>
      <c r="K175" s="336"/>
      <c r="L175" s="336">
        <f t="shared" si="15"/>
        <v>0</v>
      </c>
      <c r="M175" s="336">
        <f t="shared" si="17"/>
        <v>1500</v>
      </c>
      <c r="N175" s="336">
        <f t="shared" si="18"/>
        <v>0</v>
      </c>
      <c r="O175" s="336">
        <f t="shared" si="16"/>
        <v>1500</v>
      </c>
    </row>
    <row r="176" spans="1:15" ht="12.95" customHeight="1" x14ac:dyDescent="0.2">
      <c r="A176" s="292"/>
      <c r="B176" s="292"/>
      <c r="C176" s="298" t="s">
        <v>106</v>
      </c>
      <c r="D176" s="354" t="s">
        <v>107</v>
      </c>
      <c r="E176" s="350"/>
      <c r="F176" s="358"/>
      <c r="G176" s="336">
        <v>2286</v>
      </c>
      <c r="H176" s="336">
        <v>0</v>
      </c>
      <c r="I176" s="281">
        <f t="shared" si="14"/>
        <v>2286</v>
      </c>
      <c r="J176" s="336"/>
      <c r="K176" s="336"/>
      <c r="L176" s="336">
        <f t="shared" si="15"/>
        <v>0</v>
      </c>
      <c r="M176" s="336">
        <f t="shared" si="17"/>
        <v>2286</v>
      </c>
      <c r="N176" s="336">
        <f t="shared" si="18"/>
        <v>0</v>
      </c>
      <c r="O176" s="336">
        <f t="shared" si="16"/>
        <v>2286</v>
      </c>
    </row>
    <row r="177" spans="1:15" ht="12.95" customHeight="1" x14ac:dyDescent="0.2">
      <c r="A177" s="292"/>
      <c r="B177" s="292"/>
      <c r="C177" s="298" t="s">
        <v>108</v>
      </c>
      <c r="D177" s="354" t="s">
        <v>113</v>
      </c>
      <c r="E177" s="350"/>
      <c r="F177" s="358"/>
      <c r="G177" s="336">
        <v>2500</v>
      </c>
      <c r="H177" s="336">
        <v>0</v>
      </c>
      <c r="I177" s="281">
        <f t="shared" si="14"/>
        <v>2500</v>
      </c>
      <c r="J177" s="336"/>
      <c r="K177" s="336"/>
      <c r="L177" s="336">
        <f t="shared" si="15"/>
        <v>0</v>
      </c>
      <c r="M177" s="336">
        <f t="shared" si="17"/>
        <v>2500</v>
      </c>
      <c r="N177" s="336">
        <f t="shared" si="18"/>
        <v>0</v>
      </c>
      <c r="O177" s="336">
        <f t="shared" si="16"/>
        <v>2500</v>
      </c>
    </row>
    <row r="178" spans="1:15" ht="15" customHeight="1" x14ac:dyDescent="0.2">
      <c r="A178" s="292"/>
      <c r="B178" s="292"/>
      <c r="C178" s="298" t="s">
        <v>114</v>
      </c>
      <c r="D178" s="356" t="s">
        <v>115</v>
      </c>
      <c r="E178" s="350"/>
      <c r="F178" s="358"/>
      <c r="G178" s="336">
        <v>950</v>
      </c>
      <c r="H178" s="336">
        <v>0</v>
      </c>
      <c r="I178" s="281">
        <f t="shared" si="14"/>
        <v>950</v>
      </c>
      <c r="J178" s="336"/>
      <c r="K178" s="336"/>
      <c r="L178" s="336">
        <f t="shared" si="15"/>
        <v>0</v>
      </c>
      <c r="M178" s="336">
        <f t="shared" si="17"/>
        <v>950</v>
      </c>
      <c r="N178" s="336">
        <f t="shared" si="18"/>
        <v>0</v>
      </c>
      <c r="O178" s="336">
        <f t="shared" si="16"/>
        <v>950</v>
      </c>
    </row>
    <row r="179" spans="1:15" ht="27" customHeight="1" x14ac:dyDescent="0.2">
      <c r="A179" s="292"/>
      <c r="B179" s="292"/>
      <c r="C179" s="298" t="s">
        <v>894</v>
      </c>
      <c r="D179" s="357" t="s">
        <v>116</v>
      </c>
      <c r="E179" s="358" t="s">
        <v>652</v>
      </c>
      <c r="F179" s="678" t="s">
        <v>693</v>
      </c>
      <c r="G179" s="296">
        <v>118996</v>
      </c>
      <c r="H179" s="296">
        <v>0</v>
      </c>
      <c r="I179" s="281">
        <f t="shared" si="14"/>
        <v>118996</v>
      </c>
      <c r="J179" s="296">
        <v>-20000</v>
      </c>
      <c r="K179" s="296"/>
      <c r="L179" s="296">
        <f t="shared" si="15"/>
        <v>-20000</v>
      </c>
      <c r="M179" s="296">
        <f t="shared" si="17"/>
        <v>98996</v>
      </c>
      <c r="N179" s="296">
        <f t="shared" si="18"/>
        <v>0</v>
      </c>
      <c r="O179" s="296">
        <f t="shared" si="16"/>
        <v>98996</v>
      </c>
    </row>
    <row r="180" spans="1:15" ht="15" customHeight="1" x14ac:dyDescent="0.2">
      <c r="A180" s="292"/>
      <c r="B180" s="292"/>
      <c r="C180" s="298" t="s">
        <v>895</v>
      </c>
      <c r="D180" s="313" t="s">
        <v>688</v>
      </c>
      <c r="E180" s="350"/>
      <c r="F180" s="358"/>
      <c r="G180" s="336">
        <v>0</v>
      </c>
      <c r="H180" s="336">
        <v>17500</v>
      </c>
      <c r="I180" s="281">
        <f t="shared" si="14"/>
        <v>17500</v>
      </c>
      <c r="J180" s="336"/>
      <c r="K180" s="336"/>
      <c r="L180" s="336">
        <f t="shared" si="15"/>
        <v>0</v>
      </c>
      <c r="M180" s="336">
        <f t="shared" si="17"/>
        <v>0</v>
      </c>
      <c r="N180" s="336">
        <f t="shared" si="18"/>
        <v>17500</v>
      </c>
      <c r="O180" s="336">
        <f t="shared" si="16"/>
        <v>17500</v>
      </c>
    </row>
    <row r="181" spans="1:15" ht="15" customHeight="1" x14ac:dyDescent="0.2">
      <c r="A181" s="292"/>
      <c r="B181" s="292"/>
      <c r="C181" s="298" t="s">
        <v>702</v>
      </c>
      <c r="D181" s="359" t="s">
        <v>117</v>
      </c>
      <c r="E181" s="358" t="s">
        <v>652</v>
      </c>
      <c r="F181" s="358"/>
      <c r="G181" s="336">
        <v>115790</v>
      </c>
      <c r="H181" s="336">
        <v>0</v>
      </c>
      <c r="I181" s="281">
        <f t="shared" si="14"/>
        <v>115790</v>
      </c>
      <c r="J181" s="336"/>
      <c r="K181" s="336"/>
      <c r="L181" s="336">
        <f t="shared" si="15"/>
        <v>0</v>
      </c>
      <c r="M181" s="336">
        <f t="shared" si="17"/>
        <v>115790</v>
      </c>
      <c r="N181" s="336">
        <f t="shared" si="18"/>
        <v>0</v>
      </c>
      <c r="O181" s="336">
        <f t="shared" si="16"/>
        <v>115790</v>
      </c>
    </row>
    <row r="182" spans="1:15" ht="15" customHeight="1" x14ac:dyDescent="0.2">
      <c r="A182" s="292"/>
      <c r="B182" s="292"/>
      <c r="C182" s="298" t="s">
        <v>703</v>
      </c>
      <c r="D182" s="339" t="s">
        <v>118</v>
      </c>
      <c r="E182" s="358" t="s">
        <v>652</v>
      </c>
      <c r="F182" s="358"/>
      <c r="G182" s="336">
        <v>126316</v>
      </c>
      <c r="H182" s="336">
        <v>0</v>
      </c>
      <c r="I182" s="281">
        <f t="shared" si="14"/>
        <v>126316</v>
      </c>
      <c r="J182" s="336"/>
      <c r="K182" s="336"/>
      <c r="L182" s="336">
        <f t="shared" si="15"/>
        <v>0</v>
      </c>
      <c r="M182" s="336">
        <f t="shared" si="17"/>
        <v>126316</v>
      </c>
      <c r="N182" s="336">
        <f t="shared" si="18"/>
        <v>0</v>
      </c>
      <c r="O182" s="336">
        <f t="shared" si="16"/>
        <v>126316</v>
      </c>
    </row>
    <row r="183" spans="1:15" ht="15" customHeight="1" x14ac:dyDescent="0.2">
      <c r="A183" s="292"/>
      <c r="B183" s="292"/>
      <c r="C183" s="298" t="s">
        <v>742</v>
      </c>
      <c r="D183" s="339" t="s">
        <v>119</v>
      </c>
      <c r="E183" s="358" t="s">
        <v>652</v>
      </c>
      <c r="F183" s="358"/>
      <c r="G183" s="336">
        <v>73684</v>
      </c>
      <c r="H183" s="336">
        <v>0</v>
      </c>
      <c r="I183" s="281">
        <f t="shared" si="14"/>
        <v>73684</v>
      </c>
      <c r="J183" s="336"/>
      <c r="K183" s="336"/>
      <c r="L183" s="336">
        <f t="shared" si="15"/>
        <v>0</v>
      </c>
      <c r="M183" s="336">
        <f t="shared" si="17"/>
        <v>73684</v>
      </c>
      <c r="N183" s="336">
        <f t="shared" si="18"/>
        <v>0</v>
      </c>
      <c r="O183" s="336">
        <f t="shared" si="16"/>
        <v>73684</v>
      </c>
    </row>
    <row r="184" spans="1:15" ht="15" customHeight="1" x14ac:dyDescent="0.2">
      <c r="A184" s="292"/>
      <c r="B184" s="292"/>
      <c r="C184" s="298" t="s">
        <v>743</v>
      </c>
      <c r="D184" s="352" t="s">
        <v>757</v>
      </c>
      <c r="E184" s="350"/>
      <c r="F184" s="358"/>
      <c r="G184" s="336">
        <v>8768</v>
      </c>
      <c r="H184" s="336">
        <v>0</v>
      </c>
      <c r="I184" s="281">
        <f t="shared" si="14"/>
        <v>8768</v>
      </c>
      <c r="J184" s="336"/>
      <c r="K184" s="336"/>
      <c r="L184" s="336">
        <f t="shared" si="15"/>
        <v>0</v>
      </c>
      <c r="M184" s="336">
        <f t="shared" si="17"/>
        <v>8768</v>
      </c>
      <c r="N184" s="336">
        <f t="shared" si="18"/>
        <v>0</v>
      </c>
      <c r="O184" s="336">
        <f t="shared" si="16"/>
        <v>8768</v>
      </c>
    </row>
    <row r="185" spans="1:15" ht="15" customHeight="1" x14ac:dyDescent="0.2">
      <c r="A185" s="292"/>
      <c r="B185" s="292"/>
      <c r="C185" s="298" t="s">
        <v>709</v>
      </c>
      <c r="D185" s="329" t="s">
        <v>588</v>
      </c>
      <c r="E185" s="350"/>
      <c r="F185" s="358"/>
      <c r="G185" s="336">
        <v>37500</v>
      </c>
      <c r="H185" s="336">
        <v>0</v>
      </c>
      <c r="I185" s="281">
        <f t="shared" si="14"/>
        <v>37500</v>
      </c>
      <c r="J185" s="336"/>
      <c r="K185" s="336"/>
      <c r="L185" s="336">
        <f t="shared" si="15"/>
        <v>0</v>
      </c>
      <c r="M185" s="336">
        <f t="shared" si="17"/>
        <v>37500</v>
      </c>
      <c r="N185" s="336">
        <f t="shared" si="18"/>
        <v>0</v>
      </c>
      <c r="O185" s="336">
        <f t="shared" si="16"/>
        <v>37500</v>
      </c>
    </row>
    <row r="186" spans="1:15" ht="15" customHeight="1" x14ac:dyDescent="0.2">
      <c r="A186" s="292"/>
      <c r="B186" s="292"/>
      <c r="C186" s="298" t="s">
        <v>727</v>
      </c>
      <c r="D186" s="313" t="s">
        <v>590</v>
      </c>
      <c r="E186" s="350"/>
      <c r="F186" s="358"/>
      <c r="G186" s="336">
        <v>3000</v>
      </c>
      <c r="H186" s="336">
        <v>0</v>
      </c>
      <c r="I186" s="281">
        <f t="shared" si="14"/>
        <v>3000</v>
      </c>
      <c r="J186" s="336"/>
      <c r="K186" s="336"/>
      <c r="L186" s="336">
        <f t="shared" si="15"/>
        <v>0</v>
      </c>
      <c r="M186" s="336">
        <f t="shared" si="17"/>
        <v>3000</v>
      </c>
      <c r="N186" s="336">
        <f t="shared" si="18"/>
        <v>0</v>
      </c>
      <c r="O186" s="336">
        <f t="shared" si="16"/>
        <v>3000</v>
      </c>
    </row>
    <row r="187" spans="1:15" ht="15" customHeight="1" x14ac:dyDescent="0.2">
      <c r="A187" s="292"/>
      <c r="B187" s="292"/>
      <c r="C187" s="298" t="s">
        <v>591</v>
      </c>
      <c r="D187" s="313" t="s">
        <v>120</v>
      </c>
      <c r="E187" s="350"/>
      <c r="F187" s="358"/>
      <c r="G187" s="336">
        <v>4880</v>
      </c>
      <c r="H187" s="336">
        <v>0</v>
      </c>
      <c r="I187" s="281">
        <f t="shared" si="14"/>
        <v>4880</v>
      </c>
      <c r="J187" s="336"/>
      <c r="K187" s="336"/>
      <c r="L187" s="336">
        <f t="shared" si="15"/>
        <v>0</v>
      </c>
      <c r="M187" s="336">
        <f t="shared" si="17"/>
        <v>4880</v>
      </c>
      <c r="N187" s="336">
        <f t="shared" si="18"/>
        <v>0</v>
      </c>
      <c r="O187" s="336">
        <f t="shared" si="16"/>
        <v>4880</v>
      </c>
    </row>
    <row r="188" spans="1:15" ht="15" customHeight="1" x14ac:dyDescent="0.2">
      <c r="A188" s="292"/>
      <c r="B188" s="292"/>
      <c r="C188" s="298" t="s">
        <v>121</v>
      </c>
      <c r="D188" s="360" t="s">
        <v>594</v>
      </c>
      <c r="E188" s="350"/>
      <c r="F188" s="358"/>
      <c r="G188" s="336">
        <v>11555</v>
      </c>
      <c r="H188" s="336">
        <v>0</v>
      </c>
      <c r="I188" s="281">
        <f t="shared" si="14"/>
        <v>11555</v>
      </c>
      <c r="J188" s="336"/>
      <c r="K188" s="336"/>
      <c r="L188" s="336">
        <f t="shared" si="15"/>
        <v>0</v>
      </c>
      <c r="M188" s="336">
        <f t="shared" si="17"/>
        <v>11555</v>
      </c>
      <c r="N188" s="336">
        <f t="shared" si="18"/>
        <v>0</v>
      </c>
      <c r="O188" s="336">
        <f t="shared" si="16"/>
        <v>11555</v>
      </c>
    </row>
    <row r="189" spans="1:15" ht="15" customHeight="1" x14ac:dyDescent="0.2">
      <c r="A189" s="292"/>
      <c r="B189" s="292"/>
      <c r="C189" s="298" t="s">
        <v>593</v>
      </c>
      <c r="D189" s="360" t="s">
        <v>122</v>
      </c>
      <c r="E189" s="358"/>
      <c r="F189" s="358"/>
      <c r="G189" s="336">
        <v>59000</v>
      </c>
      <c r="H189" s="336">
        <v>0</v>
      </c>
      <c r="I189" s="281">
        <f t="shared" si="14"/>
        <v>59000</v>
      </c>
      <c r="J189" s="336"/>
      <c r="K189" s="336"/>
      <c r="L189" s="336">
        <f t="shared" si="15"/>
        <v>0</v>
      </c>
      <c r="M189" s="336">
        <f t="shared" si="17"/>
        <v>59000</v>
      </c>
      <c r="N189" s="336">
        <f t="shared" si="18"/>
        <v>0</v>
      </c>
      <c r="O189" s="336">
        <f t="shared" si="16"/>
        <v>59000</v>
      </c>
    </row>
    <row r="190" spans="1:15" ht="15" customHeight="1" x14ac:dyDescent="0.2">
      <c r="A190" s="292"/>
      <c r="B190" s="292"/>
      <c r="C190" s="298" t="s">
        <v>123</v>
      </c>
      <c r="D190" s="329" t="s">
        <v>124</v>
      </c>
      <c r="E190" s="350"/>
      <c r="F190" s="358"/>
      <c r="G190" s="336">
        <v>33420</v>
      </c>
      <c r="H190" s="336">
        <v>0</v>
      </c>
      <c r="I190" s="281">
        <f t="shared" ref="I190:I233" si="19">SUM(G190:H190)</f>
        <v>33420</v>
      </c>
      <c r="J190" s="336"/>
      <c r="K190" s="336"/>
      <c r="L190" s="336">
        <f t="shared" si="15"/>
        <v>0</v>
      </c>
      <c r="M190" s="336">
        <f t="shared" si="17"/>
        <v>33420</v>
      </c>
      <c r="N190" s="336">
        <f t="shared" si="18"/>
        <v>0</v>
      </c>
      <c r="O190" s="336">
        <f t="shared" si="16"/>
        <v>33420</v>
      </c>
    </row>
    <row r="191" spans="1:15" ht="15" customHeight="1" x14ac:dyDescent="0.2">
      <c r="A191" s="292"/>
      <c r="B191" s="292"/>
      <c r="C191" s="298" t="s">
        <v>595</v>
      </c>
      <c r="D191" s="320" t="s">
        <v>125</v>
      </c>
      <c r="E191" s="350"/>
      <c r="F191" s="358"/>
      <c r="G191" s="336">
        <v>2500</v>
      </c>
      <c r="H191" s="336">
        <v>0</v>
      </c>
      <c r="I191" s="281">
        <f t="shared" si="19"/>
        <v>2500</v>
      </c>
      <c r="J191" s="336"/>
      <c r="K191" s="336"/>
      <c r="L191" s="336">
        <f t="shared" si="15"/>
        <v>0</v>
      </c>
      <c r="M191" s="336">
        <f t="shared" si="17"/>
        <v>2500</v>
      </c>
      <c r="N191" s="336">
        <f t="shared" si="18"/>
        <v>0</v>
      </c>
      <c r="O191" s="336">
        <f t="shared" si="16"/>
        <v>2500</v>
      </c>
    </row>
    <row r="192" spans="1:15" ht="15" customHeight="1" x14ac:dyDescent="0.2">
      <c r="A192" s="292"/>
      <c r="B192" s="292"/>
      <c r="C192" s="298" t="s">
        <v>596</v>
      </c>
      <c r="D192" s="320" t="s">
        <v>126</v>
      </c>
      <c r="E192" s="350"/>
      <c r="F192" s="358"/>
      <c r="G192" s="336">
        <v>10000</v>
      </c>
      <c r="H192" s="336">
        <v>0</v>
      </c>
      <c r="I192" s="281">
        <f t="shared" si="19"/>
        <v>10000</v>
      </c>
      <c r="J192" s="336"/>
      <c r="K192" s="336"/>
      <c r="L192" s="336">
        <f t="shared" si="15"/>
        <v>0</v>
      </c>
      <c r="M192" s="336">
        <f t="shared" si="17"/>
        <v>10000</v>
      </c>
      <c r="N192" s="336">
        <f t="shared" si="18"/>
        <v>0</v>
      </c>
      <c r="O192" s="336">
        <f t="shared" si="16"/>
        <v>10000</v>
      </c>
    </row>
    <row r="193" spans="1:15" ht="15" customHeight="1" x14ac:dyDescent="0.2">
      <c r="A193" s="292"/>
      <c r="B193" s="292"/>
      <c r="C193" s="298" t="s">
        <v>597</v>
      </c>
      <c r="D193" s="320" t="s">
        <v>327</v>
      </c>
      <c r="E193" s="350"/>
      <c r="F193" s="358"/>
      <c r="G193" s="336">
        <v>20000</v>
      </c>
      <c r="H193" s="336">
        <v>0</v>
      </c>
      <c r="I193" s="281">
        <f t="shared" si="19"/>
        <v>20000</v>
      </c>
      <c r="J193" s="336"/>
      <c r="K193" s="336"/>
      <c r="L193" s="336">
        <f t="shared" si="15"/>
        <v>0</v>
      </c>
      <c r="M193" s="336">
        <f t="shared" si="17"/>
        <v>20000</v>
      </c>
      <c r="N193" s="336">
        <f t="shared" si="18"/>
        <v>0</v>
      </c>
      <c r="O193" s="336">
        <f t="shared" si="16"/>
        <v>20000</v>
      </c>
    </row>
    <row r="194" spans="1:15" ht="15" customHeight="1" x14ac:dyDescent="0.2">
      <c r="A194" s="292"/>
      <c r="B194" s="292"/>
      <c r="C194" s="298" t="s">
        <v>599</v>
      </c>
      <c r="D194" s="361" t="s">
        <v>127</v>
      </c>
      <c r="E194" s="350"/>
      <c r="F194" s="358"/>
      <c r="G194" s="336">
        <v>5000</v>
      </c>
      <c r="H194" s="336">
        <v>0</v>
      </c>
      <c r="I194" s="281">
        <f t="shared" si="19"/>
        <v>5000</v>
      </c>
      <c r="J194" s="336"/>
      <c r="K194" s="336"/>
      <c r="L194" s="336">
        <f t="shared" si="15"/>
        <v>0</v>
      </c>
      <c r="M194" s="336">
        <f t="shared" si="17"/>
        <v>5000</v>
      </c>
      <c r="N194" s="336">
        <f t="shared" si="18"/>
        <v>0</v>
      </c>
      <c r="O194" s="336">
        <f t="shared" si="16"/>
        <v>5000</v>
      </c>
    </row>
    <row r="195" spans="1:15" ht="12.95" customHeight="1" x14ac:dyDescent="0.2">
      <c r="A195" s="292"/>
      <c r="B195" s="292"/>
      <c r="C195" s="298" t="s">
        <v>601</v>
      </c>
      <c r="D195" s="362" t="s">
        <v>128</v>
      </c>
      <c r="E195" s="350"/>
      <c r="F195" s="358"/>
      <c r="G195" s="336">
        <v>6000</v>
      </c>
      <c r="H195" s="336">
        <v>0</v>
      </c>
      <c r="I195" s="281">
        <f t="shared" si="19"/>
        <v>6000</v>
      </c>
      <c r="J195" s="336"/>
      <c r="K195" s="336"/>
      <c r="L195" s="336">
        <f t="shared" si="15"/>
        <v>0</v>
      </c>
      <c r="M195" s="336">
        <f t="shared" si="17"/>
        <v>6000</v>
      </c>
      <c r="N195" s="336">
        <f t="shared" si="18"/>
        <v>0</v>
      </c>
      <c r="O195" s="336">
        <f t="shared" si="16"/>
        <v>6000</v>
      </c>
    </row>
    <row r="196" spans="1:15" ht="12.95" customHeight="1" x14ac:dyDescent="0.2">
      <c r="A196" s="292"/>
      <c r="B196" s="292"/>
      <c r="C196" s="298" t="s">
        <v>602</v>
      </c>
      <c r="D196" s="362" t="s">
        <v>129</v>
      </c>
      <c r="E196" s="350"/>
      <c r="F196" s="358"/>
      <c r="G196" s="336">
        <v>2000</v>
      </c>
      <c r="H196" s="336">
        <v>0</v>
      </c>
      <c r="I196" s="281">
        <f t="shared" si="19"/>
        <v>2000</v>
      </c>
      <c r="J196" s="336"/>
      <c r="K196" s="336"/>
      <c r="L196" s="336">
        <f t="shared" si="15"/>
        <v>0</v>
      </c>
      <c r="M196" s="336">
        <f t="shared" si="17"/>
        <v>2000</v>
      </c>
      <c r="N196" s="336">
        <f t="shared" si="18"/>
        <v>0</v>
      </c>
      <c r="O196" s="336">
        <f t="shared" si="16"/>
        <v>2000</v>
      </c>
    </row>
    <row r="197" spans="1:15" ht="12.95" customHeight="1" x14ac:dyDescent="0.2">
      <c r="A197" s="292"/>
      <c r="B197" s="292"/>
      <c r="C197" s="298" t="s">
        <v>130</v>
      </c>
      <c r="D197" s="362" t="s">
        <v>131</v>
      </c>
      <c r="E197" s="350"/>
      <c r="F197" s="358"/>
      <c r="G197" s="336">
        <v>500000</v>
      </c>
      <c r="H197" s="336">
        <v>0</v>
      </c>
      <c r="I197" s="281">
        <f t="shared" si="19"/>
        <v>500000</v>
      </c>
      <c r="J197" s="336"/>
      <c r="K197" s="336"/>
      <c r="L197" s="336">
        <f t="shared" si="15"/>
        <v>0</v>
      </c>
      <c r="M197" s="336">
        <f t="shared" si="17"/>
        <v>500000</v>
      </c>
      <c r="N197" s="336">
        <f t="shared" si="18"/>
        <v>0</v>
      </c>
      <c r="O197" s="336">
        <f t="shared" si="16"/>
        <v>500000</v>
      </c>
    </row>
    <row r="198" spans="1:15" ht="12.95" customHeight="1" x14ac:dyDescent="0.2">
      <c r="A198" s="292"/>
      <c r="B198" s="292"/>
      <c r="C198" s="298" t="s">
        <v>132</v>
      </c>
      <c r="D198" s="362" t="s">
        <v>133</v>
      </c>
      <c r="E198" s="350"/>
      <c r="F198" s="358"/>
      <c r="G198" s="336">
        <v>25000</v>
      </c>
      <c r="H198" s="336">
        <v>0</v>
      </c>
      <c r="I198" s="281">
        <f t="shared" si="19"/>
        <v>25000</v>
      </c>
      <c r="J198" s="336"/>
      <c r="K198" s="336"/>
      <c r="L198" s="336">
        <f t="shared" si="15"/>
        <v>0</v>
      </c>
      <c r="M198" s="336">
        <f t="shared" si="17"/>
        <v>25000</v>
      </c>
      <c r="N198" s="336">
        <f t="shared" si="18"/>
        <v>0</v>
      </c>
      <c r="O198" s="336">
        <f t="shared" si="16"/>
        <v>25000</v>
      </c>
    </row>
    <row r="199" spans="1:15" ht="15" customHeight="1" x14ac:dyDescent="0.2">
      <c r="A199" s="292"/>
      <c r="B199" s="292"/>
      <c r="C199" s="298"/>
      <c r="D199" s="285" t="s">
        <v>1004</v>
      </c>
      <c r="E199" s="350"/>
      <c r="F199" s="358"/>
      <c r="G199" s="336"/>
      <c r="H199" s="336"/>
      <c r="I199" s="281">
        <f t="shared" si="19"/>
        <v>0</v>
      </c>
      <c r="J199" s="336"/>
      <c r="K199" s="336"/>
      <c r="L199" s="336"/>
      <c r="M199" s="336"/>
      <c r="N199" s="336"/>
      <c r="O199" s="336"/>
    </row>
    <row r="200" spans="1:15" ht="15" customHeight="1" x14ac:dyDescent="0.2">
      <c r="A200" s="292"/>
      <c r="B200" s="292"/>
      <c r="C200" s="298" t="s">
        <v>744</v>
      </c>
      <c r="D200" s="356" t="s">
        <v>589</v>
      </c>
      <c r="E200" s="350"/>
      <c r="F200" s="358"/>
      <c r="G200" s="336">
        <v>11000</v>
      </c>
      <c r="H200" s="336">
        <v>0</v>
      </c>
      <c r="I200" s="281">
        <f t="shared" si="19"/>
        <v>11000</v>
      </c>
      <c r="J200" s="336"/>
      <c r="K200" s="336"/>
      <c r="L200" s="336">
        <f t="shared" si="15"/>
        <v>0</v>
      </c>
      <c r="M200" s="336">
        <f t="shared" si="17"/>
        <v>11000</v>
      </c>
      <c r="N200" s="336">
        <f t="shared" si="18"/>
        <v>0</v>
      </c>
      <c r="O200" s="336">
        <f t="shared" si="16"/>
        <v>11000</v>
      </c>
    </row>
    <row r="201" spans="1:15" ht="24.95" customHeight="1" x14ac:dyDescent="0.2">
      <c r="A201" s="292"/>
      <c r="B201" s="292"/>
      <c r="C201" s="298" t="s">
        <v>745</v>
      </c>
      <c r="D201" s="319" t="s">
        <v>598</v>
      </c>
      <c r="E201" s="358" t="s">
        <v>652</v>
      </c>
      <c r="F201" s="358"/>
      <c r="G201" s="296">
        <v>75000</v>
      </c>
      <c r="H201" s="296">
        <v>0</v>
      </c>
      <c r="I201" s="281">
        <f t="shared" si="19"/>
        <v>75000</v>
      </c>
      <c r="J201" s="296"/>
      <c r="K201" s="296"/>
      <c r="L201" s="296">
        <f t="shared" si="15"/>
        <v>0</v>
      </c>
      <c r="M201" s="296">
        <f t="shared" si="17"/>
        <v>75000</v>
      </c>
      <c r="N201" s="296">
        <f t="shared" si="18"/>
        <v>0</v>
      </c>
      <c r="O201" s="296">
        <f t="shared" si="16"/>
        <v>75000</v>
      </c>
    </row>
    <row r="202" spans="1:15" ht="24.95" customHeight="1" x14ac:dyDescent="0.2">
      <c r="A202" s="292"/>
      <c r="B202" s="292"/>
      <c r="C202" s="298" t="s">
        <v>746</v>
      </c>
      <c r="D202" s="319" t="s">
        <v>600</v>
      </c>
      <c r="E202" s="358" t="s">
        <v>652</v>
      </c>
      <c r="F202" s="358"/>
      <c r="G202" s="296">
        <v>60000</v>
      </c>
      <c r="H202" s="296">
        <v>0</v>
      </c>
      <c r="I202" s="281">
        <f t="shared" si="19"/>
        <v>60000</v>
      </c>
      <c r="J202" s="296"/>
      <c r="K202" s="296"/>
      <c r="L202" s="296">
        <f t="shared" si="15"/>
        <v>0</v>
      </c>
      <c r="M202" s="296">
        <f t="shared" si="17"/>
        <v>60000</v>
      </c>
      <c r="N202" s="296">
        <f t="shared" si="18"/>
        <v>0</v>
      </c>
      <c r="O202" s="296">
        <f t="shared" si="16"/>
        <v>60000</v>
      </c>
    </row>
    <row r="203" spans="1:15" ht="15" customHeight="1" x14ac:dyDescent="0.2">
      <c r="A203" s="292"/>
      <c r="B203" s="292"/>
      <c r="C203" s="298" t="s">
        <v>747</v>
      </c>
      <c r="D203" s="266" t="s">
        <v>603</v>
      </c>
      <c r="E203" s="350"/>
      <c r="F203" s="358"/>
      <c r="G203" s="296">
        <v>2950</v>
      </c>
      <c r="H203" s="296">
        <v>0</v>
      </c>
      <c r="I203" s="281">
        <f t="shared" si="19"/>
        <v>2950</v>
      </c>
      <c r="J203" s="296"/>
      <c r="K203" s="296"/>
      <c r="L203" s="296">
        <f t="shared" si="15"/>
        <v>0</v>
      </c>
      <c r="M203" s="296">
        <f t="shared" si="17"/>
        <v>2950</v>
      </c>
      <c r="N203" s="296">
        <f t="shared" si="18"/>
        <v>0</v>
      </c>
      <c r="O203" s="296">
        <f t="shared" si="16"/>
        <v>2950</v>
      </c>
    </row>
    <row r="204" spans="1:15" ht="24.95" customHeight="1" x14ac:dyDescent="0.2">
      <c r="A204" s="292"/>
      <c r="B204" s="292"/>
      <c r="C204" s="298" t="s">
        <v>748</v>
      </c>
      <c r="D204" s="363" t="s">
        <v>928</v>
      </c>
      <c r="E204" s="350"/>
      <c r="F204" s="358"/>
      <c r="G204" s="296">
        <v>259762</v>
      </c>
      <c r="H204" s="296">
        <v>0</v>
      </c>
      <c r="I204" s="281">
        <f t="shared" si="19"/>
        <v>259762</v>
      </c>
      <c r="J204" s="296"/>
      <c r="K204" s="296"/>
      <c r="L204" s="296">
        <f t="shared" si="15"/>
        <v>0</v>
      </c>
      <c r="M204" s="296">
        <f t="shared" si="17"/>
        <v>259762</v>
      </c>
      <c r="N204" s="296">
        <f t="shared" si="18"/>
        <v>0</v>
      </c>
      <c r="O204" s="296">
        <f t="shared" si="16"/>
        <v>259762</v>
      </c>
    </row>
    <row r="205" spans="1:15" ht="24.95" customHeight="1" x14ac:dyDescent="0.2">
      <c r="A205" s="292"/>
      <c r="B205" s="292"/>
      <c r="C205" s="298" t="s">
        <v>749</v>
      </c>
      <c r="D205" s="363" t="s">
        <v>929</v>
      </c>
      <c r="E205" s="350"/>
      <c r="F205" s="358"/>
      <c r="G205" s="296">
        <v>340423</v>
      </c>
      <c r="H205" s="296">
        <v>0</v>
      </c>
      <c r="I205" s="281">
        <f t="shared" si="19"/>
        <v>340423</v>
      </c>
      <c r="J205" s="296"/>
      <c r="K205" s="296"/>
      <c r="L205" s="296">
        <f t="shared" si="15"/>
        <v>0</v>
      </c>
      <c r="M205" s="296">
        <f t="shared" si="17"/>
        <v>340423</v>
      </c>
      <c r="N205" s="296">
        <f t="shared" si="18"/>
        <v>0</v>
      </c>
      <c r="O205" s="296">
        <f t="shared" si="16"/>
        <v>340423</v>
      </c>
    </row>
    <row r="206" spans="1:15" ht="24.95" customHeight="1" x14ac:dyDescent="0.2">
      <c r="A206" s="292"/>
      <c r="B206" s="292"/>
      <c r="C206" s="298" t="s">
        <v>134</v>
      </c>
      <c r="D206" s="364" t="s">
        <v>671</v>
      </c>
      <c r="E206" s="350"/>
      <c r="F206" s="358"/>
      <c r="G206" s="296">
        <v>282579</v>
      </c>
      <c r="H206" s="296">
        <v>0</v>
      </c>
      <c r="I206" s="281">
        <f t="shared" si="19"/>
        <v>282579</v>
      </c>
      <c r="J206" s="296"/>
      <c r="K206" s="296"/>
      <c r="L206" s="296">
        <f t="shared" si="15"/>
        <v>0</v>
      </c>
      <c r="M206" s="296">
        <f t="shared" si="17"/>
        <v>282579</v>
      </c>
      <c r="N206" s="296">
        <f t="shared" si="18"/>
        <v>0</v>
      </c>
      <c r="O206" s="296">
        <f t="shared" si="16"/>
        <v>282579</v>
      </c>
    </row>
    <row r="207" spans="1:15" ht="24.95" customHeight="1" x14ac:dyDescent="0.2">
      <c r="A207" s="292"/>
      <c r="B207" s="292"/>
      <c r="C207" s="298" t="s">
        <v>135</v>
      </c>
      <c r="D207" s="365" t="s">
        <v>136</v>
      </c>
      <c r="E207" s="350"/>
      <c r="F207" s="358"/>
      <c r="G207" s="296">
        <v>39614</v>
      </c>
      <c r="H207" s="296">
        <v>0</v>
      </c>
      <c r="I207" s="281">
        <f t="shared" si="19"/>
        <v>39614</v>
      </c>
      <c r="J207" s="296"/>
      <c r="K207" s="296"/>
      <c r="L207" s="296">
        <f t="shared" si="15"/>
        <v>0</v>
      </c>
      <c r="M207" s="296">
        <f t="shared" si="17"/>
        <v>39614</v>
      </c>
      <c r="N207" s="296">
        <f t="shared" si="18"/>
        <v>0</v>
      </c>
      <c r="O207" s="296">
        <f t="shared" si="16"/>
        <v>39614</v>
      </c>
    </row>
    <row r="208" spans="1:15" ht="24.95" customHeight="1" x14ac:dyDescent="0.2">
      <c r="A208" s="292"/>
      <c r="B208" s="292"/>
      <c r="C208" s="298" t="s">
        <v>137</v>
      </c>
      <c r="D208" s="366" t="s">
        <v>138</v>
      </c>
      <c r="E208" s="350"/>
      <c r="F208" s="358" t="s">
        <v>693</v>
      </c>
      <c r="G208" s="296">
        <v>627967</v>
      </c>
      <c r="H208" s="296">
        <v>0</v>
      </c>
      <c r="I208" s="281">
        <f t="shared" si="19"/>
        <v>627967</v>
      </c>
      <c r="J208" s="296">
        <v>-26416</v>
      </c>
      <c r="K208" s="296"/>
      <c r="L208" s="296">
        <f t="shared" si="15"/>
        <v>-26416</v>
      </c>
      <c r="M208" s="296">
        <f t="shared" si="17"/>
        <v>601551</v>
      </c>
      <c r="N208" s="296">
        <f t="shared" si="18"/>
        <v>0</v>
      </c>
      <c r="O208" s="296">
        <f t="shared" si="16"/>
        <v>601551</v>
      </c>
    </row>
    <row r="209" spans="1:15" ht="15" customHeight="1" x14ac:dyDescent="0.2">
      <c r="A209" s="292"/>
      <c r="B209" s="292"/>
      <c r="C209" s="298" t="s">
        <v>139</v>
      </c>
      <c r="D209" s="366" t="s">
        <v>140</v>
      </c>
      <c r="E209" s="350"/>
      <c r="F209" s="358"/>
      <c r="G209" s="336">
        <v>0</v>
      </c>
      <c r="H209" s="336">
        <v>0</v>
      </c>
      <c r="I209" s="281">
        <f t="shared" si="19"/>
        <v>0</v>
      </c>
      <c r="J209" s="336"/>
      <c r="K209" s="336"/>
      <c r="L209" s="336">
        <f t="shared" si="15"/>
        <v>0</v>
      </c>
      <c r="M209" s="336">
        <f t="shared" si="17"/>
        <v>0</v>
      </c>
      <c r="N209" s="336">
        <f t="shared" si="18"/>
        <v>0</v>
      </c>
      <c r="O209" s="336">
        <f t="shared" si="16"/>
        <v>0</v>
      </c>
    </row>
    <row r="210" spans="1:15" ht="15" customHeight="1" x14ac:dyDescent="0.2">
      <c r="A210" s="292"/>
      <c r="B210" s="292"/>
      <c r="C210" s="298" t="s">
        <v>141</v>
      </c>
      <c r="D210" s="360" t="s">
        <v>142</v>
      </c>
      <c r="E210" s="358" t="s">
        <v>652</v>
      </c>
      <c r="F210" s="358"/>
      <c r="G210" s="336">
        <v>32432</v>
      </c>
      <c r="H210" s="336">
        <v>0</v>
      </c>
      <c r="I210" s="281">
        <f t="shared" si="19"/>
        <v>32432</v>
      </c>
      <c r="J210" s="336"/>
      <c r="K210" s="336"/>
      <c r="L210" s="336">
        <f t="shared" si="15"/>
        <v>0</v>
      </c>
      <c r="M210" s="336">
        <f t="shared" si="17"/>
        <v>32432</v>
      </c>
      <c r="N210" s="336">
        <f t="shared" si="18"/>
        <v>0</v>
      </c>
      <c r="O210" s="336">
        <f t="shared" si="16"/>
        <v>32432</v>
      </c>
    </row>
    <row r="211" spans="1:15" ht="24.95" customHeight="1" x14ac:dyDescent="0.2">
      <c r="A211" s="292"/>
      <c r="B211" s="292"/>
      <c r="C211" s="298" t="s">
        <v>143</v>
      </c>
      <c r="D211" s="363" t="s">
        <v>144</v>
      </c>
      <c r="E211" s="350"/>
      <c r="F211" s="358"/>
      <c r="G211" s="336">
        <v>335334</v>
      </c>
      <c r="H211" s="336">
        <v>0</v>
      </c>
      <c r="I211" s="281">
        <f t="shared" si="19"/>
        <v>335334</v>
      </c>
      <c r="J211" s="336"/>
      <c r="K211" s="336"/>
      <c r="L211" s="336">
        <f t="shared" si="15"/>
        <v>0</v>
      </c>
      <c r="M211" s="336">
        <f t="shared" si="17"/>
        <v>335334</v>
      </c>
      <c r="N211" s="336">
        <f t="shared" si="18"/>
        <v>0</v>
      </c>
      <c r="O211" s="336">
        <f t="shared" si="16"/>
        <v>335334</v>
      </c>
    </row>
    <row r="212" spans="1:15" ht="15" customHeight="1" x14ac:dyDescent="0.2">
      <c r="A212" s="292"/>
      <c r="B212" s="292"/>
      <c r="C212" s="298" t="s">
        <v>145</v>
      </c>
      <c r="D212" s="367" t="s">
        <v>690</v>
      </c>
      <c r="E212" s="350"/>
      <c r="F212" s="358"/>
      <c r="G212" s="336">
        <v>13586</v>
      </c>
      <c r="H212" s="336">
        <v>0</v>
      </c>
      <c r="I212" s="281">
        <f t="shared" si="19"/>
        <v>13586</v>
      </c>
      <c r="J212" s="336"/>
      <c r="K212" s="336"/>
      <c r="L212" s="336">
        <f t="shared" si="15"/>
        <v>0</v>
      </c>
      <c r="M212" s="336">
        <f t="shared" si="17"/>
        <v>13586</v>
      </c>
      <c r="N212" s="336">
        <f t="shared" si="18"/>
        <v>0</v>
      </c>
      <c r="O212" s="336">
        <f t="shared" si="16"/>
        <v>13586</v>
      </c>
    </row>
    <row r="213" spans="1:15" ht="15" customHeight="1" x14ac:dyDescent="0.2">
      <c r="A213" s="292"/>
      <c r="B213" s="292"/>
      <c r="C213" s="298" t="s">
        <v>146</v>
      </c>
      <c r="D213" s="368" t="s">
        <v>462</v>
      </c>
      <c r="E213" s="350"/>
      <c r="F213" s="358"/>
      <c r="G213" s="336">
        <v>9000</v>
      </c>
      <c r="H213" s="336">
        <v>0</v>
      </c>
      <c r="I213" s="281">
        <f t="shared" si="19"/>
        <v>9000</v>
      </c>
      <c r="J213" s="336"/>
      <c r="K213" s="336"/>
      <c r="L213" s="336">
        <f t="shared" si="15"/>
        <v>0</v>
      </c>
      <c r="M213" s="336">
        <f t="shared" si="17"/>
        <v>9000</v>
      </c>
      <c r="N213" s="336">
        <f t="shared" si="18"/>
        <v>0</v>
      </c>
      <c r="O213" s="336">
        <f t="shared" si="16"/>
        <v>9000</v>
      </c>
    </row>
    <row r="214" spans="1:15" ht="15" customHeight="1" x14ac:dyDescent="0.2">
      <c r="A214" s="292"/>
      <c r="B214" s="292"/>
      <c r="C214" s="298" t="s">
        <v>147</v>
      </c>
      <c r="D214" s="369" t="s">
        <v>592</v>
      </c>
      <c r="E214" s="350"/>
      <c r="F214" s="358"/>
      <c r="G214" s="336">
        <v>1366</v>
      </c>
      <c r="H214" s="336">
        <v>0</v>
      </c>
      <c r="I214" s="281">
        <f t="shared" si="19"/>
        <v>1366</v>
      </c>
      <c r="J214" s="336"/>
      <c r="K214" s="336"/>
      <c r="L214" s="336">
        <f t="shared" si="15"/>
        <v>0</v>
      </c>
      <c r="M214" s="336">
        <f t="shared" si="17"/>
        <v>1366</v>
      </c>
      <c r="N214" s="336">
        <f t="shared" si="18"/>
        <v>0</v>
      </c>
      <c r="O214" s="336">
        <f t="shared" si="16"/>
        <v>1366</v>
      </c>
    </row>
    <row r="215" spans="1:15" ht="15" customHeight="1" x14ac:dyDescent="0.2">
      <c r="A215" s="292"/>
      <c r="B215" s="292"/>
      <c r="C215" s="298" t="s">
        <v>552</v>
      </c>
      <c r="D215" s="369" t="s">
        <v>553</v>
      </c>
      <c r="E215" s="350"/>
      <c r="F215" s="358" t="s">
        <v>693</v>
      </c>
      <c r="G215" s="336"/>
      <c r="H215" s="336"/>
      <c r="I215" s="281"/>
      <c r="J215" s="336">
        <v>3000</v>
      </c>
      <c r="K215" s="336"/>
      <c r="L215" s="336">
        <f t="shared" si="15"/>
        <v>3000</v>
      </c>
      <c r="M215" s="336">
        <f t="shared" si="17"/>
        <v>3000</v>
      </c>
      <c r="N215" s="336"/>
      <c r="O215" s="336">
        <f t="shared" si="16"/>
        <v>3000</v>
      </c>
    </row>
    <row r="216" spans="1:15" ht="15" customHeight="1" x14ac:dyDescent="0.2">
      <c r="A216" s="292"/>
      <c r="B216" s="292"/>
      <c r="C216" s="292" t="s">
        <v>896</v>
      </c>
      <c r="D216" s="293" t="s">
        <v>750</v>
      </c>
      <c r="E216" s="278"/>
      <c r="F216" s="615"/>
      <c r="G216" s="336">
        <v>0</v>
      </c>
      <c r="H216" s="336">
        <v>0</v>
      </c>
      <c r="I216" s="281">
        <f t="shared" si="19"/>
        <v>0</v>
      </c>
      <c r="J216" s="336"/>
      <c r="K216" s="336"/>
      <c r="L216" s="336">
        <f t="shared" ref="L216:L263" si="20">SUM(J216:K216)</f>
        <v>0</v>
      </c>
      <c r="M216" s="336">
        <f t="shared" si="17"/>
        <v>0</v>
      </c>
      <c r="N216" s="336">
        <f t="shared" si="18"/>
        <v>0</v>
      </c>
      <c r="O216" s="336">
        <f t="shared" ref="O216:O263" si="21">SUM(M216:N216)</f>
        <v>0</v>
      </c>
    </row>
    <row r="217" spans="1:15" ht="15" customHeight="1" x14ac:dyDescent="0.2">
      <c r="A217" s="292"/>
      <c r="B217" s="292"/>
      <c r="C217" s="292" t="s">
        <v>672</v>
      </c>
      <c r="D217" s="320" t="s">
        <v>148</v>
      </c>
      <c r="E217" s="278"/>
      <c r="F217" s="615"/>
      <c r="G217" s="336">
        <v>35000</v>
      </c>
      <c r="H217" s="336">
        <v>0</v>
      </c>
      <c r="I217" s="281">
        <f t="shared" si="19"/>
        <v>35000</v>
      </c>
      <c r="J217" s="336"/>
      <c r="K217" s="336"/>
      <c r="L217" s="336">
        <f t="shared" si="20"/>
        <v>0</v>
      </c>
      <c r="M217" s="336">
        <f t="shared" ref="M217:M263" si="22">SUM(G217+J217)</f>
        <v>35000</v>
      </c>
      <c r="N217" s="336">
        <f t="shared" ref="N217:N263" si="23">SUM(H217+K217)</f>
        <v>0</v>
      </c>
      <c r="O217" s="336">
        <f t="shared" si="21"/>
        <v>35000</v>
      </c>
    </row>
    <row r="218" spans="1:15" ht="15" customHeight="1" x14ac:dyDescent="0.2">
      <c r="A218" s="292"/>
      <c r="B218" s="292"/>
      <c r="C218" s="298"/>
      <c r="D218" s="285" t="s">
        <v>1004</v>
      </c>
      <c r="E218" s="278"/>
      <c r="F218" s="615"/>
      <c r="G218" s="336">
        <v>0</v>
      </c>
      <c r="H218" s="336">
        <v>0</v>
      </c>
      <c r="I218" s="281">
        <f t="shared" si="19"/>
        <v>0</v>
      </c>
      <c r="J218" s="336"/>
      <c r="K218" s="336"/>
      <c r="L218" s="336">
        <f t="shared" si="20"/>
        <v>0</v>
      </c>
      <c r="M218" s="336">
        <f t="shared" si="22"/>
        <v>0</v>
      </c>
      <c r="N218" s="336">
        <f t="shared" si="23"/>
        <v>0</v>
      </c>
      <c r="O218" s="336">
        <f t="shared" si="21"/>
        <v>0</v>
      </c>
    </row>
    <row r="219" spans="1:15" ht="24.95" customHeight="1" x14ac:dyDescent="0.2">
      <c r="A219" s="292"/>
      <c r="B219" s="292"/>
      <c r="C219" s="298" t="s">
        <v>463</v>
      </c>
      <c r="D219" s="364" t="s">
        <v>673</v>
      </c>
      <c r="E219" s="278"/>
      <c r="F219" s="615"/>
      <c r="G219" s="296">
        <v>754396</v>
      </c>
      <c r="H219" s="296">
        <v>0</v>
      </c>
      <c r="I219" s="281">
        <f t="shared" si="19"/>
        <v>754396</v>
      </c>
      <c r="J219" s="296"/>
      <c r="K219" s="296"/>
      <c r="L219" s="296">
        <f t="shared" si="20"/>
        <v>0</v>
      </c>
      <c r="M219" s="296">
        <f t="shared" si="22"/>
        <v>754396</v>
      </c>
      <c r="N219" s="296">
        <f t="shared" si="23"/>
        <v>0</v>
      </c>
      <c r="O219" s="296">
        <f t="shared" si="21"/>
        <v>754396</v>
      </c>
    </row>
    <row r="220" spans="1:15" ht="36" customHeight="1" x14ac:dyDescent="0.2">
      <c r="A220" s="292"/>
      <c r="B220" s="292"/>
      <c r="C220" s="298" t="s">
        <v>149</v>
      </c>
      <c r="D220" s="365" t="s">
        <v>207</v>
      </c>
      <c r="E220" s="370"/>
      <c r="F220" s="399"/>
      <c r="G220" s="296">
        <v>338532</v>
      </c>
      <c r="H220" s="296">
        <v>0</v>
      </c>
      <c r="I220" s="281">
        <f t="shared" si="19"/>
        <v>338532</v>
      </c>
      <c r="J220" s="296"/>
      <c r="K220" s="296"/>
      <c r="L220" s="296">
        <f t="shared" si="20"/>
        <v>0</v>
      </c>
      <c r="M220" s="296">
        <f t="shared" si="22"/>
        <v>338532</v>
      </c>
      <c r="N220" s="296">
        <f t="shared" si="23"/>
        <v>0</v>
      </c>
      <c r="O220" s="296">
        <f t="shared" si="21"/>
        <v>338532</v>
      </c>
    </row>
    <row r="221" spans="1:15" ht="15" customHeight="1" x14ac:dyDescent="0.2">
      <c r="A221" s="292"/>
      <c r="B221" s="292"/>
      <c r="C221" s="292" t="s">
        <v>897</v>
      </c>
      <c r="D221" s="300" t="s">
        <v>898</v>
      </c>
      <c r="E221" s="278"/>
      <c r="F221" s="615"/>
      <c r="G221" s="336"/>
      <c r="H221" s="336"/>
      <c r="I221" s="281">
        <f t="shared" si="19"/>
        <v>0</v>
      </c>
      <c r="J221" s="336"/>
      <c r="K221" s="336"/>
      <c r="L221" s="336"/>
      <c r="M221" s="336"/>
      <c r="N221" s="336"/>
      <c r="O221" s="336"/>
    </row>
    <row r="222" spans="1:15" ht="15" customHeight="1" x14ac:dyDescent="0.2">
      <c r="A222" s="292"/>
      <c r="B222" s="292"/>
      <c r="C222" s="276"/>
      <c r="D222" s="317" t="s">
        <v>1004</v>
      </c>
      <c r="E222" s="278"/>
      <c r="F222" s="615"/>
      <c r="G222" s="336"/>
      <c r="H222" s="336"/>
      <c r="I222" s="281">
        <f t="shared" si="19"/>
        <v>0</v>
      </c>
      <c r="J222" s="336"/>
      <c r="K222" s="336"/>
      <c r="L222" s="336"/>
      <c r="M222" s="336"/>
      <c r="N222" s="336"/>
      <c r="O222" s="336"/>
    </row>
    <row r="223" spans="1:15" ht="24.95" customHeight="1" x14ac:dyDescent="0.2">
      <c r="A223" s="292"/>
      <c r="B223" s="292"/>
      <c r="C223" s="276" t="s">
        <v>150</v>
      </c>
      <c r="D223" s="371" t="s">
        <v>578</v>
      </c>
      <c r="E223" s="278"/>
      <c r="F223" s="615" t="s">
        <v>924</v>
      </c>
      <c r="G223" s="296">
        <v>940</v>
      </c>
      <c r="H223" s="296">
        <v>0</v>
      </c>
      <c r="I223" s="281">
        <f t="shared" si="19"/>
        <v>940</v>
      </c>
      <c r="J223" s="296">
        <v>1010</v>
      </c>
      <c r="K223" s="296"/>
      <c r="L223" s="296">
        <f t="shared" si="20"/>
        <v>1010</v>
      </c>
      <c r="M223" s="296">
        <f t="shared" si="22"/>
        <v>1950</v>
      </c>
      <c r="N223" s="296">
        <f t="shared" si="23"/>
        <v>0</v>
      </c>
      <c r="O223" s="296">
        <f t="shared" si="21"/>
        <v>1950</v>
      </c>
    </row>
    <row r="224" spans="1:15" ht="13.5" x14ac:dyDescent="0.2">
      <c r="A224" s="292"/>
      <c r="B224" s="292"/>
      <c r="C224" s="292" t="s">
        <v>899</v>
      </c>
      <c r="D224" s="293" t="s">
        <v>900</v>
      </c>
      <c r="E224" s="344"/>
      <c r="F224" s="612"/>
      <c r="G224" s="336">
        <v>0</v>
      </c>
      <c r="H224" s="336">
        <v>0</v>
      </c>
      <c r="I224" s="281">
        <f t="shared" si="19"/>
        <v>0</v>
      </c>
      <c r="J224" s="336"/>
      <c r="K224" s="336"/>
      <c r="L224" s="336">
        <f t="shared" si="20"/>
        <v>0</v>
      </c>
      <c r="M224" s="336">
        <f t="shared" si="22"/>
        <v>0</v>
      </c>
      <c r="N224" s="336">
        <f t="shared" si="23"/>
        <v>0</v>
      </c>
      <c r="O224" s="336">
        <f t="shared" si="21"/>
        <v>0</v>
      </c>
    </row>
    <row r="225" spans="1:15" ht="13.5" x14ac:dyDescent="0.2">
      <c r="A225" s="292"/>
      <c r="B225" s="292"/>
      <c r="C225" s="298" t="s">
        <v>901</v>
      </c>
      <c r="D225" s="352" t="s">
        <v>751</v>
      </c>
      <c r="E225" s="372"/>
      <c r="F225" s="612"/>
      <c r="G225" s="336">
        <v>20000</v>
      </c>
      <c r="H225" s="336">
        <v>0</v>
      </c>
      <c r="I225" s="281">
        <f t="shared" si="19"/>
        <v>20000</v>
      </c>
      <c r="J225" s="336"/>
      <c r="K225" s="336"/>
      <c r="L225" s="336">
        <f t="shared" si="20"/>
        <v>0</v>
      </c>
      <c r="M225" s="336">
        <f t="shared" si="22"/>
        <v>20000</v>
      </c>
      <c r="N225" s="336">
        <f t="shared" si="23"/>
        <v>0</v>
      </c>
      <c r="O225" s="336">
        <f t="shared" si="21"/>
        <v>20000</v>
      </c>
    </row>
    <row r="226" spans="1:15" ht="13.5" x14ac:dyDescent="0.2">
      <c r="A226" s="292"/>
      <c r="B226" s="292"/>
      <c r="C226" s="298" t="s">
        <v>902</v>
      </c>
      <c r="D226" s="373" t="s">
        <v>151</v>
      </c>
      <c r="E226" s="372"/>
      <c r="F226" s="612"/>
      <c r="G226" s="336">
        <v>1600</v>
      </c>
      <c r="H226" s="336">
        <v>0</v>
      </c>
      <c r="I226" s="281">
        <f t="shared" si="19"/>
        <v>1600</v>
      </c>
      <c r="J226" s="336"/>
      <c r="K226" s="336"/>
      <c r="L226" s="336">
        <f t="shared" si="20"/>
        <v>0</v>
      </c>
      <c r="M226" s="336">
        <f t="shared" si="22"/>
        <v>1600</v>
      </c>
      <c r="N226" s="336">
        <f t="shared" si="23"/>
        <v>0</v>
      </c>
      <c r="O226" s="336">
        <f t="shared" si="21"/>
        <v>1600</v>
      </c>
    </row>
    <row r="227" spans="1:15" ht="24" x14ac:dyDescent="0.2">
      <c r="A227" s="292"/>
      <c r="B227" s="292"/>
      <c r="C227" s="298" t="s">
        <v>903</v>
      </c>
      <c r="D227" s="327" t="s">
        <v>152</v>
      </c>
      <c r="E227" s="372"/>
      <c r="F227" s="612"/>
      <c r="G227" s="336">
        <v>1000</v>
      </c>
      <c r="H227" s="336">
        <v>0</v>
      </c>
      <c r="I227" s="281">
        <f t="shared" si="19"/>
        <v>1000</v>
      </c>
      <c r="J227" s="336"/>
      <c r="K227" s="336"/>
      <c r="L227" s="336">
        <f t="shared" si="20"/>
        <v>0</v>
      </c>
      <c r="M227" s="336">
        <f t="shared" si="22"/>
        <v>1000</v>
      </c>
      <c r="N227" s="336">
        <f t="shared" si="23"/>
        <v>0</v>
      </c>
      <c r="O227" s="336">
        <f t="shared" si="21"/>
        <v>1000</v>
      </c>
    </row>
    <row r="228" spans="1:15" ht="13.5" x14ac:dyDescent="0.2">
      <c r="A228" s="292"/>
      <c r="B228" s="292"/>
      <c r="C228" s="298" t="s">
        <v>904</v>
      </c>
      <c r="D228" s="327" t="s">
        <v>153</v>
      </c>
      <c r="E228" s="372"/>
      <c r="F228" s="612"/>
      <c r="G228" s="336">
        <v>55000</v>
      </c>
      <c r="H228" s="336">
        <v>0</v>
      </c>
      <c r="I228" s="281">
        <f t="shared" si="19"/>
        <v>55000</v>
      </c>
      <c r="J228" s="336"/>
      <c r="K228" s="336"/>
      <c r="L228" s="336">
        <f t="shared" si="20"/>
        <v>0</v>
      </c>
      <c r="M228" s="336">
        <f t="shared" si="22"/>
        <v>55000</v>
      </c>
      <c r="N228" s="336">
        <f t="shared" si="23"/>
        <v>0</v>
      </c>
      <c r="O228" s="336">
        <f t="shared" si="21"/>
        <v>55000</v>
      </c>
    </row>
    <row r="229" spans="1:15" ht="13.5" x14ac:dyDescent="0.2">
      <c r="A229" s="292"/>
      <c r="B229" s="292"/>
      <c r="C229" s="298" t="s">
        <v>358</v>
      </c>
      <c r="D229" s="339" t="s">
        <v>154</v>
      </c>
      <c r="E229" s="372"/>
      <c r="F229" s="612"/>
      <c r="G229" s="336">
        <v>5000</v>
      </c>
      <c r="H229" s="336">
        <v>0</v>
      </c>
      <c r="I229" s="281">
        <f t="shared" si="19"/>
        <v>5000</v>
      </c>
      <c r="J229" s="336"/>
      <c r="K229" s="336"/>
      <c r="L229" s="336">
        <f t="shared" si="20"/>
        <v>0</v>
      </c>
      <c r="M229" s="336">
        <f t="shared" si="22"/>
        <v>5000</v>
      </c>
      <c r="N229" s="336">
        <f t="shared" si="23"/>
        <v>0</v>
      </c>
      <c r="O229" s="336">
        <f t="shared" si="21"/>
        <v>5000</v>
      </c>
    </row>
    <row r="230" spans="1:15" ht="13.5" x14ac:dyDescent="0.2">
      <c r="A230" s="292"/>
      <c r="B230" s="292"/>
      <c r="C230" s="298" t="s">
        <v>359</v>
      </c>
      <c r="D230" s="256" t="s">
        <v>155</v>
      </c>
      <c r="E230" s="315"/>
      <c r="F230" s="618"/>
      <c r="G230" s="336">
        <v>1000</v>
      </c>
      <c r="H230" s="336">
        <v>0</v>
      </c>
      <c r="I230" s="281">
        <f t="shared" si="19"/>
        <v>1000</v>
      </c>
      <c r="J230" s="336"/>
      <c r="K230" s="336"/>
      <c r="L230" s="336">
        <f t="shared" si="20"/>
        <v>0</v>
      </c>
      <c r="M230" s="336">
        <f t="shared" si="22"/>
        <v>1000</v>
      </c>
      <c r="N230" s="336">
        <f t="shared" si="23"/>
        <v>0</v>
      </c>
      <c r="O230" s="336">
        <f t="shared" si="21"/>
        <v>1000</v>
      </c>
    </row>
    <row r="231" spans="1:15" ht="13.5" x14ac:dyDescent="0.2">
      <c r="A231" s="292"/>
      <c r="B231" s="292"/>
      <c r="C231" s="298" t="s">
        <v>525</v>
      </c>
      <c r="D231" s="40" t="s">
        <v>526</v>
      </c>
      <c r="E231" s="315"/>
      <c r="F231" s="618"/>
      <c r="G231" s="336">
        <v>5000</v>
      </c>
      <c r="H231" s="336"/>
      <c r="I231" s="281">
        <f t="shared" si="19"/>
        <v>5000</v>
      </c>
      <c r="J231" s="336"/>
      <c r="K231" s="336"/>
      <c r="L231" s="336">
        <f t="shared" si="20"/>
        <v>0</v>
      </c>
      <c r="M231" s="336">
        <f t="shared" si="22"/>
        <v>5000</v>
      </c>
      <c r="N231" s="336"/>
      <c r="O231" s="336">
        <f t="shared" si="21"/>
        <v>5000</v>
      </c>
    </row>
    <row r="232" spans="1:15" ht="13.5" x14ac:dyDescent="0.2">
      <c r="A232" s="292"/>
      <c r="B232" s="292"/>
      <c r="C232" s="298"/>
      <c r="D232" s="285" t="s">
        <v>1004</v>
      </c>
      <c r="E232" s="372"/>
      <c r="F232" s="612"/>
      <c r="G232" s="336"/>
      <c r="H232" s="336"/>
      <c r="I232" s="281">
        <f t="shared" si="19"/>
        <v>0</v>
      </c>
      <c r="J232" s="336"/>
      <c r="K232" s="336"/>
      <c r="L232" s="336"/>
      <c r="M232" s="336"/>
      <c r="N232" s="336"/>
      <c r="O232" s="336"/>
    </row>
    <row r="233" spans="1:15" ht="13.5" x14ac:dyDescent="0.2">
      <c r="A233" s="292"/>
      <c r="B233" s="292"/>
      <c r="C233" s="298" t="s">
        <v>752</v>
      </c>
      <c r="D233" s="332" t="s">
        <v>604</v>
      </c>
      <c r="E233" s="372"/>
      <c r="F233" s="612"/>
      <c r="G233" s="336">
        <v>8033</v>
      </c>
      <c r="H233" s="336">
        <v>268</v>
      </c>
      <c r="I233" s="281">
        <f t="shared" si="19"/>
        <v>8301</v>
      </c>
      <c r="J233" s="336"/>
      <c r="K233" s="336"/>
      <c r="L233" s="336">
        <f t="shared" si="20"/>
        <v>0</v>
      </c>
      <c r="M233" s="336">
        <f t="shared" si="22"/>
        <v>8033</v>
      </c>
      <c r="N233" s="336">
        <f t="shared" si="23"/>
        <v>268</v>
      </c>
      <c r="O233" s="336">
        <f t="shared" si="21"/>
        <v>8301</v>
      </c>
    </row>
    <row r="234" spans="1:15" ht="13.5" x14ac:dyDescent="0.2">
      <c r="A234" s="374"/>
      <c r="B234" s="374"/>
      <c r="C234" s="270"/>
      <c r="D234" s="271" t="s">
        <v>660</v>
      </c>
      <c r="E234" s="272"/>
      <c r="F234" s="614"/>
      <c r="G234" s="375">
        <f>SUM(G126:G233)</f>
        <v>5988485</v>
      </c>
      <c r="H234" s="375">
        <f>SUM(H126:H233)</f>
        <v>33868</v>
      </c>
      <c r="I234" s="375">
        <f>SUM(I126:I233)</f>
        <v>6022353</v>
      </c>
      <c r="J234" s="375">
        <f t="shared" ref="J234:O234" si="24">SUM(J126:J233)</f>
        <v>-42384</v>
      </c>
      <c r="K234" s="375">
        <f t="shared" si="24"/>
        <v>0</v>
      </c>
      <c r="L234" s="375">
        <f t="shared" si="24"/>
        <v>-42384</v>
      </c>
      <c r="M234" s="375">
        <f t="shared" si="24"/>
        <v>5946101</v>
      </c>
      <c r="N234" s="375">
        <f t="shared" si="24"/>
        <v>33868</v>
      </c>
      <c r="O234" s="375">
        <f t="shared" si="24"/>
        <v>5979969</v>
      </c>
    </row>
    <row r="235" spans="1:15" ht="13.5" x14ac:dyDescent="0.2">
      <c r="A235" s="376">
        <v>1</v>
      </c>
      <c r="B235" s="376">
        <v>17</v>
      </c>
      <c r="C235" s="276"/>
      <c r="D235" s="377" t="s">
        <v>156</v>
      </c>
      <c r="E235" s="378"/>
      <c r="F235" s="611"/>
      <c r="G235" s="336"/>
      <c r="H235" s="336"/>
      <c r="I235" s="326"/>
      <c r="J235" s="336"/>
      <c r="K235" s="336"/>
      <c r="L235" s="336"/>
      <c r="M235" s="336"/>
      <c r="N235" s="336"/>
      <c r="O235" s="336"/>
    </row>
    <row r="236" spans="1:15" ht="13.5" x14ac:dyDescent="0.2">
      <c r="A236" s="376"/>
      <c r="B236" s="376"/>
      <c r="C236" s="276" t="s">
        <v>758</v>
      </c>
      <c r="D236" s="379" t="s">
        <v>157</v>
      </c>
      <c r="E236" s="378"/>
      <c r="F236" s="611"/>
      <c r="G236" s="336">
        <v>171958</v>
      </c>
      <c r="H236" s="336">
        <v>0</v>
      </c>
      <c r="I236" s="225">
        <f>SUM(G236:H236)</f>
        <v>171958</v>
      </c>
      <c r="J236" s="336"/>
      <c r="K236" s="336"/>
      <c r="L236" s="336">
        <f t="shared" si="20"/>
        <v>0</v>
      </c>
      <c r="M236" s="336">
        <f t="shared" si="22"/>
        <v>171958</v>
      </c>
      <c r="N236" s="336">
        <f t="shared" si="23"/>
        <v>0</v>
      </c>
      <c r="O236" s="336">
        <f t="shared" si="21"/>
        <v>171958</v>
      </c>
    </row>
    <row r="237" spans="1:15" ht="13.5" x14ac:dyDescent="0.2">
      <c r="A237" s="376"/>
      <c r="B237" s="376"/>
      <c r="C237" s="276" t="s">
        <v>839</v>
      </c>
      <c r="D237" s="379" t="s">
        <v>499</v>
      </c>
      <c r="E237" s="378"/>
      <c r="F237" s="611"/>
      <c r="G237" s="336">
        <v>260</v>
      </c>
      <c r="H237" s="336"/>
      <c r="I237" s="225">
        <f t="shared" ref="I237:I244" si="25">SUM(G237:H237)</f>
        <v>260</v>
      </c>
      <c r="J237" s="336"/>
      <c r="K237" s="336"/>
      <c r="L237" s="336">
        <f t="shared" si="20"/>
        <v>0</v>
      </c>
      <c r="M237" s="336">
        <f t="shared" si="22"/>
        <v>260</v>
      </c>
      <c r="N237" s="336"/>
      <c r="O237" s="336">
        <f t="shared" si="21"/>
        <v>260</v>
      </c>
    </row>
    <row r="238" spans="1:15" ht="13.5" x14ac:dyDescent="0.2">
      <c r="A238" s="376"/>
      <c r="B238" s="376"/>
      <c r="C238" s="276" t="s">
        <v>841</v>
      </c>
      <c r="D238" s="379" t="s">
        <v>348</v>
      </c>
      <c r="E238" s="378"/>
      <c r="F238" s="611" t="s">
        <v>693</v>
      </c>
      <c r="G238" s="336"/>
      <c r="H238" s="336"/>
      <c r="I238" s="225"/>
      <c r="J238" s="336">
        <v>2500</v>
      </c>
      <c r="K238" s="336"/>
      <c r="L238" s="336">
        <f t="shared" si="20"/>
        <v>2500</v>
      </c>
      <c r="M238" s="336">
        <f t="shared" si="22"/>
        <v>2500</v>
      </c>
      <c r="N238" s="336"/>
      <c r="O238" s="336">
        <f t="shared" si="21"/>
        <v>2500</v>
      </c>
    </row>
    <row r="239" spans="1:15" ht="14.1" customHeight="1" x14ac:dyDescent="0.2">
      <c r="A239" s="282"/>
      <c r="B239" s="282"/>
      <c r="C239" s="276"/>
      <c r="D239" s="285" t="s">
        <v>1004</v>
      </c>
      <c r="E239" s="372"/>
      <c r="F239" s="612"/>
      <c r="G239" s="336">
        <v>0</v>
      </c>
      <c r="H239" s="336">
        <v>0</v>
      </c>
      <c r="I239" s="225">
        <f t="shared" si="25"/>
        <v>0</v>
      </c>
      <c r="J239" s="336"/>
      <c r="K239" s="336"/>
      <c r="L239" s="336">
        <f t="shared" si="20"/>
        <v>0</v>
      </c>
      <c r="M239" s="336">
        <f t="shared" si="22"/>
        <v>0</v>
      </c>
      <c r="N239" s="336">
        <f t="shared" si="23"/>
        <v>0</v>
      </c>
      <c r="O239" s="336">
        <f t="shared" si="21"/>
        <v>0</v>
      </c>
    </row>
    <row r="240" spans="1:15" ht="24.95" customHeight="1" x14ac:dyDescent="0.2">
      <c r="A240" s="282"/>
      <c r="B240" s="282"/>
      <c r="C240" s="276" t="s">
        <v>639</v>
      </c>
      <c r="D240" s="380" t="s">
        <v>692</v>
      </c>
      <c r="E240" s="372"/>
      <c r="F240" s="612"/>
      <c r="G240" s="336">
        <v>63299</v>
      </c>
      <c r="H240" s="336">
        <v>0</v>
      </c>
      <c r="I240" s="225">
        <f t="shared" si="25"/>
        <v>63299</v>
      </c>
      <c r="J240" s="336"/>
      <c r="K240" s="336"/>
      <c r="L240" s="336">
        <f t="shared" si="20"/>
        <v>0</v>
      </c>
      <c r="M240" s="336">
        <f t="shared" si="22"/>
        <v>63299</v>
      </c>
      <c r="N240" s="336">
        <f t="shared" si="23"/>
        <v>0</v>
      </c>
      <c r="O240" s="336">
        <f t="shared" si="21"/>
        <v>63299</v>
      </c>
    </row>
    <row r="241" spans="1:15" ht="15" customHeight="1" x14ac:dyDescent="0.2">
      <c r="A241" s="282"/>
      <c r="B241" s="282"/>
      <c r="C241" s="276" t="s">
        <v>640</v>
      </c>
      <c r="D241" s="356" t="s">
        <v>694</v>
      </c>
      <c r="E241" s="372"/>
      <c r="F241" s="612"/>
      <c r="G241" s="336">
        <v>30000</v>
      </c>
      <c r="H241" s="336">
        <v>0</v>
      </c>
      <c r="I241" s="225">
        <f t="shared" si="25"/>
        <v>30000</v>
      </c>
      <c r="J241" s="336"/>
      <c r="K241" s="336"/>
      <c r="L241" s="336">
        <f t="shared" si="20"/>
        <v>0</v>
      </c>
      <c r="M241" s="336">
        <f t="shared" si="22"/>
        <v>30000</v>
      </c>
      <c r="N241" s="336">
        <f t="shared" si="23"/>
        <v>0</v>
      </c>
      <c r="O241" s="336">
        <f t="shared" si="21"/>
        <v>30000</v>
      </c>
    </row>
    <row r="242" spans="1:15" ht="15" customHeight="1" x14ac:dyDescent="0.2">
      <c r="A242" s="282"/>
      <c r="B242" s="282"/>
      <c r="C242" s="276" t="s">
        <v>641</v>
      </c>
      <c r="D242" s="380" t="s">
        <v>605</v>
      </c>
      <c r="E242" s="372"/>
      <c r="F242" s="612"/>
      <c r="G242" s="336">
        <v>80626</v>
      </c>
      <c r="H242" s="336">
        <v>0</v>
      </c>
      <c r="I242" s="225">
        <f t="shared" si="25"/>
        <v>80626</v>
      </c>
      <c r="J242" s="336"/>
      <c r="K242" s="336"/>
      <c r="L242" s="336">
        <f t="shared" si="20"/>
        <v>0</v>
      </c>
      <c r="M242" s="336">
        <f t="shared" si="22"/>
        <v>80626</v>
      </c>
      <c r="N242" s="336">
        <f t="shared" si="23"/>
        <v>0</v>
      </c>
      <c r="O242" s="336">
        <f t="shared" si="21"/>
        <v>80626</v>
      </c>
    </row>
    <row r="243" spans="1:15" ht="24.95" customHeight="1" x14ac:dyDescent="0.2">
      <c r="A243" s="282"/>
      <c r="B243" s="282"/>
      <c r="C243" s="276" t="s">
        <v>158</v>
      </c>
      <c r="D243" s="380" t="s">
        <v>159</v>
      </c>
      <c r="E243" s="372"/>
      <c r="F243" s="612"/>
      <c r="G243" s="336">
        <v>103100</v>
      </c>
      <c r="H243" s="336">
        <v>0</v>
      </c>
      <c r="I243" s="225">
        <f t="shared" si="25"/>
        <v>103100</v>
      </c>
      <c r="J243" s="336"/>
      <c r="K243" s="336"/>
      <c r="L243" s="336">
        <f t="shared" si="20"/>
        <v>0</v>
      </c>
      <c r="M243" s="336">
        <f t="shared" si="22"/>
        <v>103100</v>
      </c>
      <c r="N243" s="336">
        <f t="shared" si="23"/>
        <v>0</v>
      </c>
      <c r="O243" s="336">
        <f t="shared" si="21"/>
        <v>103100</v>
      </c>
    </row>
    <row r="244" spans="1:15" ht="15" customHeight="1" x14ac:dyDescent="0.2">
      <c r="A244" s="282"/>
      <c r="B244" s="282"/>
      <c r="C244" s="276" t="s">
        <v>160</v>
      </c>
      <c r="D244" s="381" t="s">
        <v>161</v>
      </c>
      <c r="E244" s="372"/>
      <c r="F244" s="612"/>
      <c r="G244" s="336">
        <v>300</v>
      </c>
      <c r="H244" s="336">
        <v>0</v>
      </c>
      <c r="I244" s="225">
        <f t="shared" si="25"/>
        <v>300</v>
      </c>
      <c r="J244" s="336"/>
      <c r="K244" s="336"/>
      <c r="L244" s="336">
        <f t="shared" si="20"/>
        <v>0</v>
      </c>
      <c r="M244" s="336">
        <f t="shared" si="22"/>
        <v>300</v>
      </c>
      <c r="N244" s="336">
        <f t="shared" si="23"/>
        <v>0</v>
      </c>
      <c r="O244" s="336">
        <f t="shared" si="21"/>
        <v>300</v>
      </c>
    </row>
    <row r="245" spans="1:15" ht="12" customHeight="1" x14ac:dyDescent="0.2">
      <c r="A245" s="374"/>
      <c r="B245" s="374"/>
      <c r="C245" s="270"/>
      <c r="D245" s="271" t="s">
        <v>645</v>
      </c>
      <c r="E245" s="272"/>
      <c r="F245" s="614"/>
      <c r="G245" s="375">
        <f>SUM(G236:G244)</f>
        <v>449543</v>
      </c>
      <c r="H245" s="375">
        <f>SUM(H236:H244)</f>
        <v>0</v>
      </c>
      <c r="I245" s="375">
        <f>SUM(I236:I244)</f>
        <v>449543</v>
      </c>
      <c r="J245" s="375">
        <f t="shared" ref="J245:O245" si="26">SUM(J236:J244)</f>
        <v>2500</v>
      </c>
      <c r="K245" s="375">
        <f t="shared" si="26"/>
        <v>0</v>
      </c>
      <c r="L245" s="375">
        <f t="shared" si="26"/>
        <v>2500</v>
      </c>
      <c r="M245" s="375">
        <f t="shared" si="26"/>
        <v>452043</v>
      </c>
      <c r="N245" s="375">
        <f t="shared" si="26"/>
        <v>0</v>
      </c>
      <c r="O245" s="375">
        <f t="shared" si="26"/>
        <v>452043</v>
      </c>
    </row>
    <row r="246" spans="1:15" ht="12" customHeight="1" x14ac:dyDescent="0.2">
      <c r="A246" s="238">
        <v>1</v>
      </c>
      <c r="B246" s="238">
        <v>18</v>
      </c>
      <c r="C246" s="239"/>
      <c r="D246" s="382" t="s">
        <v>606</v>
      </c>
      <c r="E246" s="383"/>
      <c r="F246" s="613"/>
      <c r="G246" s="325"/>
      <c r="H246" s="325"/>
      <c r="I246" s="325"/>
      <c r="J246" s="336"/>
      <c r="K246" s="336"/>
      <c r="L246" s="336"/>
      <c r="M246" s="336"/>
      <c r="N246" s="336"/>
      <c r="O246" s="336"/>
    </row>
    <row r="247" spans="1:15" ht="12" customHeight="1" x14ac:dyDescent="0.2">
      <c r="A247" s="238"/>
      <c r="B247" s="238"/>
      <c r="C247" s="239" t="s">
        <v>758</v>
      </c>
      <c r="D247" s="285" t="s">
        <v>162</v>
      </c>
      <c r="E247" s="383"/>
      <c r="F247" s="613"/>
      <c r="G247" s="242">
        <v>500</v>
      </c>
      <c r="H247" s="242"/>
      <c r="I247" s="242">
        <v>500</v>
      </c>
      <c r="J247" s="336"/>
      <c r="K247" s="336"/>
      <c r="L247" s="336">
        <f t="shared" si="20"/>
        <v>0</v>
      </c>
      <c r="M247" s="336">
        <f t="shared" si="22"/>
        <v>500</v>
      </c>
      <c r="N247" s="336">
        <f t="shared" si="23"/>
        <v>0</v>
      </c>
      <c r="O247" s="336">
        <f t="shared" si="21"/>
        <v>500</v>
      </c>
    </row>
    <row r="248" spans="1:15" ht="12" customHeight="1" x14ac:dyDescent="0.2">
      <c r="A248" s="384"/>
      <c r="B248" s="384"/>
      <c r="C248" s="270"/>
      <c r="D248" s="271" t="s">
        <v>607</v>
      </c>
      <c r="E248" s="272"/>
      <c r="F248" s="614"/>
      <c r="G248" s="375">
        <f>SUM(G247)</f>
        <v>500</v>
      </c>
      <c r="H248" s="375"/>
      <c r="I248" s="375">
        <f>SUM(I247)</f>
        <v>500</v>
      </c>
      <c r="J248" s="375">
        <f t="shared" ref="J248:O248" si="27">SUM(J247)</f>
        <v>0</v>
      </c>
      <c r="K248" s="375">
        <f t="shared" si="27"/>
        <v>0</v>
      </c>
      <c r="L248" s="375">
        <f t="shared" si="27"/>
        <v>0</v>
      </c>
      <c r="M248" s="375">
        <f t="shared" si="27"/>
        <v>500</v>
      </c>
      <c r="N248" s="375">
        <f t="shared" si="27"/>
        <v>0</v>
      </c>
      <c r="O248" s="375">
        <f t="shared" si="27"/>
        <v>500</v>
      </c>
    </row>
    <row r="249" spans="1:15" ht="12" customHeight="1" x14ac:dyDescent="0.2">
      <c r="A249" s="376">
        <v>1</v>
      </c>
      <c r="B249" s="376">
        <v>19</v>
      </c>
      <c r="C249" s="276"/>
      <c r="D249" s="377" t="s">
        <v>912</v>
      </c>
      <c r="E249" s="378"/>
      <c r="F249" s="611"/>
      <c r="G249" s="336"/>
      <c r="H249" s="336"/>
      <c r="I249" s="326"/>
      <c r="J249" s="336"/>
      <c r="K249" s="336"/>
      <c r="L249" s="336"/>
      <c r="M249" s="336"/>
      <c r="N249" s="336"/>
      <c r="O249" s="336"/>
    </row>
    <row r="250" spans="1:15" ht="12" customHeight="1" x14ac:dyDescent="0.2">
      <c r="A250" s="376"/>
      <c r="B250" s="376"/>
      <c r="C250" s="276" t="s">
        <v>758</v>
      </c>
      <c r="D250" s="719" t="s">
        <v>518</v>
      </c>
      <c r="E250" s="720"/>
      <c r="F250" s="611" t="s">
        <v>693</v>
      </c>
      <c r="G250" s="336"/>
      <c r="H250" s="336">
        <v>7550</v>
      </c>
      <c r="I250" s="225">
        <f>SUM(H250)</f>
        <v>7550</v>
      </c>
      <c r="J250" s="336"/>
      <c r="K250" s="336"/>
      <c r="L250" s="336"/>
      <c r="M250" s="336"/>
      <c r="N250" s="336">
        <v>7550</v>
      </c>
      <c r="O250" s="336">
        <v>7550</v>
      </c>
    </row>
    <row r="251" spans="1:15" ht="12" customHeight="1" x14ac:dyDescent="0.2">
      <c r="A251" s="376"/>
      <c r="B251" s="376"/>
      <c r="C251" s="276" t="s">
        <v>839</v>
      </c>
      <c r="D251" s="688" t="s">
        <v>1077</v>
      </c>
      <c r="E251" s="686"/>
      <c r="F251" s="611" t="s">
        <v>693</v>
      </c>
      <c r="G251" s="336"/>
      <c r="H251" s="336"/>
      <c r="I251" s="225"/>
      <c r="J251" s="336"/>
      <c r="K251" s="336">
        <v>1000</v>
      </c>
      <c r="L251" s="336">
        <v>1000</v>
      </c>
      <c r="M251" s="336"/>
      <c r="N251" s="336">
        <v>1000</v>
      </c>
      <c r="O251" s="336">
        <v>1000</v>
      </c>
    </row>
    <row r="252" spans="1:15" ht="12" customHeight="1" x14ac:dyDescent="0.2">
      <c r="A252" s="376"/>
      <c r="B252" s="376"/>
      <c r="C252" s="276"/>
      <c r="D252" s="285" t="s">
        <v>1004</v>
      </c>
      <c r="E252" s="378"/>
      <c r="F252" s="611"/>
      <c r="G252" s="336"/>
      <c r="H252" s="336"/>
      <c r="I252" s="225">
        <f>SUM(H252)</f>
        <v>0</v>
      </c>
      <c r="J252" s="336"/>
      <c r="K252" s="336"/>
      <c r="L252" s="336"/>
      <c r="M252" s="336"/>
      <c r="N252" s="336"/>
      <c r="O252" s="336"/>
    </row>
    <row r="253" spans="1:15" ht="15" customHeight="1" x14ac:dyDescent="0.2">
      <c r="A253" s="376"/>
      <c r="B253" s="376"/>
      <c r="C253" s="276" t="s">
        <v>696</v>
      </c>
      <c r="D253" s="385" t="s">
        <v>163</v>
      </c>
      <c r="E253" s="378"/>
      <c r="F253" s="611"/>
      <c r="G253" s="336">
        <v>0</v>
      </c>
      <c r="H253" s="296">
        <v>1500</v>
      </c>
      <c r="I253" s="225">
        <f>SUM(H253)</f>
        <v>1500</v>
      </c>
      <c r="J253" s="296"/>
      <c r="K253" s="296"/>
      <c r="L253" s="296">
        <f t="shared" si="20"/>
        <v>0</v>
      </c>
      <c r="M253" s="296">
        <f t="shared" si="22"/>
        <v>0</v>
      </c>
      <c r="N253" s="296">
        <f t="shared" si="23"/>
        <v>1500</v>
      </c>
      <c r="O253" s="296">
        <f t="shared" si="21"/>
        <v>1500</v>
      </c>
    </row>
    <row r="254" spans="1:15" ht="24.95" customHeight="1" x14ac:dyDescent="0.2">
      <c r="A254" s="376"/>
      <c r="B254" s="376"/>
      <c r="C254" s="276" t="s">
        <v>729</v>
      </c>
      <c r="D254" s="386" t="s">
        <v>608</v>
      </c>
      <c r="E254" s="378"/>
      <c r="F254" s="611"/>
      <c r="G254" s="296">
        <v>0</v>
      </c>
      <c r="H254" s="296">
        <v>3660</v>
      </c>
      <c r="I254" s="225">
        <f>SUM(H254)</f>
        <v>3660</v>
      </c>
      <c r="J254" s="296"/>
      <c r="K254" s="296">
        <v>-1000</v>
      </c>
      <c r="L254" s="296">
        <f t="shared" si="20"/>
        <v>-1000</v>
      </c>
      <c r="M254" s="296">
        <f t="shared" si="22"/>
        <v>0</v>
      </c>
      <c r="N254" s="296">
        <f t="shared" si="23"/>
        <v>2660</v>
      </c>
      <c r="O254" s="296">
        <f t="shared" si="21"/>
        <v>2660</v>
      </c>
    </row>
    <row r="255" spans="1:15" ht="12" customHeight="1" x14ac:dyDescent="0.2">
      <c r="A255" s="384"/>
      <c r="B255" s="384"/>
      <c r="C255" s="270"/>
      <c r="D255" s="271" t="s">
        <v>913</v>
      </c>
      <c r="E255" s="272"/>
      <c r="F255" s="614"/>
      <c r="G255" s="375">
        <f>SUM(G250:G254)</f>
        <v>0</v>
      </c>
      <c r="H255" s="375">
        <f t="shared" ref="H255:O255" si="28">SUM(H250:H254)</f>
        <v>12710</v>
      </c>
      <c r="I255" s="375">
        <f t="shared" si="28"/>
        <v>12710</v>
      </c>
      <c r="J255" s="375">
        <f t="shared" si="28"/>
        <v>0</v>
      </c>
      <c r="K255" s="375">
        <f t="shared" si="28"/>
        <v>0</v>
      </c>
      <c r="L255" s="375">
        <f t="shared" si="28"/>
        <v>0</v>
      </c>
      <c r="M255" s="375">
        <f t="shared" si="28"/>
        <v>0</v>
      </c>
      <c r="N255" s="375">
        <f t="shared" si="28"/>
        <v>12710</v>
      </c>
      <c r="O255" s="375">
        <f t="shared" si="28"/>
        <v>12710</v>
      </c>
    </row>
    <row r="256" spans="1:15" ht="12" customHeight="1" x14ac:dyDescent="0.2">
      <c r="A256" s="376">
        <v>1</v>
      </c>
      <c r="B256" s="376">
        <v>22</v>
      </c>
      <c r="C256" s="276"/>
      <c r="D256" s="377" t="s">
        <v>474</v>
      </c>
      <c r="E256" s="378"/>
      <c r="F256" s="611"/>
      <c r="G256" s="336"/>
      <c r="H256" s="336"/>
      <c r="I256" s="225"/>
      <c r="J256" s="336"/>
      <c r="K256" s="336"/>
      <c r="L256" s="336"/>
      <c r="M256" s="336"/>
      <c r="N256" s="336"/>
      <c r="O256" s="336"/>
    </row>
    <row r="257" spans="1:15" ht="15" customHeight="1" x14ac:dyDescent="0.2">
      <c r="A257" s="376"/>
      <c r="B257" s="376"/>
      <c r="C257" s="276" t="s">
        <v>758</v>
      </c>
      <c r="D257" s="356" t="s">
        <v>938</v>
      </c>
      <c r="E257" s="350"/>
      <c r="F257" s="358"/>
      <c r="G257" s="336">
        <v>250</v>
      </c>
      <c r="H257" s="336">
        <v>0</v>
      </c>
      <c r="I257" s="343">
        <f>SUM(G257:H257)</f>
        <v>250</v>
      </c>
      <c r="J257" s="336"/>
      <c r="K257" s="336">
        <v>130</v>
      </c>
      <c r="L257" s="336">
        <f t="shared" si="20"/>
        <v>130</v>
      </c>
      <c r="M257" s="336">
        <f t="shared" si="22"/>
        <v>250</v>
      </c>
      <c r="N257" s="336">
        <f t="shared" si="23"/>
        <v>130</v>
      </c>
      <c r="O257" s="336">
        <f t="shared" si="21"/>
        <v>380</v>
      </c>
    </row>
    <row r="258" spans="1:15" ht="12" customHeight="1" x14ac:dyDescent="0.2">
      <c r="A258" s="384"/>
      <c r="B258" s="384"/>
      <c r="C258" s="270"/>
      <c r="D258" s="271" t="s">
        <v>475</v>
      </c>
      <c r="E258" s="272"/>
      <c r="F258" s="614"/>
      <c r="G258" s="375">
        <f>SUM(G257)</f>
        <v>250</v>
      </c>
      <c r="H258" s="375">
        <f>SUM(H257)</f>
        <v>0</v>
      </c>
      <c r="I258" s="375">
        <f>SUM(I257)</f>
        <v>250</v>
      </c>
      <c r="J258" s="375">
        <f t="shared" ref="J258:O258" si="29">SUM(J257)</f>
        <v>0</v>
      </c>
      <c r="K258" s="375">
        <f t="shared" si="29"/>
        <v>130</v>
      </c>
      <c r="L258" s="375">
        <f t="shared" si="29"/>
        <v>130</v>
      </c>
      <c r="M258" s="375">
        <f t="shared" si="29"/>
        <v>250</v>
      </c>
      <c r="N258" s="375">
        <f t="shared" si="29"/>
        <v>130</v>
      </c>
      <c r="O258" s="375">
        <f t="shared" si="29"/>
        <v>380</v>
      </c>
    </row>
    <row r="259" spans="1:15" ht="13.5" x14ac:dyDescent="0.2">
      <c r="A259" s="387">
        <v>1</v>
      </c>
      <c r="B259" s="387">
        <v>3</v>
      </c>
      <c r="C259" s="261"/>
      <c r="D259" s="289" t="s">
        <v>648</v>
      </c>
      <c r="E259" s="295"/>
      <c r="F259" s="617"/>
      <c r="G259" s="296"/>
      <c r="H259" s="296"/>
      <c r="I259" s="296"/>
      <c r="J259" s="336"/>
      <c r="K259" s="336"/>
      <c r="L259" s="336">
        <f t="shared" si="20"/>
        <v>0</v>
      </c>
      <c r="M259" s="336">
        <f t="shared" si="22"/>
        <v>0</v>
      </c>
      <c r="N259" s="336">
        <f t="shared" si="23"/>
        <v>0</v>
      </c>
      <c r="O259" s="336">
        <f t="shared" si="21"/>
        <v>0</v>
      </c>
    </row>
    <row r="260" spans="1:15" ht="13.5" x14ac:dyDescent="0.2">
      <c r="A260" s="387"/>
      <c r="B260" s="387"/>
      <c r="C260" s="261"/>
      <c r="D260" s="388"/>
      <c r="E260" s="295"/>
      <c r="F260" s="617"/>
      <c r="G260" s="296"/>
      <c r="H260" s="296"/>
      <c r="I260" s="296"/>
      <c r="J260" s="336"/>
      <c r="K260" s="336"/>
      <c r="L260" s="336"/>
      <c r="M260" s="336"/>
      <c r="N260" s="336"/>
      <c r="O260" s="336"/>
    </row>
    <row r="261" spans="1:15" ht="12" customHeight="1" x14ac:dyDescent="0.25">
      <c r="A261" s="389"/>
      <c r="B261" s="389"/>
      <c r="C261" s="384"/>
      <c r="D261" s="390" t="s">
        <v>649</v>
      </c>
      <c r="E261" s="391"/>
      <c r="F261" s="621"/>
      <c r="G261" s="392">
        <f>SUM(G260:G260)</f>
        <v>0</v>
      </c>
      <c r="H261" s="392">
        <f>SUM(H260:H260)</f>
        <v>0</v>
      </c>
      <c r="I261" s="392">
        <f>SUM(I260:I260)</f>
        <v>0</v>
      </c>
      <c r="J261" s="392">
        <f t="shared" ref="J261:O261" si="30">SUM(J260:J260)</f>
        <v>0</v>
      </c>
      <c r="K261" s="392">
        <f t="shared" si="30"/>
        <v>0</v>
      </c>
      <c r="L261" s="392">
        <f t="shared" si="30"/>
        <v>0</v>
      </c>
      <c r="M261" s="392">
        <f t="shared" si="30"/>
        <v>0</v>
      </c>
      <c r="N261" s="392">
        <f t="shared" si="30"/>
        <v>0</v>
      </c>
      <c r="O261" s="392">
        <f t="shared" si="30"/>
        <v>0</v>
      </c>
    </row>
    <row r="262" spans="1:15" ht="13.5" x14ac:dyDescent="0.25">
      <c r="A262" s="393"/>
      <c r="B262" s="393"/>
      <c r="C262" s="394"/>
      <c r="D262" s="395" t="s">
        <v>609</v>
      </c>
      <c r="E262" s="391"/>
      <c r="F262" s="621"/>
      <c r="G262" s="392">
        <f>SUM(G7+G33+G123+G234+G245+G248+G255+G258+G261)</f>
        <v>7144904</v>
      </c>
      <c r="H262" s="392">
        <f>SUM(H7+H33+H123+H234+H245+H248+H255+H258+H261)</f>
        <v>750741</v>
      </c>
      <c r="I262" s="392">
        <f>SUM(I7+I33+I123+I234+I245+I248+I255+I258+I261)</f>
        <v>7895645</v>
      </c>
      <c r="J262" s="392">
        <f t="shared" ref="J262:O262" si="31">SUM(J7+J33+J123+J234+J245+J248+J255+J258+J261)</f>
        <v>-12445</v>
      </c>
      <c r="K262" s="392">
        <f t="shared" si="31"/>
        <v>-33856</v>
      </c>
      <c r="L262" s="392">
        <f t="shared" si="31"/>
        <v>-46301</v>
      </c>
      <c r="M262" s="392">
        <f t="shared" si="31"/>
        <v>7132459</v>
      </c>
      <c r="N262" s="392">
        <f t="shared" si="31"/>
        <v>716885</v>
      </c>
      <c r="O262" s="392">
        <f t="shared" si="31"/>
        <v>7849344</v>
      </c>
    </row>
    <row r="263" spans="1:15" x14ac:dyDescent="0.2">
      <c r="A263" s="396">
        <v>2</v>
      </c>
      <c r="B263" s="397">
        <v>2</v>
      </c>
      <c r="C263" s="398"/>
      <c r="D263" s="240" t="s">
        <v>681</v>
      </c>
      <c r="E263" s="399"/>
      <c r="F263" s="399"/>
      <c r="G263" s="336">
        <v>110629</v>
      </c>
      <c r="H263" s="336">
        <v>0</v>
      </c>
      <c r="I263" s="336">
        <f>SUM(G263:H263)</f>
        <v>110629</v>
      </c>
      <c r="J263" s="336">
        <f>táj.2.!H20</f>
        <v>37742</v>
      </c>
      <c r="K263" s="336">
        <f>táj.2.!J20</f>
        <v>0</v>
      </c>
      <c r="L263" s="336">
        <f t="shared" si="20"/>
        <v>37742</v>
      </c>
      <c r="M263" s="336">
        <f t="shared" si="22"/>
        <v>148371</v>
      </c>
      <c r="N263" s="336">
        <f t="shared" si="23"/>
        <v>0</v>
      </c>
      <c r="O263" s="336">
        <f t="shared" si="21"/>
        <v>148371</v>
      </c>
    </row>
    <row r="264" spans="1:15" ht="13.5" x14ac:dyDescent="0.25">
      <c r="A264" s="393"/>
      <c r="B264" s="393"/>
      <c r="C264" s="394"/>
      <c r="D264" s="390" t="s">
        <v>651</v>
      </c>
      <c r="E264" s="391"/>
      <c r="F264" s="621"/>
      <c r="G264" s="392">
        <f>SUM(G262:G263)</f>
        <v>7255533</v>
      </c>
      <c r="H264" s="392">
        <f>SUM(H262:H263)</f>
        <v>750741</v>
      </c>
      <c r="I264" s="392">
        <f>SUM(I262:I263)</f>
        <v>8006274</v>
      </c>
      <c r="J264" s="392">
        <f t="shared" ref="J264:O264" si="32">SUM(J262:J263)</f>
        <v>25297</v>
      </c>
      <c r="K264" s="392">
        <f t="shared" si="32"/>
        <v>-33856</v>
      </c>
      <c r="L264" s="392">
        <f t="shared" si="32"/>
        <v>-8559</v>
      </c>
      <c r="M264" s="392">
        <f t="shared" si="32"/>
        <v>7280830</v>
      </c>
      <c r="N264" s="392">
        <f t="shared" si="32"/>
        <v>716885</v>
      </c>
      <c r="O264" s="392">
        <f t="shared" si="32"/>
        <v>7997715</v>
      </c>
    </row>
    <row r="265" spans="1:15" ht="15" customHeight="1" x14ac:dyDescent="0.2">
      <c r="A265" s="400" t="s">
        <v>610</v>
      </c>
      <c r="B265" s="401"/>
      <c r="C265" s="401"/>
      <c r="D265" s="401"/>
      <c r="E265" s="401"/>
      <c r="F265" s="401"/>
      <c r="G265" s="401"/>
      <c r="H265" s="401"/>
      <c r="I265" s="401"/>
      <c r="L265" s="407"/>
    </row>
    <row r="266" spans="1:15" x14ac:dyDescent="0.2">
      <c r="A266" s="400"/>
      <c r="B266" s="400"/>
      <c r="C266" s="400"/>
      <c r="D266" s="400"/>
      <c r="E266" s="401"/>
      <c r="F266" s="401"/>
      <c r="G266" s="401"/>
      <c r="H266" s="401"/>
      <c r="I266" s="401"/>
    </row>
    <row r="267" spans="1:15" x14ac:dyDescent="0.2">
      <c r="A267" s="401"/>
      <c r="B267" s="401"/>
      <c r="C267" s="401"/>
      <c r="D267" s="401"/>
      <c r="E267" s="401"/>
      <c r="F267" s="401"/>
      <c r="G267" s="401"/>
      <c r="H267" s="401"/>
      <c r="I267" s="401"/>
    </row>
    <row r="268" spans="1:15" x14ac:dyDescent="0.2">
      <c r="A268" s="401"/>
      <c r="B268" s="401"/>
      <c r="C268" s="401"/>
      <c r="D268" s="401"/>
      <c r="E268" s="401"/>
      <c r="F268" s="401"/>
      <c r="G268" s="401"/>
      <c r="H268" s="401"/>
      <c r="I268" s="401"/>
    </row>
    <row r="269" spans="1:15" x14ac:dyDescent="0.2">
      <c r="A269" s="401"/>
      <c r="B269" s="401"/>
      <c r="C269" s="401"/>
      <c r="D269" s="401"/>
      <c r="E269" s="401"/>
      <c r="F269" s="401"/>
      <c r="G269" s="401"/>
      <c r="H269" s="401"/>
      <c r="I269" s="401"/>
    </row>
    <row r="270" spans="1:15" ht="13.5" x14ac:dyDescent="0.25">
      <c r="A270" s="401"/>
      <c r="B270" s="401"/>
      <c r="C270" s="401"/>
      <c r="D270" s="401"/>
      <c r="E270" s="401"/>
      <c r="F270" s="401"/>
      <c r="G270" s="401"/>
      <c r="H270" s="401"/>
      <c r="I270" s="402"/>
    </row>
    <row r="271" spans="1:15" ht="13.5" x14ac:dyDescent="0.25">
      <c r="A271" s="401"/>
      <c r="B271" s="401"/>
      <c r="C271" s="401"/>
      <c r="D271" s="401"/>
      <c r="E271" s="401"/>
      <c r="F271" s="401"/>
      <c r="G271" s="401"/>
      <c r="H271" s="401"/>
      <c r="I271" s="402"/>
    </row>
    <row r="272" spans="1:15" x14ac:dyDescent="0.2">
      <c r="A272" s="401"/>
      <c r="B272" s="401"/>
      <c r="C272" s="401"/>
      <c r="D272" s="401"/>
      <c r="E272" s="401"/>
      <c r="F272" s="401"/>
      <c r="G272" s="401"/>
      <c r="H272" s="401"/>
      <c r="I272" s="401"/>
    </row>
    <row r="273" spans="1:9" x14ac:dyDescent="0.2">
      <c r="A273" s="401"/>
      <c r="B273" s="401"/>
      <c r="C273" s="401"/>
      <c r="D273" s="401"/>
      <c r="E273" s="401"/>
      <c r="F273" s="401"/>
      <c r="G273" s="401"/>
      <c r="H273" s="401"/>
      <c r="I273" s="401"/>
    </row>
    <row r="274" spans="1:9" x14ac:dyDescent="0.2">
      <c r="A274" s="401"/>
      <c r="B274" s="401"/>
      <c r="C274" s="401"/>
      <c r="D274" s="401"/>
      <c r="E274" s="401"/>
      <c r="F274" s="401"/>
      <c r="G274" s="401"/>
      <c r="H274" s="401"/>
      <c r="I274" s="401"/>
    </row>
    <row r="275" spans="1:9" x14ac:dyDescent="0.2">
      <c r="A275" s="401"/>
      <c r="B275" s="401"/>
      <c r="C275" s="401"/>
      <c r="D275" s="401"/>
      <c r="E275" s="401"/>
      <c r="F275" s="401"/>
      <c r="G275" s="401"/>
      <c r="H275" s="401"/>
      <c r="I275" s="401"/>
    </row>
    <row r="276" spans="1:9" x14ac:dyDescent="0.2">
      <c r="A276" s="401"/>
      <c r="B276" s="401"/>
      <c r="C276" s="401"/>
      <c r="D276" s="401"/>
      <c r="E276" s="401"/>
      <c r="F276" s="401"/>
      <c r="G276" s="401"/>
      <c r="H276" s="401"/>
      <c r="I276" s="401"/>
    </row>
    <row r="277" spans="1:9" x14ac:dyDescent="0.2">
      <c r="A277" s="401"/>
      <c r="B277" s="401"/>
      <c r="C277" s="401"/>
      <c r="D277" s="401"/>
      <c r="E277" s="401"/>
      <c r="F277" s="401"/>
      <c r="G277" s="401"/>
      <c r="H277" s="401"/>
      <c r="I277" s="401"/>
    </row>
    <row r="278" spans="1:9" x14ac:dyDescent="0.2">
      <c r="A278" s="401"/>
      <c r="B278" s="401"/>
      <c r="C278" s="401"/>
      <c r="D278" s="401"/>
      <c r="E278" s="401"/>
      <c r="F278" s="401"/>
      <c r="G278" s="401"/>
      <c r="H278" s="401"/>
      <c r="I278" s="401"/>
    </row>
    <row r="279" spans="1:9" x14ac:dyDescent="0.2">
      <c r="A279" s="401"/>
      <c r="B279" s="401"/>
      <c r="C279" s="401"/>
      <c r="D279" s="401"/>
      <c r="E279" s="401"/>
      <c r="F279" s="401"/>
      <c r="G279" s="401"/>
      <c r="H279" s="401"/>
      <c r="I279" s="401"/>
    </row>
    <row r="280" spans="1:9" x14ac:dyDescent="0.2">
      <c r="A280" s="401"/>
      <c r="B280" s="401"/>
      <c r="C280" s="401"/>
      <c r="D280" s="401"/>
      <c r="E280" s="401"/>
      <c r="F280" s="401"/>
      <c r="G280" s="401"/>
      <c r="H280" s="401"/>
      <c r="I280" s="401"/>
    </row>
    <row r="281" spans="1:9" x14ac:dyDescent="0.2">
      <c r="A281" s="401"/>
      <c r="B281" s="401"/>
      <c r="C281" s="401"/>
      <c r="D281" s="401"/>
      <c r="E281" s="401"/>
      <c r="F281" s="401"/>
      <c r="G281" s="401"/>
      <c r="H281" s="401"/>
      <c r="I281" s="401"/>
    </row>
    <row r="282" spans="1:9" x14ac:dyDescent="0.2">
      <c r="A282" s="401"/>
      <c r="B282" s="401"/>
      <c r="C282" s="401"/>
      <c r="D282" s="401"/>
      <c r="E282" s="401"/>
      <c r="F282" s="401"/>
      <c r="G282" s="401"/>
      <c r="H282" s="401"/>
      <c r="I282" s="401"/>
    </row>
    <row r="283" spans="1:9" x14ac:dyDescent="0.2">
      <c r="A283" s="401"/>
      <c r="B283" s="401"/>
      <c r="C283" s="401"/>
      <c r="D283" s="401"/>
      <c r="E283" s="401"/>
      <c r="F283" s="401"/>
      <c r="G283" s="401"/>
      <c r="H283" s="401"/>
      <c r="I283" s="401"/>
    </row>
    <row r="284" spans="1:9" x14ac:dyDescent="0.2">
      <c r="A284" s="401"/>
      <c r="B284" s="401"/>
      <c r="C284" s="401"/>
      <c r="D284" s="401"/>
      <c r="E284" s="401"/>
      <c r="F284" s="401"/>
      <c r="G284" s="401"/>
      <c r="H284" s="401"/>
      <c r="I284" s="401"/>
    </row>
    <row r="285" spans="1:9" x14ac:dyDescent="0.2">
      <c r="A285" s="401"/>
      <c r="B285" s="401"/>
      <c r="C285" s="401"/>
      <c r="D285" s="401"/>
      <c r="E285" s="401"/>
      <c r="F285" s="401"/>
      <c r="G285" s="401"/>
      <c r="H285" s="401"/>
      <c r="I285" s="401"/>
    </row>
    <row r="286" spans="1:9" x14ac:dyDescent="0.2">
      <c r="A286" s="401"/>
      <c r="B286" s="401"/>
      <c r="C286" s="401"/>
      <c r="D286" s="401"/>
      <c r="E286" s="401"/>
      <c r="F286" s="401"/>
      <c r="G286" s="401"/>
      <c r="H286" s="401"/>
      <c r="I286" s="401"/>
    </row>
    <row r="287" spans="1:9" x14ac:dyDescent="0.2">
      <c r="A287" s="401"/>
      <c r="B287" s="401"/>
      <c r="C287" s="401"/>
      <c r="D287" s="401"/>
      <c r="E287" s="401"/>
      <c r="F287" s="401"/>
      <c r="G287" s="401"/>
      <c r="H287" s="401"/>
      <c r="I287" s="401"/>
    </row>
  </sheetData>
  <sheetProtection selectLockedCells="1" selectUnlockedCells="1"/>
  <mergeCells count="9">
    <mergeCell ref="D250:E250"/>
    <mergeCell ref="D1:E2"/>
    <mergeCell ref="G1:I1"/>
    <mergeCell ref="J1:L1"/>
    <mergeCell ref="M1:O1"/>
    <mergeCell ref="F1:F2"/>
    <mergeCell ref="A1:A2"/>
    <mergeCell ref="B1:B2"/>
    <mergeCell ref="C1:C2"/>
  </mergeCells>
  <phoneticPr fontId="63" type="noConversion"/>
  <printOptions horizontalCentered="1" verticalCentered="1"/>
  <pageMargins left="0.19652777777777777" right="0.19652777777777777" top="0.70902777777777781" bottom="0.59027777777777779" header="0.39374999999999999" footer="0.39374999999999999"/>
  <pageSetup paperSize="9" scale="79" firstPageNumber="0" orientation="landscape" horizontalDpi="300" verticalDpi="300" r:id="rId1"/>
  <headerFooter alignWithMargins="0">
    <oddHeader>&amp;C&amp;"Times New Roman,Félkövér dőlt"Zalaegerszeg Megyei Jogú Város Önkormányzatának
2014. évi beruházási célú kiadásai feladatonként&amp;R&amp;"Times New Roman,Félkövér dőlt"7. melléklet
Adatok :ezer Ft-ban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opLeftCell="B1" workbookViewId="0">
      <pane ySplit="3" topLeftCell="A10" activePane="bottomLeft" state="frozen"/>
      <selection pane="bottomLeft" activeCell="D14" sqref="D14"/>
    </sheetView>
  </sheetViews>
  <sheetFormatPr defaultRowHeight="12" x14ac:dyDescent="0.2"/>
  <cols>
    <col min="1" max="1" width="5.83203125" style="428" customWidth="1"/>
    <col min="2" max="2" width="7.33203125" style="428" customWidth="1"/>
    <col min="3" max="3" width="7.5" style="428" customWidth="1"/>
    <col min="4" max="4" width="56" style="428" customWidth="1"/>
    <col min="5" max="5" width="3.1640625" style="428" customWidth="1"/>
    <col min="6" max="6" width="5.1640625" style="428" customWidth="1"/>
    <col min="7" max="7" width="11.33203125" style="428" customWidth="1"/>
    <col min="8" max="9" width="10.5" style="428" customWidth="1"/>
    <col min="10" max="10" width="9.33203125" style="428"/>
    <col min="11" max="11" width="12" style="428" customWidth="1"/>
    <col min="12" max="12" width="10.33203125" style="428" customWidth="1"/>
    <col min="13" max="13" width="12.83203125" style="428" customWidth="1"/>
    <col min="14" max="14" width="13" style="428" customWidth="1"/>
    <col min="15" max="15" width="12" style="428" customWidth="1"/>
    <col min="16" max="16384" width="9.33203125" style="428"/>
  </cols>
  <sheetData>
    <row r="1" spans="1:15" s="419" customFormat="1" ht="45.75" customHeight="1" x14ac:dyDescent="0.2">
      <c r="A1" s="415"/>
      <c r="B1" s="416"/>
      <c r="C1" s="416"/>
      <c r="D1" s="417"/>
      <c r="E1" s="418"/>
      <c r="F1" s="737" t="s">
        <v>168</v>
      </c>
      <c r="G1" s="734" t="s">
        <v>416</v>
      </c>
      <c r="H1" s="735"/>
      <c r="I1" s="736"/>
      <c r="J1" s="729" t="s">
        <v>417</v>
      </c>
      <c r="K1" s="730"/>
      <c r="L1" s="731"/>
      <c r="M1" s="729" t="s">
        <v>167</v>
      </c>
      <c r="N1" s="730"/>
      <c r="O1" s="731"/>
    </row>
    <row r="2" spans="1:15" s="419" customFormat="1" ht="80.25" customHeight="1" thickBot="1" x14ac:dyDescent="0.25">
      <c r="A2" s="420" t="s">
        <v>661</v>
      </c>
      <c r="B2" s="421" t="s">
        <v>662</v>
      </c>
      <c r="C2" s="421" t="s">
        <v>663</v>
      </c>
      <c r="D2" s="422" t="s">
        <v>664</v>
      </c>
      <c r="E2" s="423"/>
      <c r="F2" s="738"/>
      <c r="G2" s="650" t="s">
        <v>665</v>
      </c>
      <c r="H2" s="650" t="s">
        <v>169</v>
      </c>
      <c r="I2" s="651" t="s">
        <v>666</v>
      </c>
      <c r="J2" s="650" t="s">
        <v>665</v>
      </c>
      <c r="K2" s="650" t="s">
        <v>169</v>
      </c>
      <c r="L2" s="651" t="s">
        <v>666</v>
      </c>
      <c r="M2" s="650" t="s">
        <v>665</v>
      </c>
      <c r="N2" s="650" t="s">
        <v>169</v>
      </c>
      <c r="O2" s="652" t="s">
        <v>666</v>
      </c>
    </row>
    <row r="3" spans="1:15" ht="12.95" customHeight="1" x14ac:dyDescent="0.2">
      <c r="A3" s="424"/>
      <c r="B3" s="424"/>
      <c r="C3" s="424"/>
      <c r="D3" s="425" t="s">
        <v>680</v>
      </c>
      <c r="E3" s="426"/>
      <c r="F3" s="654"/>
      <c r="G3" s="427"/>
      <c r="H3" s="427"/>
      <c r="I3" s="427"/>
      <c r="J3" s="225"/>
      <c r="K3" s="427"/>
      <c r="L3" s="427"/>
      <c r="M3" s="427"/>
      <c r="N3" s="427"/>
      <c r="O3" s="427"/>
    </row>
    <row r="4" spans="1:15" ht="15.75" customHeight="1" x14ac:dyDescent="0.2">
      <c r="A4" s="429" t="s">
        <v>758</v>
      </c>
      <c r="B4" s="429">
        <v>13</v>
      </c>
      <c r="C4" s="429"/>
      <c r="D4" s="228" t="s">
        <v>467</v>
      </c>
      <c r="E4" s="331"/>
      <c r="F4" s="655"/>
      <c r="G4" s="252"/>
      <c r="H4" s="252"/>
      <c r="I4" s="252"/>
      <c r="J4" s="427"/>
      <c r="K4" s="427"/>
      <c r="L4" s="427"/>
      <c r="M4" s="427"/>
      <c r="N4" s="427"/>
      <c r="O4" s="427"/>
    </row>
    <row r="5" spans="1:15" ht="15.75" customHeight="1" x14ac:dyDescent="0.2">
      <c r="A5" s="429"/>
      <c r="B5" s="429"/>
      <c r="C5" s="245" t="s">
        <v>758</v>
      </c>
      <c r="D5" s="430" t="s">
        <v>675</v>
      </c>
      <c r="E5" s="431"/>
      <c r="F5" s="655"/>
      <c r="G5" s="252"/>
      <c r="H5" s="252"/>
      <c r="I5" s="252"/>
      <c r="J5" s="427"/>
      <c r="K5" s="427"/>
      <c r="L5" s="427"/>
      <c r="M5" s="427"/>
      <c r="N5" s="427"/>
      <c r="O5" s="427"/>
    </row>
    <row r="6" spans="1:15" ht="15.75" customHeight="1" x14ac:dyDescent="0.2">
      <c r="A6" s="429"/>
      <c r="B6" s="429"/>
      <c r="C6" s="249" t="s">
        <v>836</v>
      </c>
      <c r="D6" s="432" t="s">
        <v>170</v>
      </c>
      <c r="E6" s="431"/>
      <c r="F6" s="655"/>
      <c r="G6" s="252"/>
      <c r="H6" s="252"/>
      <c r="I6" s="252"/>
      <c r="J6" s="427"/>
      <c r="K6" s="427"/>
      <c r="L6" s="427"/>
      <c r="M6" s="427"/>
      <c r="N6" s="427"/>
      <c r="O6" s="427"/>
    </row>
    <row r="7" spans="1:15" ht="27.75" customHeight="1" x14ac:dyDescent="0.2">
      <c r="A7" s="429"/>
      <c r="B7" s="429"/>
      <c r="C7" s="433" t="s">
        <v>171</v>
      </c>
      <c r="D7" s="250" t="s">
        <v>172</v>
      </c>
      <c r="E7" s="331"/>
      <c r="F7" s="655"/>
      <c r="G7" s="503">
        <v>10000</v>
      </c>
      <c r="H7" s="503">
        <v>0</v>
      </c>
      <c r="I7" s="503">
        <v>10000</v>
      </c>
      <c r="J7" s="503"/>
      <c r="K7" s="503"/>
      <c r="L7" s="503">
        <f>SUM(J7:K7)</f>
        <v>0</v>
      </c>
      <c r="M7" s="503">
        <f>SUM(G7+J7)</f>
        <v>10000</v>
      </c>
      <c r="N7" s="503">
        <f>SUM(H7+K7)</f>
        <v>0</v>
      </c>
      <c r="O7" s="503">
        <f>SUM(M7:N7)</f>
        <v>10000</v>
      </c>
    </row>
    <row r="8" spans="1:15" ht="15" customHeight="1" x14ac:dyDescent="0.2">
      <c r="A8" s="429"/>
      <c r="B8" s="429"/>
      <c r="C8" s="249" t="s">
        <v>173</v>
      </c>
      <c r="D8" s="434" t="s">
        <v>174</v>
      </c>
      <c r="E8" s="331"/>
      <c r="F8" s="630" t="s">
        <v>693</v>
      </c>
      <c r="G8" s="503">
        <v>15000</v>
      </c>
      <c r="H8" s="503">
        <v>0</v>
      </c>
      <c r="I8" s="503">
        <v>15000</v>
      </c>
      <c r="J8" s="503">
        <v>-15000</v>
      </c>
      <c r="K8" s="503"/>
      <c r="L8" s="503">
        <f t="shared" ref="L8:L75" si="0">SUM(J8:K8)</f>
        <v>-15000</v>
      </c>
      <c r="M8" s="503">
        <f t="shared" ref="M8:M75" si="1">SUM(G8+J8)</f>
        <v>0</v>
      </c>
      <c r="N8" s="503">
        <f t="shared" ref="N8:N75" si="2">SUM(H8+K8)</f>
        <v>0</v>
      </c>
      <c r="O8" s="503">
        <f t="shared" ref="O8:O75" si="3">SUM(M8:N8)</f>
        <v>0</v>
      </c>
    </row>
    <row r="9" spans="1:15" ht="15" customHeight="1" x14ac:dyDescent="0.2">
      <c r="A9" s="429"/>
      <c r="B9" s="429"/>
      <c r="C9" s="249" t="s">
        <v>175</v>
      </c>
      <c r="D9" s="435" t="s">
        <v>176</v>
      </c>
      <c r="E9" s="331"/>
      <c r="F9" s="655"/>
      <c r="G9" s="503">
        <v>1000</v>
      </c>
      <c r="H9" s="503">
        <v>0</v>
      </c>
      <c r="I9" s="503">
        <v>1000</v>
      </c>
      <c r="J9" s="503"/>
      <c r="K9" s="503"/>
      <c r="L9" s="503">
        <f t="shared" si="0"/>
        <v>0</v>
      </c>
      <c r="M9" s="503">
        <f t="shared" si="1"/>
        <v>1000</v>
      </c>
      <c r="N9" s="503">
        <f t="shared" si="2"/>
        <v>0</v>
      </c>
      <c r="O9" s="503">
        <f t="shared" si="3"/>
        <v>1000</v>
      </c>
    </row>
    <row r="10" spans="1:15" ht="15" customHeight="1" x14ac:dyDescent="0.2">
      <c r="A10" s="429"/>
      <c r="B10" s="429"/>
      <c r="C10" s="433" t="s">
        <v>177</v>
      </c>
      <c r="D10" s="436" t="s">
        <v>178</v>
      </c>
      <c r="E10" s="331"/>
      <c r="F10" s="655"/>
      <c r="G10" s="503">
        <v>500</v>
      </c>
      <c r="H10" s="503">
        <v>0</v>
      </c>
      <c r="I10" s="503">
        <v>500</v>
      </c>
      <c r="J10" s="503"/>
      <c r="K10" s="503"/>
      <c r="L10" s="503">
        <f t="shared" si="0"/>
        <v>0</v>
      </c>
      <c r="M10" s="503">
        <f t="shared" si="1"/>
        <v>500</v>
      </c>
      <c r="N10" s="503">
        <f t="shared" si="2"/>
        <v>0</v>
      </c>
      <c r="O10" s="503">
        <f t="shared" si="3"/>
        <v>500</v>
      </c>
    </row>
    <row r="11" spans="1:15" ht="15" customHeight="1" x14ac:dyDescent="0.2">
      <c r="A11" s="429"/>
      <c r="B11" s="429"/>
      <c r="C11" s="249" t="s">
        <v>179</v>
      </c>
      <c r="D11" s="435" t="s">
        <v>770</v>
      </c>
      <c r="E11" s="331"/>
      <c r="F11" s="630" t="s">
        <v>693</v>
      </c>
      <c r="G11" s="503">
        <v>8500</v>
      </c>
      <c r="H11" s="503">
        <v>0</v>
      </c>
      <c r="I11" s="503">
        <v>8500</v>
      </c>
      <c r="J11" s="503">
        <v>8000</v>
      </c>
      <c r="K11" s="503"/>
      <c r="L11" s="503">
        <f t="shared" si="0"/>
        <v>8000</v>
      </c>
      <c r="M11" s="503">
        <f t="shared" si="1"/>
        <v>16500</v>
      </c>
      <c r="N11" s="503">
        <f t="shared" si="2"/>
        <v>0</v>
      </c>
      <c r="O11" s="503">
        <f t="shared" si="3"/>
        <v>16500</v>
      </c>
    </row>
    <row r="12" spans="1:15" ht="15" customHeight="1" x14ac:dyDescent="0.2">
      <c r="A12" s="429"/>
      <c r="B12" s="429"/>
      <c r="C12" s="249" t="s">
        <v>180</v>
      </c>
      <c r="D12" s="435" t="s">
        <v>181</v>
      </c>
      <c r="E12" s="331"/>
      <c r="F12" s="630"/>
      <c r="G12" s="503">
        <v>2000</v>
      </c>
      <c r="H12" s="503">
        <v>0</v>
      </c>
      <c r="I12" s="503">
        <v>2000</v>
      </c>
      <c r="J12" s="503"/>
      <c r="K12" s="503"/>
      <c r="L12" s="503">
        <f t="shared" si="0"/>
        <v>0</v>
      </c>
      <c r="M12" s="503">
        <f t="shared" si="1"/>
        <v>2000</v>
      </c>
      <c r="N12" s="503">
        <f t="shared" si="2"/>
        <v>0</v>
      </c>
      <c r="O12" s="503">
        <f t="shared" si="3"/>
        <v>2000</v>
      </c>
    </row>
    <row r="13" spans="1:15" ht="24.95" customHeight="1" x14ac:dyDescent="0.2">
      <c r="A13" s="429"/>
      <c r="B13" s="429"/>
      <c r="C13" s="433" t="s">
        <v>182</v>
      </c>
      <c r="D13" s="314" t="s">
        <v>183</v>
      </c>
      <c r="E13" s="331"/>
      <c r="F13" s="630"/>
      <c r="G13" s="503">
        <v>2000</v>
      </c>
      <c r="H13" s="503">
        <v>0</v>
      </c>
      <c r="I13" s="503">
        <v>2000</v>
      </c>
      <c r="J13" s="503"/>
      <c r="K13" s="503"/>
      <c r="L13" s="503">
        <f t="shared" si="0"/>
        <v>0</v>
      </c>
      <c r="M13" s="503">
        <f t="shared" si="1"/>
        <v>2000</v>
      </c>
      <c r="N13" s="503">
        <f t="shared" si="2"/>
        <v>0</v>
      </c>
      <c r="O13" s="503">
        <f t="shared" si="3"/>
        <v>2000</v>
      </c>
    </row>
    <row r="14" spans="1:15" ht="15" customHeight="1" x14ac:dyDescent="0.2">
      <c r="A14" s="429"/>
      <c r="B14" s="429"/>
      <c r="C14" s="249" t="s">
        <v>184</v>
      </c>
      <c r="D14" s="314" t="s">
        <v>185</v>
      </c>
      <c r="E14" s="331"/>
      <c r="F14" s="630"/>
      <c r="G14" s="503">
        <v>2000</v>
      </c>
      <c r="H14" s="503">
        <v>0</v>
      </c>
      <c r="I14" s="503">
        <v>2000</v>
      </c>
      <c r="J14" s="503"/>
      <c r="K14" s="503"/>
      <c r="L14" s="503">
        <f t="shared" si="0"/>
        <v>0</v>
      </c>
      <c r="M14" s="503">
        <f t="shared" si="1"/>
        <v>2000</v>
      </c>
      <c r="N14" s="503">
        <f t="shared" si="2"/>
        <v>0</v>
      </c>
      <c r="O14" s="503">
        <f t="shared" si="3"/>
        <v>2000</v>
      </c>
    </row>
    <row r="15" spans="1:15" ht="15" customHeight="1" x14ac:dyDescent="0.2">
      <c r="A15" s="429"/>
      <c r="B15" s="429"/>
      <c r="C15" s="249" t="s">
        <v>186</v>
      </c>
      <c r="D15" s="228" t="s">
        <v>187</v>
      </c>
      <c r="E15" s="331"/>
      <c r="F15" s="630"/>
      <c r="G15" s="503">
        <v>1000</v>
      </c>
      <c r="H15" s="503">
        <v>0</v>
      </c>
      <c r="I15" s="503">
        <v>1000</v>
      </c>
      <c r="J15" s="503"/>
      <c r="K15" s="503"/>
      <c r="L15" s="503">
        <f t="shared" si="0"/>
        <v>0</v>
      </c>
      <c r="M15" s="503">
        <f t="shared" si="1"/>
        <v>1000</v>
      </c>
      <c r="N15" s="503">
        <f t="shared" si="2"/>
        <v>0</v>
      </c>
      <c r="O15" s="503">
        <f t="shared" si="3"/>
        <v>1000</v>
      </c>
    </row>
    <row r="16" spans="1:15" ht="15" customHeight="1" x14ac:dyDescent="0.2">
      <c r="A16" s="429"/>
      <c r="B16" s="429"/>
      <c r="C16" s="249" t="s">
        <v>773</v>
      </c>
      <c r="D16" s="691" t="s">
        <v>768</v>
      </c>
      <c r="E16" s="692"/>
      <c r="F16" s="630" t="s">
        <v>693</v>
      </c>
      <c r="G16" s="503"/>
      <c r="H16" s="503"/>
      <c r="I16" s="503"/>
      <c r="J16" s="503">
        <v>5000</v>
      </c>
      <c r="K16" s="503"/>
      <c r="L16" s="503">
        <f>SUM(J16:K16)</f>
        <v>5000</v>
      </c>
      <c r="M16" s="503">
        <f t="shared" si="1"/>
        <v>5000</v>
      </c>
      <c r="N16" s="503"/>
      <c r="O16" s="503">
        <f t="shared" si="3"/>
        <v>5000</v>
      </c>
    </row>
    <row r="17" spans="1:15" ht="15" customHeight="1" x14ac:dyDescent="0.2">
      <c r="A17" s="429"/>
      <c r="B17" s="429"/>
      <c r="C17" s="249" t="s">
        <v>774</v>
      </c>
      <c r="D17" s="691" t="s">
        <v>769</v>
      </c>
      <c r="E17" s="693"/>
      <c r="F17" s="630" t="s">
        <v>693</v>
      </c>
      <c r="G17" s="503"/>
      <c r="H17" s="503"/>
      <c r="I17" s="503"/>
      <c r="J17" s="503">
        <v>2000</v>
      </c>
      <c r="K17" s="503"/>
      <c r="L17" s="503">
        <f>SUM(J17:K17)</f>
        <v>2000</v>
      </c>
      <c r="M17" s="503">
        <f t="shared" si="1"/>
        <v>2000</v>
      </c>
      <c r="N17" s="503"/>
      <c r="O17" s="503">
        <f t="shared" si="3"/>
        <v>2000</v>
      </c>
    </row>
    <row r="18" spans="1:15" ht="15" customHeight="1" x14ac:dyDescent="0.2">
      <c r="A18" s="429"/>
      <c r="B18" s="429"/>
      <c r="C18" s="247" t="s">
        <v>986</v>
      </c>
      <c r="D18" s="248" t="s">
        <v>987</v>
      </c>
      <c r="E18" s="693"/>
      <c r="F18" s="655"/>
      <c r="G18" s="503"/>
      <c r="H18" s="503"/>
      <c r="I18" s="503"/>
      <c r="J18" s="503"/>
      <c r="K18" s="503"/>
      <c r="L18" s="503"/>
      <c r="M18" s="503"/>
      <c r="N18" s="503"/>
      <c r="O18" s="503"/>
    </row>
    <row r="19" spans="1:15" ht="15" customHeight="1" x14ac:dyDescent="0.2">
      <c r="A19" s="429"/>
      <c r="B19" s="429"/>
      <c r="C19" s="249" t="s">
        <v>188</v>
      </c>
      <c r="D19" s="439" t="s">
        <v>189</v>
      </c>
      <c r="E19" s="694"/>
      <c r="F19" s="630" t="s">
        <v>693</v>
      </c>
      <c r="G19" s="503">
        <v>20000</v>
      </c>
      <c r="H19" s="503">
        <v>0</v>
      </c>
      <c r="I19" s="503">
        <v>20000</v>
      </c>
      <c r="J19" s="503">
        <v>-20000</v>
      </c>
      <c r="K19" s="503"/>
      <c r="L19" s="503">
        <f t="shared" si="0"/>
        <v>-20000</v>
      </c>
      <c r="M19" s="503">
        <f t="shared" si="1"/>
        <v>0</v>
      </c>
      <c r="N19" s="503">
        <f t="shared" si="2"/>
        <v>0</v>
      </c>
      <c r="O19" s="503">
        <f t="shared" si="3"/>
        <v>0</v>
      </c>
    </row>
    <row r="20" spans="1:15" ht="15" customHeight="1" x14ac:dyDescent="0.2">
      <c r="A20" s="429"/>
      <c r="B20" s="429"/>
      <c r="C20" s="249" t="s">
        <v>190</v>
      </c>
      <c r="D20" s="440" t="s">
        <v>191</v>
      </c>
      <c r="E20" s="466"/>
      <c r="F20" s="630"/>
      <c r="G20" s="503">
        <v>2000</v>
      </c>
      <c r="H20" s="503">
        <v>0</v>
      </c>
      <c r="I20" s="503">
        <v>2000</v>
      </c>
      <c r="J20" s="503"/>
      <c r="K20" s="503"/>
      <c r="L20" s="503">
        <f t="shared" si="0"/>
        <v>0</v>
      </c>
      <c r="M20" s="503">
        <f t="shared" si="1"/>
        <v>2000</v>
      </c>
      <c r="N20" s="503">
        <f t="shared" si="2"/>
        <v>0</v>
      </c>
      <c r="O20" s="503">
        <f t="shared" si="3"/>
        <v>2000</v>
      </c>
    </row>
    <row r="21" spans="1:15" ht="24.95" customHeight="1" x14ac:dyDescent="0.2">
      <c r="A21" s="429"/>
      <c r="B21" s="429"/>
      <c r="C21" s="249" t="s">
        <v>192</v>
      </c>
      <c r="D21" s="441" t="s">
        <v>510</v>
      </c>
      <c r="E21" s="466"/>
      <c r="F21" s="630" t="s">
        <v>693</v>
      </c>
      <c r="G21" s="503">
        <v>6000</v>
      </c>
      <c r="H21" s="503">
        <v>0</v>
      </c>
      <c r="I21" s="503">
        <v>6000</v>
      </c>
      <c r="J21" s="503">
        <v>8500</v>
      </c>
      <c r="K21" s="503"/>
      <c r="L21" s="503">
        <f t="shared" si="0"/>
        <v>8500</v>
      </c>
      <c r="M21" s="503">
        <f t="shared" si="1"/>
        <v>14500</v>
      </c>
      <c r="N21" s="503">
        <f t="shared" si="2"/>
        <v>0</v>
      </c>
      <c r="O21" s="503">
        <f t="shared" si="3"/>
        <v>14500</v>
      </c>
    </row>
    <row r="22" spans="1:15" ht="15" customHeight="1" x14ac:dyDescent="0.2">
      <c r="A22" s="429"/>
      <c r="B22" s="429"/>
      <c r="C22" s="249" t="s">
        <v>193</v>
      </c>
      <c r="D22" s="441" t="s">
        <v>194</v>
      </c>
      <c r="E22" s="466"/>
      <c r="F22" s="630" t="s">
        <v>693</v>
      </c>
      <c r="G22" s="503">
        <v>1000</v>
      </c>
      <c r="H22" s="503">
        <v>0</v>
      </c>
      <c r="I22" s="503">
        <v>1000</v>
      </c>
      <c r="J22" s="503">
        <v>-1000</v>
      </c>
      <c r="K22" s="503">
        <v>1000</v>
      </c>
      <c r="L22" s="503">
        <f t="shared" si="0"/>
        <v>0</v>
      </c>
      <c r="M22" s="503">
        <f t="shared" si="1"/>
        <v>0</v>
      </c>
      <c r="N22" s="503">
        <f t="shared" si="2"/>
        <v>1000</v>
      </c>
      <c r="O22" s="503">
        <f t="shared" si="3"/>
        <v>1000</v>
      </c>
    </row>
    <row r="23" spans="1:15" ht="15" customHeight="1" x14ac:dyDescent="0.2">
      <c r="A23" s="429"/>
      <c r="B23" s="429"/>
      <c r="C23" s="249" t="s">
        <v>195</v>
      </c>
      <c r="D23" s="441" t="s">
        <v>196</v>
      </c>
      <c r="E23" s="466"/>
      <c r="F23" s="630"/>
      <c r="G23" s="503">
        <v>1000</v>
      </c>
      <c r="H23" s="503">
        <v>0</v>
      </c>
      <c r="I23" s="503">
        <v>1000</v>
      </c>
      <c r="J23" s="503"/>
      <c r="K23" s="503"/>
      <c r="L23" s="503">
        <f t="shared" si="0"/>
        <v>0</v>
      </c>
      <c r="M23" s="503">
        <f t="shared" si="1"/>
        <v>1000</v>
      </c>
      <c r="N23" s="503">
        <f t="shared" si="2"/>
        <v>0</v>
      </c>
      <c r="O23" s="503">
        <f t="shared" si="3"/>
        <v>1000</v>
      </c>
    </row>
    <row r="24" spans="1:15" ht="15" customHeight="1" x14ac:dyDescent="0.2">
      <c r="A24" s="429"/>
      <c r="B24" s="429"/>
      <c r="C24" s="249" t="s">
        <v>197</v>
      </c>
      <c r="D24" s="441" t="s">
        <v>198</v>
      </c>
      <c r="E24" s="466"/>
      <c r="F24" s="630" t="s">
        <v>693</v>
      </c>
      <c r="G24" s="503">
        <v>1000</v>
      </c>
      <c r="H24" s="503">
        <v>0</v>
      </c>
      <c r="I24" s="503">
        <v>1000</v>
      </c>
      <c r="J24" s="503">
        <v>-1000</v>
      </c>
      <c r="K24" s="503">
        <v>1000</v>
      </c>
      <c r="L24" s="503">
        <f t="shared" si="0"/>
        <v>0</v>
      </c>
      <c r="M24" s="503">
        <f t="shared" si="1"/>
        <v>0</v>
      </c>
      <c r="N24" s="503">
        <f t="shared" si="2"/>
        <v>1000</v>
      </c>
      <c r="O24" s="503">
        <f t="shared" si="3"/>
        <v>1000</v>
      </c>
    </row>
    <row r="25" spans="1:15" ht="15" customHeight="1" x14ac:dyDescent="0.2">
      <c r="A25" s="429"/>
      <c r="B25" s="429"/>
      <c r="C25" s="249" t="s">
        <v>775</v>
      </c>
      <c r="D25" s="309" t="s">
        <v>199</v>
      </c>
      <c r="E25" s="615"/>
      <c r="F25" s="634"/>
      <c r="G25" s="503">
        <v>2000</v>
      </c>
      <c r="H25" s="503">
        <v>0</v>
      </c>
      <c r="I25" s="503">
        <v>2000</v>
      </c>
      <c r="J25" s="503"/>
      <c r="K25" s="503"/>
      <c r="L25" s="503">
        <f t="shared" si="0"/>
        <v>0</v>
      </c>
      <c r="M25" s="503">
        <f t="shared" si="1"/>
        <v>2000</v>
      </c>
      <c r="N25" s="503">
        <f t="shared" si="2"/>
        <v>0</v>
      </c>
      <c r="O25" s="503">
        <f t="shared" si="3"/>
        <v>2000</v>
      </c>
    </row>
    <row r="26" spans="1:15" ht="15" customHeight="1" x14ac:dyDescent="0.2">
      <c r="A26" s="429"/>
      <c r="B26" s="429"/>
      <c r="C26" s="249" t="s">
        <v>776</v>
      </c>
      <c r="D26" s="691" t="s">
        <v>771</v>
      </c>
      <c r="E26" s="695"/>
      <c r="F26" s="634" t="s">
        <v>693</v>
      </c>
      <c r="G26" s="503"/>
      <c r="H26" s="503"/>
      <c r="I26" s="503"/>
      <c r="J26" s="503">
        <v>8000</v>
      </c>
      <c r="K26" s="503"/>
      <c r="L26" s="503">
        <f t="shared" si="0"/>
        <v>8000</v>
      </c>
      <c r="M26" s="503">
        <f t="shared" si="1"/>
        <v>8000</v>
      </c>
      <c r="N26" s="503"/>
      <c r="O26" s="503">
        <f t="shared" si="3"/>
        <v>8000</v>
      </c>
    </row>
    <row r="27" spans="1:15" ht="15" customHeight="1" x14ac:dyDescent="0.2">
      <c r="A27" s="429"/>
      <c r="B27" s="429"/>
      <c r="C27" s="249" t="s">
        <v>777</v>
      </c>
      <c r="D27" s="691" t="s">
        <v>772</v>
      </c>
      <c r="E27" s="696"/>
      <c r="F27" s="634" t="s">
        <v>693</v>
      </c>
      <c r="G27" s="503"/>
      <c r="H27" s="503"/>
      <c r="I27" s="503"/>
      <c r="J27" s="503">
        <v>3500</v>
      </c>
      <c r="K27" s="503"/>
      <c r="L27" s="503">
        <f t="shared" si="0"/>
        <v>3500</v>
      </c>
      <c r="M27" s="503">
        <f t="shared" si="1"/>
        <v>3500</v>
      </c>
      <c r="N27" s="503"/>
      <c r="O27" s="503">
        <f t="shared" si="3"/>
        <v>3500</v>
      </c>
    </row>
    <row r="28" spans="1:15" ht="18.600000000000001" customHeight="1" x14ac:dyDescent="0.2">
      <c r="A28" s="429"/>
      <c r="B28" s="429"/>
      <c r="C28" s="247" t="s">
        <v>838</v>
      </c>
      <c r="D28" s="435" t="s">
        <v>339</v>
      </c>
      <c r="E28" s="438"/>
      <c r="F28" s="655"/>
      <c r="G28" s="503"/>
      <c r="H28" s="503"/>
      <c r="I28" s="503"/>
      <c r="J28" s="503"/>
      <c r="K28" s="503"/>
      <c r="L28" s="503"/>
      <c r="M28" s="503"/>
      <c r="N28" s="503"/>
      <c r="O28" s="503"/>
    </row>
    <row r="29" spans="1:15" ht="24.95" customHeight="1" x14ac:dyDescent="0.2">
      <c r="A29" s="429"/>
      <c r="B29" s="429"/>
      <c r="C29" s="249" t="s">
        <v>200</v>
      </c>
      <c r="D29" s="250" t="s">
        <v>201</v>
      </c>
      <c r="E29" s="331"/>
      <c r="F29" s="630"/>
      <c r="G29" s="503">
        <v>4100</v>
      </c>
      <c r="H29" s="503">
        <v>0</v>
      </c>
      <c r="I29" s="503">
        <v>4100</v>
      </c>
      <c r="J29" s="503"/>
      <c r="K29" s="503"/>
      <c r="L29" s="503">
        <f t="shared" si="0"/>
        <v>0</v>
      </c>
      <c r="M29" s="503">
        <f t="shared" si="1"/>
        <v>4100</v>
      </c>
      <c r="N29" s="503">
        <f t="shared" si="2"/>
        <v>0</v>
      </c>
      <c r="O29" s="503">
        <f t="shared" si="3"/>
        <v>4100</v>
      </c>
    </row>
    <row r="30" spans="1:15" ht="15.75" customHeight="1" x14ac:dyDescent="0.2">
      <c r="A30" s="429"/>
      <c r="B30" s="429"/>
      <c r="C30" s="249" t="s">
        <v>202</v>
      </c>
      <c r="D30" s="441" t="s">
        <v>203</v>
      </c>
      <c r="E30" s="331"/>
      <c r="F30" s="630"/>
      <c r="G30" s="503">
        <v>30000</v>
      </c>
      <c r="H30" s="503">
        <v>0</v>
      </c>
      <c r="I30" s="503">
        <v>30000</v>
      </c>
      <c r="J30" s="503"/>
      <c r="K30" s="503"/>
      <c r="L30" s="503">
        <f t="shared" si="0"/>
        <v>0</v>
      </c>
      <c r="M30" s="503">
        <f t="shared" si="1"/>
        <v>30000</v>
      </c>
      <c r="N30" s="503">
        <f t="shared" si="2"/>
        <v>0</v>
      </c>
      <c r="O30" s="503">
        <f t="shared" si="3"/>
        <v>30000</v>
      </c>
    </row>
    <row r="31" spans="1:15" ht="15.75" customHeight="1" x14ac:dyDescent="0.2">
      <c r="A31" s="429"/>
      <c r="B31" s="429"/>
      <c r="C31" s="249" t="s">
        <v>990</v>
      </c>
      <c r="D31" s="443" t="s">
        <v>676</v>
      </c>
      <c r="E31" s="331"/>
      <c r="F31" s="630"/>
      <c r="G31" s="503"/>
      <c r="H31" s="503"/>
      <c r="I31" s="503"/>
      <c r="J31" s="503"/>
      <c r="K31" s="503"/>
      <c r="L31" s="503"/>
      <c r="M31" s="503"/>
      <c r="N31" s="503"/>
      <c r="O31" s="503"/>
    </row>
    <row r="32" spans="1:15" ht="24.95" customHeight="1" x14ac:dyDescent="0.2">
      <c r="A32" s="429"/>
      <c r="B32" s="429"/>
      <c r="C32" s="433" t="s">
        <v>204</v>
      </c>
      <c r="D32" s="328" t="s">
        <v>205</v>
      </c>
      <c r="E32" s="331"/>
      <c r="F32" s="630"/>
      <c r="G32" s="503">
        <v>28000</v>
      </c>
      <c r="H32" s="503">
        <v>0</v>
      </c>
      <c r="I32" s="503">
        <v>28000</v>
      </c>
      <c r="J32" s="503"/>
      <c r="K32" s="503"/>
      <c r="L32" s="503">
        <f t="shared" si="0"/>
        <v>0</v>
      </c>
      <c r="M32" s="503">
        <f t="shared" si="1"/>
        <v>28000</v>
      </c>
      <c r="N32" s="503">
        <f t="shared" si="2"/>
        <v>0</v>
      </c>
      <c r="O32" s="503">
        <f t="shared" si="3"/>
        <v>28000</v>
      </c>
    </row>
    <row r="33" spans="1:15" ht="17.100000000000001" customHeight="1" x14ac:dyDescent="0.2">
      <c r="A33" s="429"/>
      <c r="B33" s="429"/>
      <c r="C33" s="433" t="s">
        <v>206</v>
      </c>
      <c r="D33" s="435" t="s">
        <v>208</v>
      </c>
      <c r="E33" s="331"/>
      <c r="F33" s="630"/>
      <c r="G33" s="503">
        <v>0</v>
      </c>
      <c r="H33" s="503">
        <v>2500</v>
      </c>
      <c r="I33" s="503">
        <v>2500</v>
      </c>
      <c r="J33" s="503"/>
      <c r="K33" s="503"/>
      <c r="L33" s="503">
        <f t="shared" si="0"/>
        <v>0</v>
      </c>
      <c r="M33" s="503">
        <f t="shared" si="1"/>
        <v>0</v>
      </c>
      <c r="N33" s="503">
        <f t="shared" si="2"/>
        <v>2500</v>
      </c>
      <c r="O33" s="503">
        <f t="shared" si="3"/>
        <v>2500</v>
      </c>
    </row>
    <row r="34" spans="1:15" ht="19.350000000000001" customHeight="1" x14ac:dyDescent="0.2">
      <c r="A34" s="429"/>
      <c r="B34" s="429"/>
      <c r="C34" s="444" t="s">
        <v>841</v>
      </c>
      <c r="D34" s="732" t="s">
        <v>674</v>
      </c>
      <c r="E34" s="733"/>
      <c r="F34" s="656"/>
      <c r="G34" s="503"/>
      <c r="H34" s="503"/>
      <c r="I34" s="503"/>
      <c r="J34" s="503"/>
      <c r="K34" s="503"/>
      <c r="L34" s="503"/>
      <c r="M34" s="503"/>
      <c r="N34" s="503"/>
      <c r="O34" s="503"/>
    </row>
    <row r="35" spans="1:15" ht="15.6" customHeight="1" x14ac:dyDescent="0.2">
      <c r="A35" s="429"/>
      <c r="B35" s="429"/>
      <c r="C35" s="433" t="s">
        <v>209</v>
      </c>
      <c r="D35" s="445" t="s">
        <v>340</v>
      </c>
      <c r="E35" s="446"/>
      <c r="F35" s="656"/>
      <c r="G35" s="503"/>
      <c r="H35" s="503"/>
      <c r="I35" s="503"/>
      <c r="J35" s="503"/>
      <c r="K35" s="503"/>
      <c r="L35" s="503"/>
      <c r="M35" s="503"/>
      <c r="N35" s="503"/>
      <c r="O35" s="503"/>
    </row>
    <row r="36" spans="1:15" ht="16.5" customHeight="1" x14ac:dyDescent="0.2">
      <c r="A36" s="429"/>
      <c r="B36" s="429"/>
      <c r="C36" s="433" t="s">
        <v>210</v>
      </c>
      <c r="D36" s="228" t="s">
        <v>211</v>
      </c>
      <c r="E36" s="331"/>
      <c r="F36" s="630"/>
      <c r="G36" s="503">
        <v>8000</v>
      </c>
      <c r="H36" s="503">
        <v>0</v>
      </c>
      <c r="I36" s="503">
        <v>8000</v>
      </c>
      <c r="J36" s="503"/>
      <c r="K36" s="503"/>
      <c r="L36" s="503">
        <f t="shared" si="0"/>
        <v>0</v>
      </c>
      <c r="M36" s="503">
        <f t="shared" si="1"/>
        <v>8000</v>
      </c>
      <c r="N36" s="503">
        <f t="shared" si="2"/>
        <v>0</v>
      </c>
      <c r="O36" s="503">
        <f t="shared" si="3"/>
        <v>8000</v>
      </c>
    </row>
    <row r="37" spans="1:15" ht="17.100000000000001" customHeight="1" x14ac:dyDescent="0.2">
      <c r="A37" s="429"/>
      <c r="B37" s="429"/>
      <c r="C37" s="433" t="s">
        <v>212</v>
      </c>
      <c r="D37" s="447" t="s">
        <v>341</v>
      </c>
      <c r="E37" s="331"/>
      <c r="F37" s="630"/>
      <c r="G37" s="503"/>
      <c r="H37" s="503"/>
      <c r="I37" s="503"/>
      <c r="J37" s="503"/>
      <c r="K37" s="503"/>
      <c r="L37" s="503"/>
      <c r="M37" s="503"/>
      <c r="N37" s="503"/>
      <c r="O37" s="503"/>
    </row>
    <row r="38" spans="1:15" ht="15.75" customHeight="1" x14ac:dyDescent="0.2">
      <c r="A38" s="429"/>
      <c r="B38" s="429"/>
      <c r="C38" s="433" t="s">
        <v>213</v>
      </c>
      <c r="D38" s="228" t="s">
        <v>214</v>
      </c>
      <c r="E38" s="331"/>
      <c r="F38" s="630" t="s">
        <v>924</v>
      </c>
      <c r="G38" s="503">
        <v>10000</v>
      </c>
      <c r="H38" s="503">
        <v>0</v>
      </c>
      <c r="I38" s="503">
        <v>10000</v>
      </c>
      <c r="J38" s="503">
        <v>-10000</v>
      </c>
      <c r="K38" s="503">
        <v>15000</v>
      </c>
      <c r="L38" s="503">
        <f t="shared" si="0"/>
        <v>5000</v>
      </c>
      <c r="M38" s="503">
        <f t="shared" si="1"/>
        <v>0</v>
      </c>
      <c r="N38" s="503">
        <f t="shared" si="2"/>
        <v>15000</v>
      </c>
      <c r="O38" s="503">
        <f t="shared" si="3"/>
        <v>15000</v>
      </c>
    </row>
    <row r="39" spans="1:15" ht="15.75" customHeight="1" x14ac:dyDescent="0.2">
      <c r="A39" s="429"/>
      <c r="B39" s="429"/>
      <c r="C39" s="433" t="s">
        <v>215</v>
      </c>
      <c r="D39" s="448" t="s">
        <v>216</v>
      </c>
      <c r="E39" s="331"/>
      <c r="F39" s="630" t="s">
        <v>924</v>
      </c>
      <c r="G39" s="503">
        <v>1000</v>
      </c>
      <c r="H39" s="503">
        <v>0</v>
      </c>
      <c r="I39" s="503">
        <v>1000</v>
      </c>
      <c r="J39" s="503">
        <v>-1000</v>
      </c>
      <c r="K39" s="503"/>
      <c r="L39" s="503">
        <f t="shared" si="0"/>
        <v>-1000</v>
      </c>
      <c r="M39" s="503">
        <f t="shared" si="1"/>
        <v>0</v>
      </c>
      <c r="N39" s="503">
        <f t="shared" si="2"/>
        <v>0</v>
      </c>
      <c r="O39" s="503">
        <f t="shared" si="3"/>
        <v>0</v>
      </c>
    </row>
    <row r="40" spans="1:15" ht="22.35" customHeight="1" x14ac:dyDescent="0.2">
      <c r="A40" s="429"/>
      <c r="B40" s="429"/>
      <c r="C40" s="433" t="s">
        <v>217</v>
      </c>
      <c r="D40" s="437" t="s">
        <v>218</v>
      </c>
      <c r="E40" s="331"/>
      <c r="F40" s="630" t="s">
        <v>924</v>
      </c>
      <c r="G40" s="503">
        <v>2000</v>
      </c>
      <c r="H40" s="503">
        <v>0</v>
      </c>
      <c r="I40" s="503">
        <v>2000</v>
      </c>
      <c r="J40" s="503">
        <v>-2000</v>
      </c>
      <c r="K40" s="503"/>
      <c r="L40" s="503">
        <f t="shared" si="0"/>
        <v>-2000</v>
      </c>
      <c r="M40" s="503">
        <f t="shared" si="1"/>
        <v>0</v>
      </c>
      <c r="N40" s="503">
        <f t="shared" si="2"/>
        <v>0</v>
      </c>
      <c r="O40" s="503">
        <f t="shared" si="3"/>
        <v>0</v>
      </c>
    </row>
    <row r="41" spans="1:15" ht="30.6" customHeight="1" x14ac:dyDescent="0.2">
      <c r="A41" s="429"/>
      <c r="B41" s="429"/>
      <c r="C41" s="433" t="s">
        <v>219</v>
      </c>
      <c r="D41" s="437" t="s">
        <v>220</v>
      </c>
      <c r="E41" s="331"/>
      <c r="F41" s="630" t="s">
        <v>924</v>
      </c>
      <c r="G41" s="503">
        <v>2000</v>
      </c>
      <c r="H41" s="503">
        <v>0</v>
      </c>
      <c r="I41" s="503">
        <v>2000</v>
      </c>
      <c r="J41" s="503">
        <v>-2000</v>
      </c>
      <c r="K41" s="503"/>
      <c r="L41" s="503">
        <f t="shared" si="0"/>
        <v>-2000</v>
      </c>
      <c r="M41" s="503">
        <f t="shared" si="1"/>
        <v>0</v>
      </c>
      <c r="N41" s="503">
        <f t="shared" si="2"/>
        <v>0</v>
      </c>
      <c r="O41" s="503">
        <f t="shared" si="3"/>
        <v>0</v>
      </c>
    </row>
    <row r="42" spans="1:15" ht="15.75" customHeight="1" x14ac:dyDescent="0.2">
      <c r="A42" s="429"/>
      <c r="B42" s="429"/>
      <c r="C42" s="444" t="s">
        <v>221</v>
      </c>
      <c r="D42" s="434" t="s">
        <v>342</v>
      </c>
      <c r="E42" s="331"/>
      <c r="F42" s="630"/>
      <c r="G42" s="503"/>
      <c r="H42" s="503"/>
      <c r="I42" s="503"/>
      <c r="J42" s="503"/>
      <c r="K42" s="503"/>
      <c r="L42" s="503"/>
      <c r="M42" s="503"/>
      <c r="N42" s="503"/>
      <c r="O42" s="503"/>
    </row>
    <row r="43" spans="1:15" ht="15.75" customHeight="1" x14ac:dyDescent="0.2">
      <c r="A43" s="429"/>
      <c r="B43" s="429"/>
      <c r="C43" s="433" t="s">
        <v>222</v>
      </c>
      <c r="D43" s="435" t="s">
        <v>223</v>
      </c>
      <c r="E43" s="331"/>
      <c r="F43" s="630"/>
      <c r="G43" s="503">
        <v>5000</v>
      </c>
      <c r="H43" s="503">
        <v>0</v>
      </c>
      <c r="I43" s="503">
        <v>5000</v>
      </c>
      <c r="J43" s="503"/>
      <c r="K43" s="503"/>
      <c r="L43" s="503">
        <f t="shared" si="0"/>
        <v>0</v>
      </c>
      <c r="M43" s="503">
        <f t="shared" si="1"/>
        <v>5000</v>
      </c>
      <c r="N43" s="503">
        <f t="shared" si="2"/>
        <v>0</v>
      </c>
      <c r="O43" s="503">
        <f t="shared" si="3"/>
        <v>5000</v>
      </c>
    </row>
    <row r="44" spans="1:15" ht="15.75" customHeight="1" x14ac:dyDescent="0.2">
      <c r="A44" s="429"/>
      <c r="B44" s="429"/>
      <c r="C44" s="249" t="s">
        <v>224</v>
      </c>
      <c r="D44" s="447" t="s">
        <v>1004</v>
      </c>
      <c r="E44" s="438"/>
      <c r="F44" s="630"/>
      <c r="G44" s="503">
        <v>0</v>
      </c>
      <c r="H44" s="503">
        <v>0</v>
      </c>
      <c r="I44" s="503">
        <v>0</v>
      </c>
      <c r="J44" s="503"/>
      <c r="K44" s="503"/>
      <c r="L44" s="503">
        <f t="shared" si="0"/>
        <v>0</v>
      </c>
      <c r="M44" s="503">
        <f t="shared" si="1"/>
        <v>0</v>
      </c>
      <c r="N44" s="503">
        <f t="shared" si="2"/>
        <v>0</v>
      </c>
      <c r="O44" s="503">
        <f t="shared" si="3"/>
        <v>0</v>
      </c>
    </row>
    <row r="45" spans="1:15" ht="21.6" customHeight="1" x14ac:dyDescent="0.2">
      <c r="A45" s="429"/>
      <c r="B45" s="429"/>
      <c r="C45" s="429" t="s">
        <v>1005</v>
      </c>
      <c r="D45" s="449" t="s">
        <v>225</v>
      </c>
      <c r="E45" s="450"/>
      <c r="F45" s="657"/>
      <c r="G45" s="503">
        <v>0</v>
      </c>
      <c r="H45" s="503">
        <v>21000</v>
      </c>
      <c r="I45" s="503">
        <v>21000</v>
      </c>
      <c r="J45" s="503"/>
      <c r="K45" s="503"/>
      <c r="L45" s="503">
        <f t="shared" si="0"/>
        <v>0</v>
      </c>
      <c r="M45" s="503">
        <f t="shared" si="1"/>
        <v>0</v>
      </c>
      <c r="N45" s="503">
        <f t="shared" si="2"/>
        <v>21000</v>
      </c>
      <c r="O45" s="503">
        <f t="shared" si="3"/>
        <v>21000</v>
      </c>
    </row>
    <row r="46" spans="1:15" ht="15" customHeight="1" x14ac:dyDescent="0.2">
      <c r="A46" s="429"/>
      <c r="B46" s="429"/>
      <c r="C46" s="429" t="s">
        <v>1007</v>
      </c>
      <c r="D46" s="449" t="s">
        <v>226</v>
      </c>
      <c r="E46" s="451"/>
      <c r="F46" s="658"/>
      <c r="G46" s="503">
        <v>1072</v>
      </c>
      <c r="H46" s="503">
        <v>0</v>
      </c>
      <c r="I46" s="503">
        <v>1072</v>
      </c>
      <c r="J46" s="503"/>
      <c r="K46" s="503"/>
      <c r="L46" s="503">
        <f t="shared" si="0"/>
        <v>0</v>
      </c>
      <c r="M46" s="503">
        <f t="shared" si="1"/>
        <v>1072</v>
      </c>
      <c r="N46" s="503">
        <f t="shared" si="2"/>
        <v>0</v>
      </c>
      <c r="O46" s="503">
        <f t="shared" si="3"/>
        <v>1072</v>
      </c>
    </row>
    <row r="47" spans="1:15" ht="15" customHeight="1" x14ac:dyDescent="0.2">
      <c r="A47" s="429"/>
      <c r="B47" s="429"/>
      <c r="C47" s="429" t="s">
        <v>1008</v>
      </c>
      <c r="D47" s="452" t="s">
        <v>227</v>
      </c>
      <c r="E47" s="451"/>
      <c r="F47" s="659"/>
      <c r="G47" s="503">
        <v>38523</v>
      </c>
      <c r="H47" s="503">
        <v>0</v>
      </c>
      <c r="I47" s="503">
        <v>38523</v>
      </c>
      <c r="J47" s="503"/>
      <c r="K47" s="503"/>
      <c r="L47" s="503">
        <f t="shared" si="0"/>
        <v>0</v>
      </c>
      <c r="M47" s="503">
        <f t="shared" si="1"/>
        <v>38523</v>
      </c>
      <c r="N47" s="503">
        <f t="shared" si="2"/>
        <v>0</v>
      </c>
      <c r="O47" s="503">
        <f t="shared" si="3"/>
        <v>38523</v>
      </c>
    </row>
    <row r="48" spans="1:15" ht="14.1" customHeight="1" x14ac:dyDescent="0.2">
      <c r="A48" s="453"/>
      <c r="B48" s="453"/>
      <c r="C48" s="453"/>
      <c r="D48" s="454" t="s">
        <v>470</v>
      </c>
      <c r="E48" s="455"/>
      <c r="F48" s="660"/>
      <c r="G48" s="456">
        <f t="shared" ref="G48:O48" si="4">SUM(G7:G47)</f>
        <v>204695</v>
      </c>
      <c r="H48" s="456">
        <f t="shared" si="4"/>
        <v>23500</v>
      </c>
      <c r="I48" s="456">
        <f t="shared" si="4"/>
        <v>228195</v>
      </c>
      <c r="J48" s="456">
        <f t="shared" si="4"/>
        <v>-17000</v>
      </c>
      <c r="K48" s="456">
        <f t="shared" si="4"/>
        <v>17000</v>
      </c>
      <c r="L48" s="456">
        <f t="shared" si="4"/>
        <v>0</v>
      </c>
      <c r="M48" s="456">
        <f t="shared" si="4"/>
        <v>187695</v>
      </c>
      <c r="N48" s="456">
        <f t="shared" si="4"/>
        <v>40500</v>
      </c>
      <c r="O48" s="456">
        <f t="shared" si="4"/>
        <v>228195</v>
      </c>
    </row>
    <row r="49" spans="1:15" ht="12.95" customHeight="1" x14ac:dyDescent="0.2">
      <c r="A49" s="457">
        <v>1</v>
      </c>
      <c r="B49" s="457">
        <v>15</v>
      </c>
      <c r="C49" s="457"/>
      <c r="D49" s="277" t="s">
        <v>910</v>
      </c>
      <c r="E49" s="331"/>
      <c r="F49" s="630"/>
      <c r="G49" s="252"/>
      <c r="H49" s="252"/>
      <c r="I49" s="252"/>
      <c r="J49" s="503"/>
      <c r="K49" s="503"/>
      <c r="L49" s="503"/>
      <c r="M49" s="503"/>
      <c r="N49" s="503"/>
      <c r="O49" s="503"/>
    </row>
    <row r="50" spans="1:15" ht="12.95" customHeight="1" x14ac:dyDescent="0.2">
      <c r="A50" s="457"/>
      <c r="B50" s="457"/>
      <c r="C50" s="458">
        <v>1</v>
      </c>
      <c r="D50" s="425" t="s">
        <v>704</v>
      </c>
      <c r="E50" s="331"/>
      <c r="F50" s="630"/>
      <c r="G50" s="252"/>
      <c r="H50" s="252"/>
      <c r="I50" s="252"/>
      <c r="J50" s="503"/>
      <c r="K50" s="503"/>
      <c r="L50" s="503"/>
      <c r="M50" s="503"/>
      <c r="N50" s="503"/>
      <c r="O50" s="503"/>
    </row>
    <row r="51" spans="1:15" ht="12.95" customHeight="1" x14ac:dyDescent="0.2">
      <c r="A51" s="457"/>
      <c r="B51" s="457"/>
      <c r="C51" s="458" t="s">
        <v>836</v>
      </c>
      <c r="D51" s="330" t="s">
        <v>228</v>
      </c>
      <c r="E51" s="331"/>
      <c r="F51" s="630"/>
      <c r="G51" s="503">
        <v>6000</v>
      </c>
      <c r="H51" s="503">
        <v>0</v>
      </c>
      <c r="I51" s="503">
        <v>6000</v>
      </c>
      <c r="J51" s="503"/>
      <c r="K51" s="503"/>
      <c r="L51" s="503">
        <f t="shared" si="0"/>
        <v>0</v>
      </c>
      <c r="M51" s="503">
        <f t="shared" si="1"/>
        <v>6000</v>
      </c>
      <c r="N51" s="503">
        <f t="shared" si="2"/>
        <v>0</v>
      </c>
      <c r="O51" s="503">
        <f t="shared" si="3"/>
        <v>6000</v>
      </c>
    </row>
    <row r="52" spans="1:15" ht="12.95" customHeight="1" x14ac:dyDescent="0.2">
      <c r="A52" s="457"/>
      <c r="B52" s="457"/>
      <c r="C52" s="458" t="s">
        <v>837</v>
      </c>
      <c r="D52" s="459" t="s">
        <v>229</v>
      </c>
      <c r="E52" s="331"/>
      <c r="F52" s="630"/>
      <c r="G52" s="503">
        <v>2000</v>
      </c>
      <c r="H52" s="503">
        <v>0</v>
      </c>
      <c r="I52" s="503">
        <v>2000</v>
      </c>
      <c r="J52" s="503"/>
      <c r="K52" s="503"/>
      <c r="L52" s="503">
        <f t="shared" si="0"/>
        <v>0</v>
      </c>
      <c r="M52" s="503">
        <f t="shared" si="1"/>
        <v>2000</v>
      </c>
      <c r="N52" s="503">
        <f t="shared" si="2"/>
        <v>0</v>
      </c>
      <c r="O52" s="503">
        <f t="shared" si="3"/>
        <v>2000</v>
      </c>
    </row>
    <row r="53" spans="1:15" ht="12.95" customHeight="1" x14ac:dyDescent="0.2">
      <c r="A53" s="457"/>
      <c r="B53" s="457"/>
      <c r="C53" s="458" t="s">
        <v>838</v>
      </c>
      <c r="D53" s="330" t="s">
        <v>230</v>
      </c>
      <c r="E53" s="331"/>
      <c r="F53" s="630"/>
      <c r="G53" s="503">
        <v>2000</v>
      </c>
      <c r="H53" s="503">
        <v>0</v>
      </c>
      <c r="I53" s="503">
        <v>2000</v>
      </c>
      <c r="J53" s="503"/>
      <c r="K53" s="503"/>
      <c r="L53" s="503">
        <f t="shared" si="0"/>
        <v>0</v>
      </c>
      <c r="M53" s="503">
        <f t="shared" si="1"/>
        <v>2000</v>
      </c>
      <c r="N53" s="503">
        <f t="shared" si="2"/>
        <v>0</v>
      </c>
      <c r="O53" s="503">
        <f t="shared" si="3"/>
        <v>2000</v>
      </c>
    </row>
    <row r="54" spans="1:15" ht="12.95" customHeight="1" x14ac:dyDescent="0.2">
      <c r="A54" s="457"/>
      <c r="B54" s="457"/>
      <c r="C54" s="458"/>
      <c r="D54" s="460" t="s">
        <v>1004</v>
      </c>
      <c r="E54" s="331"/>
      <c r="F54" s="630"/>
      <c r="G54" s="503">
        <v>0</v>
      </c>
      <c r="H54" s="503">
        <v>0</v>
      </c>
      <c r="I54" s="503">
        <v>0</v>
      </c>
      <c r="J54" s="503"/>
      <c r="K54" s="503"/>
      <c r="L54" s="503">
        <f t="shared" si="0"/>
        <v>0</v>
      </c>
      <c r="M54" s="503">
        <f t="shared" si="1"/>
        <v>0</v>
      </c>
      <c r="N54" s="503">
        <f t="shared" si="2"/>
        <v>0</v>
      </c>
      <c r="O54" s="503">
        <f t="shared" si="3"/>
        <v>0</v>
      </c>
    </row>
    <row r="55" spans="1:15" ht="12.95" customHeight="1" x14ac:dyDescent="0.2">
      <c r="A55" s="457"/>
      <c r="B55" s="457"/>
      <c r="C55" s="461" t="s">
        <v>697</v>
      </c>
      <c r="D55" s="462" t="s">
        <v>231</v>
      </c>
      <c r="E55" s="331"/>
      <c r="F55" s="630"/>
      <c r="G55" s="503">
        <v>8219</v>
      </c>
      <c r="H55" s="503">
        <v>0</v>
      </c>
      <c r="I55" s="503">
        <v>8219</v>
      </c>
      <c r="J55" s="503"/>
      <c r="K55" s="503"/>
      <c r="L55" s="503">
        <f t="shared" si="0"/>
        <v>0</v>
      </c>
      <c r="M55" s="503">
        <f t="shared" si="1"/>
        <v>8219</v>
      </c>
      <c r="N55" s="503">
        <f t="shared" si="2"/>
        <v>0</v>
      </c>
      <c r="O55" s="503">
        <f t="shared" si="3"/>
        <v>8219</v>
      </c>
    </row>
    <row r="56" spans="1:15" ht="12.95" customHeight="1" x14ac:dyDescent="0.2">
      <c r="A56" s="457"/>
      <c r="B56" s="457"/>
      <c r="C56" s="461" t="s">
        <v>729</v>
      </c>
      <c r="D56" s="284" t="s">
        <v>612</v>
      </c>
      <c r="E56" s="278"/>
      <c r="F56" s="661"/>
      <c r="G56" s="503">
        <v>1300</v>
      </c>
      <c r="H56" s="503">
        <v>0</v>
      </c>
      <c r="I56" s="503">
        <v>1300</v>
      </c>
      <c r="J56" s="503"/>
      <c r="K56" s="503"/>
      <c r="L56" s="503">
        <f t="shared" si="0"/>
        <v>0</v>
      </c>
      <c r="M56" s="503">
        <f t="shared" si="1"/>
        <v>1300</v>
      </c>
      <c r="N56" s="503">
        <f t="shared" si="2"/>
        <v>0</v>
      </c>
      <c r="O56" s="503">
        <f t="shared" si="3"/>
        <v>1300</v>
      </c>
    </row>
    <row r="57" spans="1:15" ht="12.95" customHeight="1" x14ac:dyDescent="0.2">
      <c r="A57" s="457"/>
      <c r="B57" s="457"/>
      <c r="C57" s="461" t="s">
        <v>730</v>
      </c>
      <c r="D57" s="284" t="s">
        <v>611</v>
      </c>
      <c r="E57" s="278"/>
      <c r="F57" s="661"/>
      <c r="G57" s="503">
        <v>1800</v>
      </c>
      <c r="H57" s="503">
        <v>0</v>
      </c>
      <c r="I57" s="503">
        <v>1800</v>
      </c>
      <c r="J57" s="503"/>
      <c r="K57" s="503"/>
      <c r="L57" s="503">
        <f t="shared" si="0"/>
        <v>0</v>
      </c>
      <c r="M57" s="503">
        <f t="shared" si="1"/>
        <v>1800</v>
      </c>
      <c r="N57" s="503">
        <f t="shared" si="2"/>
        <v>0</v>
      </c>
      <c r="O57" s="503">
        <f t="shared" si="3"/>
        <v>1800</v>
      </c>
    </row>
    <row r="58" spans="1:15" ht="24.95" customHeight="1" x14ac:dyDescent="0.2">
      <c r="A58" s="457"/>
      <c r="B58" s="457"/>
      <c r="C58" s="461" t="s">
        <v>731</v>
      </c>
      <c r="D58" s="463" t="s">
        <v>613</v>
      </c>
      <c r="E58" s="331"/>
      <c r="F58" s="630"/>
      <c r="G58" s="503">
        <v>790</v>
      </c>
      <c r="H58" s="503">
        <v>0</v>
      </c>
      <c r="I58" s="503">
        <v>790</v>
      </c>
      <c r="J58" s="503"/>
      <c r="K58" s="503"/>
      <c r="L58" s="503">
        <f t="shared" si="0"/>
        <v>0</v>
      </c>
      <c r="M58" s="503">
        <f t="shared" si="1"/>
        <v>790</v>
      </c>
      <c r="N58" s="503">
        <f t="shared" si="2"/>
        <v>0</v>
      </c>
      <c r="O58" s="503">
        <f t="shared" si="3"/>
        <v>790</v>
      </c>
    </row>
    <row r="59" spans="1:15" ht="12.95" customHeight="1" x14ac:dyDescent="0.2">
      <c r="A59" s="457"/>
      <c r="B59" s="457"/>
      <c r="C59" s="464" t="s">
        <v>843</v>
      </c>
      <c r="D59" s="465" t="s">
        <v>653</v>
      </c>
      <c r="E59" s="331"/>
      <c r="F59" s="630"/>
      <c r="G59" s="503"/>
      <c r="H59" s="503"/>
      <c r="I59" s="503"/>
      <c r="J59" s="503"/>
      <c r="K59" s="503"/>
      <c r="L59" s="503"/>
      <c r="M59" s="503"/>
      <c r="N59" s="503"/>
      <c r="O59" s="503"/>
    </row>
    <row r="60" spans="1:15" ht="12.95" customHeight="1" x14ac:dyDescent="0.2">
      <c r="A60" s="457"/>
      <c r="B60" s="457"/>
      <c r="C60" s="429" t="s">
        <v>849</v>
      </c>
      <c r="D60" s="290" t="s">
        <v>763</v>
      </c>
      <c r="E60" s="466"/>
      <c r="F60" s="630"/>
      <c r="G60" s="503">
        <v>5000</v>
      </c>
      <c r="H60" s="503">
        <v>0</v>
      </c>
      <c r="I60" s="503">
        <v>5000</v>
      </c>
      <c r="J60" s="503"/>
      <c r="K60" s="503"/>
      <c r="L60" s="503">
        <f t="shared" si="0"/>
        <v>0</v>
      </c>
      <c r="M60" s="503">
        <f t="shared" si="1"/>
        <v>5000</v>
      </c>
      <c r="N60" s="503">
        <f t="shared" si="2"/>
        <v>0</v>
      </c>
      <c r="O60" s="503">
        <f t="shared" si="3"/>
        <v>5000</v>
      </c>
    </row>
    <row r="61" spans="1:15" ht="12.95" customHeight="1" x14ac:dyDescent="0.2">
      <c r="A61" s="457"/>
      <c r="B61" s="457"/>
      <c r="C61" s="429" t="s">
        <v>850</v>
      </c>
      <c r="D61" s="467" t="s">
        <v>232</v>
      </c>
      <c r="E61" s="466"/>
      <c r="F61" s="630" t="s">
        <v>924</v>
      </c>
      <c r="G61" s="503">
        <v>33000</v>
      </c>
      <c r="H61" s="503">
        <v>0</v>
      </c>
      <c r="I61" s="503">
        <v>33000</v>
      </c>
      <c r="J61" s="503">
        <v>-1192</v>
      </c>
      <c r="K61" s="503"/>
      <c r="L61" s="503">
        <f t="shared" si="0"/>
        <v>-1192</v>
      </c>
      <c r="M61" s="503">
        <f t="shared" si="1"/>
        <v>31808</v>
      </c>
      <c r="N61" s="503">
        <f t="shared" si="2"/>
        <v>0</v>
      </c>
      <c r="O61" s="503">
        <f t="shared" si="3"/>
        <v>31808</v>
      </c>
    </row>
    <row r="62" spans="1:15" ht="12.95" customHeight="1" x14ac:dyDescent="0.2">
      <c r="A62" s="457"/>
      <c r="B62" s="457"/>
      <c r="C62" s="429" t="s">
        <v>851</v>
      </c>
      <c r="D62" s="301" t="s">
        <v>343</v>
      </c>
      <c r="E62" s="466"/>
      <c r="F62" s="630"/>
      <c r="G62" s="503">
        <v>10000</v>
      </c>
      <c r="H62" s="503">
        <v>0</v>
      </c>
      <c r="I62" s="503">
        <v>10000</v>
      </c>
      <c r="J62" s="503"/>
      <c r="K62" s="503"/>
      <c r="L62" s="503">
        <f t="shared" si="0"/>
        <v>0</v>
      </c>
      <c r="M62" s="503">
        <f t="shared" si="1"/>
        <v>10000</v>
      </c>
      <c r="N62" s="503">
        <f t="shared" si="2"/>
        <v>0</v>
      </c>
      <c r="O62" s="503">
        <f t="shared" si="3"/>
        <v>10000</v>
      </c>
    </row>
    <row r="63" spans="1:15" ht="12.95" customHeight="1" x14ac:dyDescent="0.2">
      <c r="A63" s="457"/>
      <c r="B63" s="457"/>
      <c r="C63" s="429" t="s">
        <v>852</v>
      </c>
      <c r="D63" s="301" t="s">
        <v>233</v>
      </c>
      <c r="E63" s="466"/>
      <c r="F63" s="630"/>
      <c r="G63" s="503">
        <v>15770</v>
      </c>
      <c r="H63" s="503">
        <v>0</v>
      </c>
      <c r="I63" s="503">
        <v>15770</v>
      </c>
      <c r="J63" s="503"/>
      <c r="K63" s="503"/>
      <c r="L63" s="503">
        <f t="shared" si="0"/>
        <v>0</v>
      </c>
      <c r="M63" s="503">
        <f t="shared" si="1"/>
        <v>15770</v>
      </c>
      <c r="N63" s="503">
        <f t="shared" si="2"/>
        <v>0</v>
      </c>
      <c r="O63" s="503">
        <f t="shared" si="3"/>
        <v>15770</v>
      </c>
    </row>
    <row r="64" spans="1:15" ht="12.95" customHeight="1" x14ac:dyDescent="0.2">
      <c r="A64" s="457"/>
      <c r="B64" s="457"/>
      <c r="C64" s="429" t="s">
        <v>853</v>
      </c>
      <c r="D64" s="301" t="s">
        <v>234</v>
      </c>
      <c r="E64" s="466"/>
      <c r="F64" s="630"/>
      <c r="G64" s="503">
        <v>15500</v>
      </c>
      <c r="H64" s="503">
        <v>0</v>
      </c>
      <c r="I64" s="503">
        <v>15500</v>
      </c>
      <c r="J64" s="503"/>
      <c r="K64" s="503"/>
      <c r="L64" s="503">
        <f t="shared" si="0"/>
        <v>0</v>
      </c>
      <c r="M64" s="503">
        <f t="shared" si="1"/>
        <v>15500</v>
      </c>
      <c r="N64" s="503">
        <f t="shared" si="2"/>
        <v>0</v>
      </c>
      <c r="O64" s="503">
        <f t="shared" si="3"/>
        <v>15500</v>
      </c>
    </row>
    <row r="65" spans="1:15" ht="12.95" customHeight="1" x14ac:dyDescent="0.2">
      <c r="A65" s="457"/>
      <c r="B65" s="457"/>
      <c r="C65" s="429" t="s">
        <v>854</v>
      </c>
      <c r="D65" s="467" t="s">
        <v>235</v>
      </c>
      <c r="E65" s="466"/>
      <c r="F65" s="630" t="s">
        <v>924</v>
      </c>
      <c r="G65" s="503">
        <v>14000</v>
      </c>
      <c r="H65" s="503">
        <v>0</v>
      </c>
      <c r="I65" s="503">
        <v>14000</v>
      </c>
      <c r="J65" s="503">
        <v>869</v>
      </c>
      <c r="K65" s="503"/>
      <c r="L65" s="503">
        <f t="shared" si="0"/>
        <v>869</v>
      </c>
      <c r="M65" s="503">
        <f t="shared" si="1"/>
        <v>14869</v>
      </c>
      <c r="N65" s="503">
        <f t="shared" si="2"/>
        <v>0</v>
      </c>
      <c r="O65" s="503">
        <f t="shared" si="3"/>
        <v>14869</v>
      </c>
    </row>
    <row r="66" spans="1:15" ht="12.95" customHeight="1" x14ac:dyDescent="0.2">
      <c r="A66" s="457"/>
      <c r="B66" s="457"/>
      <c r="C66" s="429" t="s">
        <v>855</v>
      </c>
      <c r="D66" s="301" t="s">
        <v>236</v>
      </c>
      <c r="E66" s="466"/>
      <c r="F66" s="630"/>
      <c r="G66" s="503">
        <v>3000</v>
      </c>
      <c r="H66" s="503">
        <v>0</v>
      </c>
      <c r="I66" s="503">
        <v>3000</v>
      </c>
      <c r="J66" s="503"/>
      <c r="K66" s="503"/>
      <c r="L66" s="503">
        <f t="shared" si="0"/>
        <v>0</v>
      </c>
      <c r="M66" s="503">
        <f t="shared" si="1"/>
        <v>3000</v>
      </c>
      <c r="N66" s="503">
        <f t="shared" si="2"/>
        <v>0</v>
      </c>
      <c r="O66" s="503">
        <f t="shared" si="3"/>
        <v>3000</v>
      </c>
    </row>
    <row r="67" spans="1:15" ht="12.95" customHeight="1" x14ac:dyDescent="0.2">
      <c r="A67" s="457"/>
      <c r="B67" s="457"/>
      <c r="C67" s="429" t="s">
        <v>879</v>
      </c>
      <c r="D67" s="301" t="s">
        <v>756</v>
      </c>
      <c r="E67" s="466"/>
      <c r="F67" s="630"/>
      <c r="G67" s="503">
        <v>5000</v>
      </c>
      <c r="H67" s="503">
        <v>0</v>
      </c>
      <c r="I67" s="503">
        <v>5000</v>
      </c>
      <c r="J67" s="503"/>
      <c r="K67" s="503"/>
      <c r="L67" s="503">
        <f t="shared" si="0"/>
        <v>0</v>
      </c>
      <c r="M67" s="503">
        <f t="shared" si="1"/>
        <v>5000</v>
      </c>
      <c r="N67" s="503">
        <f t="shared" si="2"/>
        <v>0</v>
      </c>
      <c r="O67" s="503">
        <f t="shared" si="3"/>
        <v>5000</v>
      </c>
    </row>
    <row r="68" spans="1:15" ht="12.95" customHeight="1" x14ac:dyDescent="0.2">
      <c r="A68" s="457"/>
      <c r="B68" s="457"/>
      <c r="C68" s="429" t="s">
        <v>880</v>
      </c>
      <c r="D68" s="301" t="s">
        <v>237</v>
      </c>
      <c r="E68" s="466"/>
      <c r="F68" s="630"/>
      <c r="G68" s="503">
        <v>9564</v>
      </c>
      <c r="H68" s="503">
        <v>0</v>
      </c>
      <c r="I68" s="503">
        <v>9564</v>
      </c>
      <c r="J68" s="503"/>
      <c r="K68" s="503"/>
      <c r="L68" s="503">
        <f t="shared" si="0"/>
        <v>0</v>
      </c>
      <c r="M68" s="503">
        <f t="shared" si="1"/>
        <v>9564</v>
      </c>
      <c r="N68" s="503">
        <f t="shared" si="2"/>
        <v>0</v>
      </c>
      <c r="O68" s="503">
        <f t="shared" si="3"/>
        <v>9564</v>
      </c>
    </row>
    <row r="69" spans="1:15" ht="12.95" customHeight="1" x14ac:dyDescent="0.2">
      <c r="A69" s="457"/>
      <c r="B69" s="457"/>
      <c r="C69" s="429" t="s">
        <v>881</v>
      </c>
      <c r="D69" s="301" t="s">
        <v>238</v>
      </c>
      <c r="E69" s="466"/>
      <c r="F69" s="630"/>
      <c r="G69" s="503">
        <v>5000</v>
      </c>
      <c r="H69" s="503">
        <v>0</v>
      </c>
      <c r="I69" s="503">
        <v>5000</v>
      </c>
      <c r="J69" s="503"/>
      <c r="K69" s="503"/>
      <c r="L69" s="503">
        <f t="shared" si="0"/>
        <v>0</v>
      </c>
      <c r="M69" s="503">
        <f t="shared" si="1"/>
        <v>5000</v>
      </c>
      <c r="N69" s="503">
        <f t="shared" si="2"/>
        <v>0</v>
      </c>
      <c r="O69" s="503">
        <f t="shared" si="3"/>
        <v>5000</v>
      </c>
    </row>
    <row r="70" spans="1:15" ht="12.95" customHeight="1" x14ac:dyDescent="0.2">
      <c r="A70" s="457"/>
      <c r="B70" s="457"/>
      <c r="C70" s="429" t="s">
        <v>882</v>
      </c>
      <c r="D70" s="301" t="s">
        <v>239</v>
      </c>
      <c r="E70" s="466"/>
      <c r="F70" s="630"/>
      <c r="G70" s="503">
        <v>4000</v>
      </c>
      <c r="H70" s="503">
        <v>0</v>
      </c>
      <c r="I70" s="503">
        <v>4000</v>
      </c>
      <c r="J70" s="503"/>
      <c r="K70" s="503"/>
      <c r="L70" s="503">
        <f t="shared" si="0"/>
        <v>0</v>
      </c>
      <c r="M70" s="503">
        <f t="shared" si="1"/>
        <v>4000</v>
      </c>
      <c r="N70" s="503">
        <f t="shared" si="2"/>
        <v>0</v>
      </c>
      <c r="O70" s="503">
        <f t="shared" si="3"/>
        <v>4000</v>
      </c>
    </row>
    <row r="71" spans="1:15" ht="12.95" customHeight="1" x14ac:dyDescent="0.2">
      <c r="A71" s="457"/>
      <c r="B71" s="457"/>
      <c r="C71" s="429" t="s">
        <v>883</v>
      </c>
      <c r="D71" s="290" t="s">
        <v>240</v>
      </c>
      <c r="E71" s="466"/>
      <c r="F71" s="630" t="s">
        <v>924</v>
      </c>
      <c r="G71" s="503">
        <v>4000</v>
      </c>
      <c r="H71" s="503">
        <v>0</v>
      </c>
      <c r="I71" s="503">
        <v>4000</v>
      </c>
      <c r="J71" s="503">
        <v>1301</v>
      </c>
      <c r="K71" s="503"/>
      <c r="L71" s="503">
        <f t="shared" si="0"/>
        <v>1301</v>
      </c>
      <c r="M71" s="503">
        <f t="shared" si="1"/>
        <v>5301</v>
      </c>
      <c r="N71" s="503">
        <f t="shared" si="2"/>
        <v>0</v>
      </c>
      <c r="O71" s="503">
        <f t="shared" si="3"/>
        <v>5301</v>
      </c>
    </row>
    <row r="72" spans="1:15" ht="12.95" customHeight="1" x14ac:dyDescent="0.2">
      <c r="A72" s="457"/>
      <c r="B72" s="457"/>
      <c r="C72" s="429" t="s">
        <v>884</v>
      </c>
      <c r="D72" s="467" t="s">
        <v>241</v>
      </c>
      <c r="E72" s="466"/>
      <c r="F72" s="630"/>
      <c r="G72" s="503">
        <v>4000</v>
      </c>
      <c r="H72" s="503">
        <v>0</v>
      </c>
      <c r="I72" s="503">
        <v>4000</v>
      </c>
      <c r="J72" s="503"/>
      <c r="K72" s="503"/>
      <c r="L72" s="503">
        <f t="shared" si="0"/>
        <v>0</v>
      </c>
      <c r="M72" s="503">
        <f t="shared" si="1"/>
        <v>4000</v>
      </c>
      <c r="N72" s="503">
        <f t="shared" si="2"/>
        <v>0</v>
      </c>
      <c r="O72" s="503">
        <f t="shared" si="3"/>
        <v>4000</v>
      </c>
    </row>
    <row r="73" spans="1:15" ht="12.95" customHeight="1" x14ac:dyDescent="0.2">
      <c r="A73" s="457"/>
      <c r="B73" s="457"/>
      <c r="C73" s="429" t="s">
        <v>885</v>
      </c>
      <c r="D73" s="290" t="s">
        <v>242</v>
      </c>
      <c r="E73" s="466"/>
      <c r="F73" s="630" t="s">
        <v>924</v>
      </c>
      <c r="G73" s="503">
        <v>3000</v>
      </c>
      <c r="H73" s="503">
        <v>0</v>
      </c>
      <c r="I73" s="503">
        <v>3000</v>
      </c>
      <c r="J73" s="503">
        <v>1909</v>
      </c>
      <c r="K73" s="503"/>
      <c r="L73" s="503">
        <f t="shared" si="0"/>
        <v>1909</v>
      </c>
      <c r="M73" s="503">
        <f t="shared" si="1"/>
        <v>4909</v>
      </c>
      <c r="N73" s="503">
        <f t="shared" si="2"/>
        <v>0</v>
      </c>
      <c r="O73" s="503">
        <f t="shared" si="3"/>
        <v>4909</v>
      </c>
    </row>
    <row r="74" spans="1:15" ht="12.95" customHeight="1" x14ac:dyDescent="0.2">
      <c r="A74" s="457"/>
      <c r="B74" s="457"/>
      <c r="C74" s="429" t="s">
        <v>886</v>
      </c>
      <c r="D74" s="301" t="s">
        <v>243</v>
      </c>
      <c r="E74" s="466"/>
      <c r="F74" s="630"/>
      <c r="G74" s="503">
        <v>2000</v>
      </c>
      <c r="H74" s="503">
        <v>0</v>
      </c>
      <c r="I74" s="503">
        <v>2000</v>
      </c>
      <c r="J74" s="503"/>
      <c r="K74" s="503"/>
      <c r="L74" s="503">
        <f t="shared" si="0"/>
        <v>0</v>
      </c>
      <c r="M74" s="503">
        <f t="shared" si="1"/>
        <v>2000</v>
      </c>
      <c r="N74" s="503">
        <f t="shared" si="2"/>
        <v>0</v>
      </c>
      <c r="O74" s="503">
        <f t="shared" si="3"/>
        <v>2000</v>
      </c>
    </row>
    <row r="75" spans="1:15" ht="12.95" customHeight="1" x14ac:dyDescent="0.2">
      <c r="A75" s="457"/>
      <c r="B75" s="457"/>
      <c r="C75" s="429" t="s">
        <v>827</v>
      </c>
      <c r="D75" s="301" t="s">
        <v>244</v>
      </c>
      <c r="E75" s="466"/>
      <c r="F75" s="630"/>
      <c r="G75" s="503">
        <v>5000</v>
      </c>
      <c r="H75" s="503">
        <v>0</v>
      </c>
      <c r="I75" s="503">
        <v>5000</v>
      </c>
      <c r="J75" s="503"/>
      <c r="K75" s="503"/>
      <c r="L75" s="503">
        <f t="shared" si="0"/>
        <v>0</v>
      </c>
      <c r="M75" s="503">
        <f t="shared" si="1"/>
        <v>5000</v>
      </c>
      <c r="N75" s="503">
        <f t="shared" si="2"/>
        <v>0</v>
      </c>
      <c r="O75" s="503">
        <f t="shared" si="3"/>
        <v>5000</v>
      </c>
    </row>
    <row r="76" spans="1:15" ht="12.95" customHeight="1" x14ac:dyDescent="0.2">
      <c r="A76" s="457"/>
      <c r="B76" s="457"/>
      <c r="C76" s="429" t="s">
        <v>828</v>
      </c>
      <c r="D76" s="301" t="s">
        <v>245</v>
      </c>
      <c r="E76" s="466"/>
      <c r="F76" s="630"/>
      <c r="G76" s="503">
        <v>4000</v>
      </c>
      <c r="H76" s="503">
        <v>0</v>
      </c>
      <c r="I76" s="503">
        <v>4000</v>
      </c>
      <c r="J76" s="503"/>
      <c r="K76" s="503"/>
      <c r="L76" s="503">
        <f t="shared" ref="L76:L140" si="5">SUM(J76:K76)</f>
        <v>0</v>
      </c>
      <c r="M76" s="503">
        <f t="shared" ref="M76:M140" si="6">SUM(G76+J76)</f>
        <v>4000</v>
      </c>
      <c r="N76" s="503">
        <f t="shared" ref="N76:N140" si="7">SUM(H76+K76)</f>
        <v>0</v>
      </c>
      <c r="O76" s="503">
        <f t="shared" ref="O76:O140" si="8">SUM(M76:N76)</f>
        <v>4000</v>
      </c>
    </row>
    <row r="77" spans="1:15" ht="12.95" customHeight="1" x14ac:dyDescent="0.2">
      <c r="A77" s="457"/>
      <c r="B77" s="457"/>
      <c r="C77" s="429" t="s">
        <v>829</v>
      </c>
      <c r="D77" s="301" t="s">
        <v>246</v>
      </c>
      <c r="E77" s="466"/>
      <c r="F77" s="630"/>
      <c r="G77" s="503">
        <v>2000</v>
      </c>
      <c r="H77" s="503">
        <v>0</v>
      </c>
      <c r="I77" s="503">
        <v>2000</v>
      </c>
      <c r="J77" s="503"/>
      <c r="K77" s="503"/>
      <c r="L77" s="503">
        <f t="shared" si="5"/>
        <v>0</v>
      </c>
      <c r="M77" s="503">
        <f t="shared" si="6"/>
        <v>2000</v>
      </c>
      <c r="N77" s="503">
        <f t="shared" si="7"/>
        <v>0</v>
      </c>
      <c r="O77" s="503">
        <f t="shared" si="8"/>
        <v>2000</v>
      </c>
    </row>
    <row r="78" spans="1:15" ht="12.95" customHeight="1" x14ac:dyDescent="0.2">
      <c r="A78" s="457"/>
      <c r="B78" s="457"/>
      <c r="C78" s="429" t="s">
        <v>830</v>
      </c>
      <c r="D78" s="301" t="s">
        <v>247</v>
      </c>
      <c r="E78" s="466"/>
      <c r="F78" s="630"/>
      <c r="G78" s="503">
        <v>3000</v>
      </c>
      <c r="H78" s="503">
        <v>0</v>
      </c>
      <c r="I78" s="503">
        <v>3000</v>
      </c>
      <c r="J78" s="503"/>
      <c r="K78" s="503"/>
      <c r="L78" s="503">
        <f t="shared" si="5"/>
        <v>0</v>
      </c>
      <c r="M78" s="503">
        <f t="shared" si="6"/>
        <v>3000</v>
      </c>
      <c r="N78" s="503">
        <f t="shared" si="7"/>
        <v>0</v>
      </c>
      <c r="O78" s="503">
        <f t="shared" si="8"/>
        <v>3000</v>
      </c>
    </row>
    <row r="79" spans="1:15" ht="12.95" customHeight="1" x14ac:dyDescent="0.2">
      <c r="A79" s="457"/>
      <c r="B79" s="457"/>
      <c r="C79" s="429" t="s">
        <v>831</v>
      </c>
      <c r="D79" s="467" t="s">
        <v>248</v>
      </c>
      <c r="E79" s="466"/>
      <c r="F79" s="630"/>
      <c r="G79" s="503">
        <v>3000</v>
      </c>
      <c r="H79" s="503">
        <v>0</v>
      </c>
      <c r="I79" s="503">
        <v>3000</v>
      </c>
      <c r="J79" s="503"/>
      <c r="K79" s="503"/>
      <c r="L79" s="503">
        <f t="shared" si="5"/>
        <v>0</v>
      </c>
      <c r="M79" s="503">
        <f t="shared" si="6"/>
        <v>3000</v>
      </c>
      <c r="N79" s="503">
        <f t="shared" si="7"/>
        <v>0</v>
      </c>
      <c r="O79" s="503">
        <f t="shared" si="8"/>
        <v>3000</v>
      </c>
    </row>
    <row r="80" spans="1:15" ht="12.95" customHeight="1" x14ac:dyDescent="0.2">
      <c r="A80" s="457"/>
      <c r="B80" s="457"/>
      <c r="C80" s="429" t="s">
        <v>832</v>
      </c>
      <c r="D80" s="290" t="s">
        <v>249</v>
      </c>
      <c r="E80" s="466"/>
      <c r="F80" s="630"/>
      <c r="G80" s="503">
        <v>500</v>
      </c>
      <c r="H80" s="503">
        <v>0</v>
      </c>
      <c r="I80" s="503">
        <v>500</v>
      </c>
      <c r="J80" s="503"/>
      <c r="K80" s="503"/>
      <c r="L80" s="503">
        <f t="shared" si="5"/>
        <v>0</v>
      </c>
      <c r="M80" s="503">
        <f t="shared" si="6"/>
        <v>500</v>
      </c>
      <c r="N80" s="503">
        <f t="shared" si="7"/>
        <v>0</v>
      </c>
      <c r="O80" s="503">
        <f t="shared" si="8"/>
        <v>500</v>
      </c>
    </row>
    <row r="81" spans="1:15" ht="15" customHeight="1" x14ac:dyDescent="0.2">
      <c r="A81" s="457"/>
      <c r="B81" s="457"/>
      <c r="C81" s="429" t="s">
        <v>833</v>
      </c>
      <c r="D81" s="290" t="s">
        <v>250</v>
      </c>
      <c r="E81" s="466"/>
      <c r="F81" s="630"/>
      <c r="G81" s="503">
        <v>500</v>
      </c>
      <c r="H81" s="503">
        <v>0</v>
      </c>
      <c r="I81" s="503">
        <v>500</v>
      </c>
      <c r="J81" s="503"/>
      <c r="K81" s="503"/>
      <c r="L81" s="503">
        <f t="shared" si="5"/>
        <v>0</v>
      </c>
      <c r="M81" s="503">
        <f t="shared" si="6"/>
        <v>500</v>
      </c>
      <c r="N81" s="503">
        <f t="shared" si="7"/>
        <v>0</v>
      </c>
      <c r="O81" s="503">
        <f t="shared" si="8"/>
        <v>500</v>
      </c>
    </row>
    <row r="82" spans="1:15" ht="15" customHeight="1" x14ac:dyDescent="0.2">
      <c r="A82" s="457"/>
      <c r="B82" s="457"/>
      <c r="C82" s="429" t="s">
        <v>834</v>
      </c>
      <c r="D82" s="290" t="s">
        <v>251</v>
      </c>
      <c r="E82" s="466"/>
      <c r="F82" s="630"/>
      <c r="G82" s="503">
        <v>5000</v>
      </c>
      <c r="H82" s="503">
        <v>0</v>
      </c>
      <c r="I82" s="503">
        <v>5000</v>
      </c>
      <c r="J82" s="503"/>
      <c r="K82" s="503"/>
      <c r="L82" s="503">
        <f t="shared" si="5"/>
        <v>0</v>
      </c>
      <c r="M82" s="503">
        <f t="shared" si="6"/>
        <v>5000</v>
      </c>
      <c r="N82" s="503">
        <f t="shared" si="7"/>
        <v>0</v>
      </c>
      <c r="O82" s="503">
        <f t="shared" si="8"/>
        <v>5000</v>
      </c>
    </row>
    <row r="83" spans="1:15" ht="15" customHeight="1" x14ac:dyDescent="0.2">
      <c r="A83" s="457"/>
      <c r="B83" s="457"/>
      <c r="C83" s="429" t="s">
        <v>835</v>
      </c>
      <c r="D83" s="290" t="s">
        <v>252</v>
      </c>
      <c r="E83" s="466"/>
      <c r="F83" s="630"/>
      <c r="G83" s="503">
        <v>3000</v>
      </c>
      <c r="H83" s="503">
        <v>0</v>
      </c>
      <c r="I83" s="503">
        <v>3000</v>
      </c>
      <c r="J83" s="503"/>
      <c r="K83" s="503"/>
      <c r="L83" s="503">
        <f t="shared" si="5"/>
        <v>0</v>
      </c>
      <c r="M83" s="503">
        <f t="shared" si="6"/>
        <v>3000</v>
      </c>
      <c r="N83" s="503">
        <f t="shared" si="7"/>
        <v>0</v>
      </c>
      <c r="O83" s="503">
        <f t="shared" si="8"/>
        <v>3000</v>
      </c>
    </row>
    <row r="84" spans="1:15" ht="15" customHeight="1" x14ac:dyDescent="0.2">
      <c r="A84" s="457"/>
      <c r="B84" s="457"/>
      <c r="C84" s="429" t="s">
        <v>767</v>
      </c>
      <c r="D84" s="290" t="s">
        <v>253</v>
      </c>
      <c r="E84" s="466"/>
      <c r="F84" s="630"/>
      <c r="G84" s="503">
        <v>1000</v>
      </c>
      <c r="H84" s="503">
        <v>0</v>
      </c>
      <c r="I84" s="503">
        <v>1000</v>
      </c>
      <c r="J84" s="503"/>
      <c r="K84" s="503"/>
      <c r="L84" s="503">
        <f t="shared" si="5"/>
        <v>0</v>
      </c>
      <c r="M84" s="503">
        <f t="shared" si="6"/>
        <v>1000</v>
      </c>
      <c r="N84" s="503">
        <f t="shared" si="7"/>
        <v>0</v>
      </c>
      <c r="O84" s="503">
        <f t="shared" si="8"/>
        <v>1000</v>
      </c>
    </row>
    <row r="85" spans="1:15" ht="15" customHeight="1" x14ac:dyDescent="0.2">
      <c r="A85" s="457"/>
      <c r="B85" s="457"/>
      <c r="C85" s="429" t="s">
        <v>781</v>
      </c>
      <c r="D85" s="290" t="s">
        <v>254</v>
      </c>
      <c r="E85" s="466"/>
      <c r="F85" s="630"/>
      <c r="G85" s="503">
        <v>300</v>
      </c>
      <c r="H85" s="503">
        <v>0</v>
      </c>
      <c r="I85" s="503">
        <v>300</v>
      </c>
      <c r="J85" s="503"/>
      <c r="K85" s="503"/>
      <c r="L85" s="503">
        <f t="shared" si="5"/>
        <v>0</v>
      </c>
      <c r="M85" s="503">
        <f t="shared" si="6"/>
        <v>300</v>
      </c>
      <c r="N85" s="503">
        <f t="shared" si="7"/>
        <v>0</v>
      </c>
      <c r="O85" s="503">
        <f t="shared" si="8"/>
        <v>300</v>
      </c>
    </row>
    <row r="86" spans="1:15" ht="15" customHeight="1" x14ac:dyDescent="0.2">
      <c r="A86" s="457"/>
      <c r="B86" s="457"/>
      <c r="C86" s="429" t="s">
        <v>782</v>
      </c>
      <c r="D86" s="290" t="s">
        <v>256</v>
      </c>
      <c r="E86" s="466"/>
      <c r="F86" s="630"/>
      <c r="G86" s="503">
        <v>500</v>
      </c>
      <c r="H86" s="503">
        <v>0</v>
      </c>
      <c r="I86" s="503">
        <v>500</v>
      </c>
      <c r="J86" s="503"/>
      <c r="K86" s="503"/>
      <c r="L86" s="503">
        <f t="shared" si="5"/>
        <v>0</v>
      </c>
      <c r="M86" s="503">
        <f t="shared" si="6"/>
        <v>500</v>
      </c>
      <c r="N86" s="503">
        <f t="shared" si="7"/>
        <v>0</v>
      </c>
      <c r="O86" s="503">
        <f t="shared" si="8"/>
        <v>500</v>
      </c>
    </row>
    <row r="87" spans="1:15" ht="15" customHeight="1" x14ac:dyDescent="0.2">
      <c r="A87" s="457"/>
      <c r="B87" s="457"/>
      <c r="C87" s="429" t="s">
        <v>783</v>
      </c>
      <c r="D87" s="290" t="s">
        <v>257</v>
      </c>
      <c r="E87" s="466"/>
      <c r="F87" s="630"/>
      <c r="G87" s="503">
        <v>1500</v>
      </c>
      <c r="H87" s="503">
        <v>0</v>
      </c>
      <c r="I87" s="503">
        <v>1500</v>
      </c>
      <c r="J87" s="503"/>
      <c r="K87" s="503"/>
      <c r="L87" s="503">
        <f t="shared" si="5"/>
        <v>0</v>
      </c>
      <c r="M87" s="503">
        <f t="shared" si="6"/>
        <v>1500</v>
      </c>
      <c r="N87" s="503">
        <f t="shared" si="7"/>
        <v>0</v>
      </c>
      <c r="O87" s="503">
        <f t="shared" si="8"/>
        <v>1500</v>
      </c>
    </row>
    <row r="88" spans="1:15" ht="15" customHeight="1" x14ac:dyDescent="0.2">
      <c r="A88" s="457"/>
      <c r="B88" s="457"/>
      <c r="C88" s="429" t="s">
        <v>784</v>
      </c>
      <c r="D88" s="290" t="s">
        <v>258</v>
      </c>
      <c r="E88" s="466"/>
      <c r="F88" s="630"/>
      <c r="G88" s="503">
        <v>700</v>
      </c>
      <c r="H88" s="503">
        <v>0</v>
      </c>
      <c r="I88" s="503">
        <v>700</v>
      </c>
      <c r="J88" s="503"/>
      <c r="K88" s="503"/>
      <c r="L88" s="503">
        <f t="shared" si="5"/>
        <v>0</v>
      </c>
      <c r="M88" s="503">
        <f t="shared" si="6"/>
        <v>700</v>
      </c>
      <c r="N88" s="503">
        <f t="shared" si="7"/>
        <v>0</v>
      </c>
      <c r="O88" s="503">
        <f t="shared" si="8"/>
        <v>700</v>
      </c>
    </row>
    <row r="89" spans="1:15" ht="15" customHeight="1" x14ac:dyDescent="0.2">
      <c r="A89" s="457"/>
      <c r="B89" s="457"/>
      <c r="C89" s="429" t="s">
        <v>785</v>
      </c>
      <c r="D89" s="290" t="s">
        <v>259</v>
      </c>
      <c r="E89" s="466"/>
      <c r="F89" s="630"/>
      <c r="G89" s="503">
        <v>500</v>
      </c>
      <c r="H89" s="503">
        <v>0</v>
      </c>
      <c r="I89" s="503">
        <v>500</v>
      </c>
      <c r="J89" s="503"/>
      <c r="K89" s="503"/>
      <c r="L89" s="503">
        <f t="shared" si="5"/>
        <v>0</v>
      </c>
      <c r="M89" s="503">
        <f t="shared" si="6"/>
        <v>500</v>
      </c>
      <c r="N89" s="503">
        <f t="shared" si="7"/>
        <v>0</v>
      </c>
      <c r="O89" s="503">
        <f t="shared" si="8"/>
        <v>500</v>
      </c>
    </row>
    <row r="90" spans="1:15" ht="15" customHeight="1" x14ac:dyDescent="0.2">
      <c r="A90" s="457"/>
      <c r="B90" s="457"/>
      <c r="C90" s="429" t="s">
        <v>786</v>
      </c>
      <c r="D90" s="290" t="s">
        <v>260</v>
      </c>
      <c r="E90" s="466"/>
      <c r="F90" s="630"/>
      <c r="G90" s="503">
        <v>5000</v>
      </c>
      <c r="H90" s="503">
        <v>0</v>
      </c>
      <c r="I90" s="503">
        <v>5000</v>
      </c>
      <c r="J90" s="503"/>
      <c r="K90" s="503"/>
      <c r="L90" s="503">
        <f t="shared" si="5"/>
        <v>0</v>
      </c>
      <c r="M90" s="503">
        <f t="shared" si="6"/>
        <v>5000</v>
      </c>
      <c r="N90" s="503">
        <f t="shared" si="7"/>
        <v>0</v>
      </c>
      <c r="O90" s="503">
        <f t="shared" si="8"/>
        <v>5000</v>
      </c>
    </row>
    <row r="91" spans="1:15" ht="15" customHeight="1" x14ac:dyDescent="0.2">
      <c r="A91" s="457"/>
      <c r="B91" s="457"/>
      <c r="C91" s="429" t="s">
        <v>787</v>
      </c>
      <c r="D91" s="290" t="s">
        <v>615</v>
      </c>
      <c r="E91" s="466"/>
      <c r="F91" s="630" t="s">
        <v>924</v>
      </c>
      <c r="G91" s="503">
        <v>8000</v>
      </c>
      <c r="H91" s="503">
        <v>0</v>
      </c>
      <c r="I91" s="503">
        <v>8000</v>
      </c>
      <c r="J91" s="503">
        <v>323</v>
      </c>
      <c r="K91" s="503"/>
      <c r="L91" s="503">
        <f t="shared" si="5"/>
        <v>323</v>
      </c>
      <c r="M91" s="503">
        <f t="shared" si="6"/>
        <v>8323</v>
      </c>
      <c r="N91" s="503">
        <f t="shared" si="7"/>
        <v>0</v>
      </c>
      <c r="O91" s="503">
        <f t="shared" si="8"/>
        <v>8323</v>
      </c>
    </row>
    <row r="92" spans="1:15" ht="15" customHeight="1" x14ac:dyDescent="0.2">
      <c r="A92" s="457"/>
      <c r="B92" s="457"/>
      <c r="C92" s="429" t="s">
        <v>788</v>
      </c>
      <c r="D92" s="290" t="s">
        <v>261</v>
      </c>
      <c r="E92" s="466"/>
      <c r="F92" s="630"/>
      <c r="G92" s="503">
        <v>2500</v>
      </c>
      <c r="H92" s="503">
        <v>0</v>
      </c>
      <c r="I92" s="503">
        <v>2500</v>
      </c>
      <c r="J92" s="503"/>
      <c r="K92" s="503"/>
      <c r="L92" s="503">
        <f t="shared" si="5"/>
        <v>0</v>
      </c>
      <c r="M92" s="503">
        <f t="shared" si="6"/>
        <v>2500</v>
      </c>
      <c r="N92" s="503">
        <f t="shared" si="7"/>
        <v>0</v>
      </c>
      <c r="O92" s="503">
        <f t="shared" si="8"/>
        <v>2500</v>
      </c>
    </row>
    <row r="93" spans="1:15" ht="15" customHeight="1" x14ac:dyDescent="0.2">
      <c r="A93" s="457"/>
      <c r="B93" s="457"/>
      <c r="C93" s="429" t="s">
        <v>789</v>
      </c>
      <c r="D93" s="290" t="s">
        <v>262</v>
      </c>
      <c r="E93" s="466"/>
      <c r="F93" s="630"/>
      <c r="G93" s="503">
        <v>700</v>
      </c>
      <c r="H93" s="503">
        <v>0</v>
      </c>
      <c r="I93" s="503">
        <v>700</v>
      </c>
      <c r="J93" s="503"/>
      <c r="K93" s="503"/>
      <c r="L93" s="503">
        <f t="shared" si="5"/>
        <v>0</v>
      </c>
      <c r="M93" s="503">
        <f t="shared" si="6"/>
        <v>700</v>
      </c>
      <c r="N93" s="503">
        <f t="shared" si="7"/>
        <v>0</v>
      </c>
      <c r="O93" s="503">
        <f t="shared" si="8"/>
        <v>700</v>
      </c>
    </row>
    <row r="94" spans="1:15" ht="15" customHeight="1" x14ac:dyDescent="0.2">
      <c r="A94" s="457"/>
      <c r="B94" s="457"/>
      <c r="C94" s="429" t="s">
        <v>790</v>
      </c>
      <c r="D94" s="290" t="s">
        <v>263</v>
      </c>
      <c r="E94" s="466"/>
      <c r="F94" s="630" t="s">
        <v>924</v>
      </c>
      <c r="G94" s="503">
        <v>4000</v>
      </c>
      <c r="H94" s="503">
        <v>0</v>
      </c>
      <c r="I94" s="503">
        <v>4000</v>
      </c>
      <c r="J94" s="503">
        <v>-1909</v>
      </c>
      <c r="K94" s="503"/>
      <c r="L94" s="503">
        <f t="shared" si="5"/>
        <v>-1909</v>
      </c>
      <c r="M94" s="503">
        <f t="shared" si="6"/>
        <v>2091</v>
      </c>
      <c r="N94" s="503">
        <f t="shared" si="7"/>
        <v>0</v>
      </c>
      <c r="O94" s="503">
        <f t="shared" si="8"/>
        <v>2091</v>
      </c>
    </row>
    <row r="95" spans="1:15" ht="15" customHeight="1" x14ac:dyDescent="0.2">
      <c r="A95" s="457"/>
      <c r="B95" s="457"/>
      <c r="C95" s="429" t="s">
        <v>791</v>
      </c>
      <c r="D95" s="290" t="s">
        <v>264</v>
      </c>
      <c r="E95" s="466"/>
      <c r="F95" s="630"/>
      <c r="G95" s="503">
        <v>4000</v>
      </c>
      <c r="H95" s="503">
        <v>0</v>
      </c>
      <c r="I95" s="503">
        <v>4000</v>
      </c>
      <c r="J95" s="503"/>
      <c r="K95" s="503"/>
      <c r="L95" s="503">
        <f t="shared" si="5"/>
        <v>0</v>
      </c>
      <c r="M95" s="503">
        <f t="shared" si="6"/>
        <v>4000</v>
      </c>
      <c r="N95" s="503">
        <f t="shared" si="7"/>
        <v>0</v>
      </c>
      <c r="O95" s="503">
        <f t="shared" si="8"/>
        <v>4000</v>
      </c>
    </row>
    <row r="96" spans="1:15" ht="15" customHeight="1" x14ac:dyDescent="0.2">
      <c r="A96" s="457"/>
      <c r="B96" s="457"/>
      <c r="C96" s="429" t="s">
        <v>792</v>
      </c>
      <c r="D96" s="290" t="s">
        <v>265</v>
      </c>
      <c r="E96" s="466"/>
      <c r="F96" s="630"/>
      <c r="G96" s="503">
        <v>3000</v>
      </c>
      <c r="H96" s="503">
        <v>0</v>
      </c>
      <c r="I96" s="503">
        <v>3000</v>
      </c>
      <c r="J96" s="503"/>
      <c r="K96" s="503"/>
      <c r="L96" s="503">
        <f t="shared" si="5"/>
        <v>0</v>
      </c>
      <c r="M96" s="503">
        <f t="shared" si="6"/>
        <v>3000</v>
      </c>
      <c r="N96" s="503">
        <f t="shared" si="7"/>
        <v>0</v>
      </c>
      <c r="O96" s="503">
        <f t="shared" si="8"/>
        <v>3000</v>
      </c>
    </row>
    <row r="97" spans="1:15" ht="15" customHeight="1" x14ac:dyDescent="0.2">
      <c r="A97" s="457"/>
      <c r="B97" s="457"/>
      <c r="C97" s="429" t="s">
        <v>793</v>
      </c>
      <c r="D97" s="290" t="s">
        <v>267</v>
      </c>
      <c r="E97" s="466"/>
      <c r="F97" s="630"/>
      <c r="G97" s="503">
        <v>2000</v>
      </c>
      <c r="H97" s="503">
        <v>0</v>
      </c>
      <c r="I97" s="503">
        <v>2000</v>
      </c>
      <c r="J97" s="503"/>
      <c r="K97" s="503"/>
      <c r="L97" s="503">
        <f t="shared" si="5"/>
        <v>0</v>
      </c>
      <c r="M97" s="503">
        <f t="shared" si="6"/>
        <v>2000</v>
      </c>
      <c r="N97" s="503">
        <f t="shared" si="7"/>
        <v>0</v>
      </c>
      <c r="O97" s="503">
        <f t="shared" si="8"/>
        <v>2000</v>
      </c>
    </row>
    <row r="98" spans="1:15" ht="15" customHeight="1" x14ac:dyDescent="0.2">
      <c r="A98" s="457"/>
      <c r="B98" s="457"/>
      <c r="C98" s="429" t="s">
        <v>794</v>
      </c>
      <c r="D98" s="290" t="s">
        <v>268</v>
      </c>
      <c r="E98" s="466"/>
      <c r="F98" s="630"/>
      <c r="G98" s="503">
        <v>1500</v>
      </c>
      <c r="H98" s="503">
        <v>0</v>
      </c>
      <c r="I98" s="503">
        <v>1500</v>
      </c>
      <c r="J98" s="503"/>
      <c r="K98" s="503"/>
      <c r="L98" s="503">
        <f t="shared" si="5"/>
        <v>0</v>
      </c>
      <c r="M98" s="503">
        <f t="shared" si="6"/>
        <v>1500</v>
      </c>
      <c r="N98" s="503">
        <f t="shared" si="7"/>
        <v>0</v>
      </c>
      <c r="O98" s="503">
        <f t="shared" si="8"/>
        <v>1500</v>
      </c>
    </row>
    <row r="99" spans="1:15" ht="24.95" customHeight="1" x14ac:dyDescent="0.2">
      <c r="A99" s="457"/>
      <c r="B99" s="457"/>
      <c r="C99" s="429" t="s">
        <v>795</v>
      </c>
      <c r="D99" s="290" t="s">
        <v>269</v>
      </c>
      <c r="E99" s="466"/>
      <c r="F99" s="630" t="s">
        <v>924</v>
      </c>
      <c r="G99" s="503">
        <v>3000</v>
      </c>
      <c r="H99" s="503">
        <v>0</v>
      </c>
      <c r="I99" s="503">
        <v>3000</v>
      </c>
      <c r="J99" s="503">
        <v>-3000</v>
      </c>
      <c r="K99" s="503"/>
      <c r="L99" s="503">
        <f t="shared" si="5"/>
        <v>-3000</v>
      </c>
      <c r="M99" s="503">
        <f t="shared" si="6"/>
        <v>0</v>
      </c>
      <c r="N99" s="503">
        <f t="shared" si="7"/>
        <v>0</v>
      </c>
      <c r="O99" s="503">
        <f t="shared" si="8"/>
        <v>0</v>
      </c>
    </row>
    <row r="100" spans="1:15" ht="15" customHeight="1" x14ac:dyDescent="0.2">
      <c r="A100" s="457"/>
      <c r="B100" s="457"/>
      <c r="C100" s="429" t="s">
        <v>270</v>
      </c>
      <c r="D100" s="301" t="s">
        <v>271</v>
      </c>
      <c r="E100" s="466"/>
      <c r="F100" s="630"/>
      <c r="G100" s="503">
        <v>1000</v>
      </c>
      <c r="H100" s="503">
        <v>0</v>
      </c>
      <c r="I100" s="503">
        <v>1000</v>
      </c>
      <c r="J100" s="503"/>
      <c r="K100" s="503"/>
      <c r="L100" s="503">
        <f t="shared" si="5"/>
        <v>0</v>
      </c>
      <c r="M100" s="503">
        <f t="shared" si="6"/>
        <v>1000</v>
      </c>
      <c r="N100" s="503">
        <f t="shared" si="7"/>
        <v>0</v>
      </c>
      <c r="O100" s="503">
        <f t="shared" si="8"/>
        <v>1000</v>
      </c>
    </row>
    <row r="101" spans="1:15" ht="15" customHeight="1" x14ac:dyDescent="0.2">
      <c r="A101" s="457"/>
      <c r="B101" s="457"/>
      <c r="C101" s="429" t="s">
        <v>272</v>
      </c>
      <c r="D101" s="301" t="s">
        <v>918</v>
      </c>
      <c r="E101" s="466"/>
      <c r="F101" s="630"/>
      <c r="G101" s="503">
        <v>9000</v>
      </c>
      <c r="H101" s="503">
        <v>0</v>
      </c>
      <c r="I101" s="503">
        <v>9000</v>
      </c>
      <c r="J101" s="503"/>
      <c r="K101" s="503"/>
      <c r="L101" s="503">
        <f t="shared" si="5"/>
        <v>0</v>
      </c>
      <c r="M101" s="503">
        <f t="shared" si="6"/>
        <v>9000</v>
      </c>
      <c r="N101" s="503">
        <f t="shared" si="7"/>
        <v>0</v>
      </c>
      <c r="O101" s="503">
        <f t="shared" si="8"/>
        <v>9000</v>
      </c>
    </row>
    <row r="102" spans="1:15" ht="23.25" customHeight="1" x14ac:dyDescent="0.2">
      <c r="A102" s="457"/>
      <c r="B102" s="457"/>
      <c r="C102" s="429" t="s">
        <v>273</v>
      </c>
      <c r="D102" s="468" t="s">
        <v>274</v>
      </c>
      <c r="E102" s="466"/>
      <c r="F102" s="630" t="s">
        <v>924</v>
      </c>
      <c r="G102" s="503">
        <v>15367</v>
      </c>
      <c r="H102" s="503">
        <v>0</v>
      </c>
      <c r="I102" s="503">
        <v>15367</v>
      </c>
      <c r="J102" s="503">
        <v>-1301</v>
      </c>
      <c r="K102" s="503"/>
      <c r="L102" s="503">
        <f t="shared" si="5"/>
        <v>-1301</v>
      </c>
      <c r="M102" s="503">
        <f t="shared" si="6"/>
        <v>14066</v>
      </c>
      <c r="N102" s="503">
        <f t="shared" si="7"/>
        <v>0</v>
      </c>
      <c r="O102" s="503">
        <f t="shared" si="8"/>
        <v>14066</v>
      </c>
    </row>
    <row r="103" spans="1:15" ht="15" customHeight="1" x14ac:dyDescent="0.2">
      <c r="A103" s="457"/>
      <c r="B103" s="457"/>
      <c r="C103" s="429" t="s">
        <v>275</v>
      </c>
      <c r="D103" s="301" t="s">
        <v>276</v>
      </c>
      <c r="E103" s="466"/>
      <c r="F103" s="630"/>
      <c r="G103" s="503">
        <v>3000</v>
      </c>
      <c r="H103" s="503">
        <v>0</v>
      </c>
      <c r="I103" s="503">
        <v>3000</v>
      </c>
      <c r="J103" s="503"/>
      <c r="K103" s="503"/>
      <c r="L103" s="503">
        <f t="shared" si="5"/>
        <v>0</v>
      </c>
      <c r="M103" s="503">
        <f t="shared" si="6"/>
        <v>3000</v>
      </c>
      <c r="N103" s="503">
        <f t="shared" si="7"/>
        <v>0</v>
      </c>
      <c r="O103" s="503">
        <f t="shared" si="8"/>
        <v>3000</v>
      </c>
    </row>
    <row r="104" spans="1:15" ht="15" customHeight="1" x14ac:dyDescent="0.2">
      <c r="A104" s="457"/>
      <c r="B104" s="457"/>
      <c r="C104" s="429" t="s">
        <v>277</v>
      </c>
      <c r="D104" s="301" t="s">
        <v>278</v>
      </c>
      <c r="E104" s="466"/>
      <c r="F104" s="630"/>
      <c r="G104" s="503">
        <v>8000</v>
      </c>
      <c r="H104" s="503">
        <v>0</v>
      </c>
      <c r="I104" s="503">
        <v>8000</v>
      </c>
      <c r="J104" s="503"/>
      <c r="K104" s="503"/>
      <c r="L104" s="503">
        <f t="shared" si="5"/>
        <v>0</v>
      </c>
      <c r="M104" s="503">
        <f t="shared" si="6"/>
        <v>8000</v>
      </c>
      <c r="N104" s="503">
        <f t="shared" si="7"/>
        <v>0</v>
      </c>
      <c r="O104" s="503">
        <f t="shared" si="8"/>
        <v>8000</v>
      </c>
    </row>
    <row r="105" spans="1:15" ht="15" customHeight="1" x14ac:dyDescent="0.2">
      <c r="A105" s="457"/>
      <c r="B105" s="457"/>
      <c r="C105" s="429" t="s">
        <v>279</v>
      </c>
      <c r="D105" s="301" t="s">
        <v>280</v>
      </c>
      <c r="E105" s="466"/>
      <c r="F105" s="630"/>
      <c r="G105" s="503">
        <v>500</v>
      </c>
      <c r="H105" s="503">
        <v>0</v>
      </c>
      <c r="I105" s="503">
        <v>500</v>
      </c>
      <c r="J105" s="503"/>
      <c r="K105" s="503"/>
      <c r="L105" s="503">
        <f t="shared" si="5"/>
        <v>0</v>
      </c>
      <c r="M105" s="503">
        <f t="shared" si="6"/>
        <v>500</v>
      </c>
      <c r="N105" s="503">
        <f t="shared" si="7"/>
        <v>0</v>
      </c>
      <c r="O105" s="503">
        <f t="shared" si="8"/>
        <v>500</v>
      </c>
    </row>
    <row r="106" spans="1:15" ht="15" customHeight="1" x14ac:dyDescent="0.2">
      <c r="A106" s="457"/>
      <c r="B106" s="457"/>
      <c r="C106" s="429" t="s">
        <v>281</v>
      </c>
      <c r="D106" s="301" t="s">
        <v>282</v>
      </c>
      <c r="E106" s="466"/>
      <c r="F106" s="630"/>
      <c r="G106" s="503">
        <v>5000</v>
      </c>
      <c r="H106" s="503">
        <v>0</v>
      </c>
      <c r="I106" s="503">
        <v>5000</v>
      </c>
      <c r="J106" s="503"/>
      <c r="K106" s="503"/>
      <c r="L106" s="503">
        <f t="shared" si="5"/>
        <v>0</v>
      </c>
      <c r="M106" s="503">
        <f t="shared" si="6"/>
        <v>5000</v>
      </c>
      <c r="N106" s="503">
        <f t="shared" si="7"/>
        <v>0</v>
      </c>
      <c r="O106" s="503">
        <f t="shared" si="8"/>
        <v>5000</v>
      </c>
    </row>
    <row r="107" spans="1:15" ht="12.95" customHeight="1" x14ac:dyDescent="0.2">
      <c r="A107" s="457"/>
      <c r="B107" s="457"/>
      <c r="C107" s="429" t="s">
        <v>283</v>
      </c>
      <c r="D107" s="301" t="s">
        <v>284</v>
      </c>
      <c r="E107" s="466"/>
      <c r="F107" s="630"/>
      <c r="G107" s="503">
        <v>5000</v>
      </c>
      <c r="H107" s="503">
        <v>0</v>
      </c>
      <c r="I107" s="503">
        <v>5000</v>
      </c>
      <c r="J107" s="503"/>
      <c r="K107" s="503"/>
      <c r="L107" s="503">
        <f t="shared" si="5"/>
        <v>0</v>
      </c>
      <c r="M107" s="503">
        <f t="shared" si="6"/>
        <v>5000</v>
      </c>
      <c r="N107" s="503">
        <f t="shared" si="7"/>
        <v>0</v>
      </c>
      <c r="O107" s="503">
        <f t="shared" si="8"/>
        <v>5000</v>
      </c>
    </row>
    <row r="108" spans="1:15" ht="24.95" customHeight="1" x14ac:dyDescent="0.2">
      <c r="A108" s="457"/>
      <c r="B108" s="457"/>
      <c r="C108" s="429" t="s">
        <v>285</v>
      </c>
      <c r="D108" s="301" t="s">
        <v>286</v>
      </c>
      <c r="E108" s="466"/>
      <c r="F108" s="630"/>
      <c r="G108" s="503">
        <v>5000</v>
      </c>
      <c r="H108" s="503">
        <v>0</v>
      </c>
      <c r="I108" s="503">
        <v>5000</v>
      </c>
      <c r="J108" s="503"/>
      <c r="K108" s="503"/>
      <c r="L108" s="503">
        <f t="shared" si="5"/>
        <v>0</v>
      </c>
      <c r="M108" s="503">
        <f t="shared" si="6"/>
        <v>5000</v>
      </c>
      <c r="N108" s="503">
        <f t="shared" si="7"/>
        <v>0</v>
      </c>
      <c r="O108" s="503">
        <f t="shared" si="8"/>
        <v>5000</v>
      </c>
    </row>
    <row r="109" spans="1:15" ht="15" customHeight="1" x14ac:dyDescent="0.2">
      <c r="A109" s="457"/>
      <c r="B109" s="457"/>
      <c r="C109" s="429" t="s">
        <v>287</v>
      </c>
      <c r="D109" s="301" t="s">
        <v>766</v>
      </c>
      <c r="E109" s="466"/>
      <c r="F109" s="630"/>
      <c r="G109" s="503">
        <v>5351</v>
      </c>
      <c r="H109" s="503">
        <v>0</v>
      </c>
      <c r="I109" s="503">
        <v>5351</v>
      </c>
      <c r="J109" s="503"/>
      <c r="K109" s="503"/>
      <c r="L109" s="503">
        <f t="shared" si="5"/>
        <v>0</v>
      </c>
      <c r="M109" s="503">
        <f t="shared" si="6"/>
        <v>5351</v>
      </c>
      <c r="N109" s="503">
        <f t="shared" si="7"/>
        <v>0</v>
      </c>
      <c r="O109" s="503">
        <f t="shared" si="8"/>
        <v>5351</v>
      </c>
    </row>
    <row r="110" spans="1:15" ht="12.95" customHeight="1" x14ac:dyDescent="0.2">
      <c r="A110" s="457"/>
      <c r="B110" s="457"/>
      <c r="C110" s="429" t="s">
        <v>288</v>
      </c>
      <c r="D110" s="469" t="s">
        <v>925</v>
      </c>
      <c r="E110" s="466"/>
      <c r="F110" s="630"/>
      <c r="G110" s="503">
        <v>3500</v>
      </c>
      <c r="H110" s="503">
        <v>0</v>
      </c>
      <c r="I110" s="503">
        <v>3500</v>
      </c>
      <c r="J110" s="503"/>
      <c r="K110" s="503"/>
      <c r="L110" s="503">
        <f t="shared" si="5"/>
        <v>0</v>
      </c>
      <c r="M110" s="503">
        <f t="shared" si="6"/>
        <v>3500</v>
      </c>
      <c r="N110" s="503">
        <f t="shared" si="7"/>
        <v>0</v>
      </c>
      <c r="O110" s="503">
        <f t="shared" si="8"/>
        <v>3500</v>
      </c>
    </row>
    <row r="111" spans="1:15" ht="12.95" customHeight="1" x14ac:dyDescent="0.2">
      <c r="A111" s="457"/>
      <c r="B111" s="457"/>
      <c r="C111" s="429" t="s">
        <v>289</v>
      </c>
      <c r="D111" s="469" t="s">
        <v>290</v>
      </c>
      <c r="E111" s="466"/>
      <c r="F111" s="630"/>
      <c r="G111" s="503">
        <v>500</v>
      </c>
      <c r="H111" s="503">
        <v>0</v>
      </c>
      <c r="I111" s="503">
        <v>500</v>
      </c>
      <c r="J111" s="503"/>
      <c r="K111" s="503"/>
      <c r="L111" s="503">
        <f t="shared" si="5"/>
        <v>0</v>
      </c>
      <c r="M111" s="503">
        <f t="shared" si="6"/>
        <v>500</v>
      </c>
      <c r="N111" s="503">
        <f t="shared" si="7"/>
        <v>0</v>
      </c>
      <c r="O111" s="503">
        <f t="shared" si="8"/>
        <v>500</v>
      </c>
    </row>
    <row r="112" spans="1:15" ht="15" customHeight="1" x14ac:dyDescent="0.2">
      <c r="A112" s="457"/>
      <c r="B112" s="457"/>
      <c r="C112" s="429" t="s">
        <v>291</v>
      </c>
      <c r="D112" s="468" t="s">
        <v>292</v>
      </c>
      <c r="E112" s="331"/>
      <c r="F112" s="630"/>
      <c r="G112" s="503">
        <v>9700</v>
      </c>
      <c r="H112" s="503">
        <v>0</v>
      </c>
      <c r="I112" s="503">
        <v>9700</v>
      </c>
      <c r="J112" s="503"/>
      <c r="K112" s="503"/>
      <c r="L112" s="503">
        <f t="shared" si="5"/>
        <v>0</v>
      </c>
      <c r="M112" s="503">
        <f t="shared" si="6"/>
        <v>9700</v>
      </c>
      <c r="N112" s="503">
        <f t="shared" si="7"/>
        <v>0</v>
      </c>
      <c r="O112" s="503">
        <f t="shared" si="8"/>
        <v>9700</v>
      </c>
    </row>
    <row r="113" spans="1:15" ht="24.95" customHeight="1" x14ac:dyDescent="0.2">
      <c r="A113" s="457"/>
      <c r="B113" s="457"/>
      <c r="C113" s="429" t="s">
        <v>293</v>
      </c>
      <c r="D113" s="301" t="s">
        <v>294</v>
      </c>
      <c r="E113" s="331"/>
      <c r="F113" s="630"/>
      <c r="G113" s="503">
        <v>2000</v>
      </c>
      <c r="H113" s="503">
        <v>0</v>
      </c>
      <c r="I113" s="503">
        <v>2000</v>
      </c>
      <c r="J113" s="503"/>
      <c r="K113" s="503"/>
      <c r="L113" s="503">
        <f t="shared" si="5"/>
        <v>0</v>
      </c>
      <c r="M113" s="503">
        <f t="shared" si="6"/>
        <v>2000</v>
      </c>
      <c r="N113" s="503">
        <f t="shared" si="7"/>
        <v>0</v>
      </c>
      <c r="O113" s="503">
        <f t="shared" si="8"/>
        <v>2000</v>
      </c>
    </row>
    <row r="114" spans="1:15" ht="15" customHeight="1" x14ac:dyDescent="0.2">
      <c r="A114" s="457"/>
      <c r="B114" s="457"/>
      <c r="C114" s="429" t="s">
        <v>295</v>
      </c>
      <c r="D114" s="301" t="s">
        <v>296</v>
      </c>
      <c r="E114" s="331"/>
      <c r="F114" s="630"/>
      <c r="G114" s="503">
        <v>4000</v>
      </c>
      <c r="H114" s="503">
        <v>0</v>
      </c>
      <c r="I114" s="503">
        <v>4000</v>
      </c>
      <c r="J114" s="503"/>
      <c r="K114" s="503"/>
      <c r="L114" s="503">
        <f t="shared" si="5"/>
        <v>0</v>
      </c>
      <c r="M114" s="503">
        <f t="shared" si="6"/>
        <v>4000</v>
      </c>
      <c r="N114" s="503">
        <f t="shared" si="7"/>
        <v>0</v>
      </c>
      <c r="O114" s="503">
        <f t="shared" si="8"/>
        <v>4000</v>
      </c>
    </row>
    <row r="115" spans="1:15" ht="15" customHeight="1" x14ac:dyDescent="0.2">
      <c r="A115" s="457"/>
      <c r="B115" s="457"/>
      <c r="C115" s="429" t="s">
        <v>297</v>
      </c>
      <c r="D115" s="301" t="s">
        <v>298</v>
      </c>
      <c r="E115" s="331"/>
      <c r="F115" s="630"/>
      <c r="G115" s="503">
        <v>1720</v>
      </c>
      <c r="H115" s="503">
        <v>0</v>
      </c>
      <c r="I115" s="503">
        <v>1720</v>
      </c>
      <c r="J115" s="503"/>
      <c r="K115" s="503"/>
      <c r="L115" s="503">
        <f t="shared" si="5"/>
        <v>0</v>
      </c>
      <c r="M115" s="503">
        <f t="shared" si="6"/>
        <v>1720</v>
      </c>
      <c r="N115" s="503">
        <f t="shared" si="7"/>
        <v>0</v>
      </c>
      <c r="O115" s="503">
        <f t="shared" si="8"/>
        <v>1720</v>
      </c>
    </row>
    <row r="116" spans="1:15" ht="15" customHeight="1" x14ac:dyDescent="0.2">
      <c r="A116" s="457"/>
      <c r="B116" s="457"/>
      <c r="C116" s="429" t="s">
        <v>299</v>
      </c>
      <c r="D116" s="301" t="s">
        <v>300</v>
      </c>
      <c r="E116" s="331"/>
      <c r="F116" s="630"/>
      <c r="G116" s="503">
        <v>1500</v>
      </c>
      <c r="H116" s="503">
        <v>0</v>
      </c>
      <c r="I116" s="503">
        <v>1500</v>
      </c>
      <c r="J116" s="503"/>
      <c r="K116" s="503"/>
      <c r="L116" s="503">
        <f t="shared" si="5"/>
        <v>0</v>
      </c>
      <c r="M116" s="503">
        <f t="shared" si="6"/>
        <v>1500</v>
      </c>
      <c r="N116" s="503">
        <f t="shared" si="7"/>
        <v>0</v>
      </c>
      <c r="O116" s="503">
        <f t="shared" si="8"/>
        <v>1500</v>
      </c>
    </row>
    <row r="117" spans="1:15" ht="15" customHeight="1" x14ac:dyDescent="0.2">
      <c r="A117" s="457"/>
      <c r="B117" s="457"/>
      <c r="C117" s="429" t="s">
        <v>301</v>
      </c>
      <c r="D117" s="301" t="s">
        <v>302</v>
      </c>
      <c r="E117" s="331"/>
      <c r="F117" s="630"/>
      <c r="G117" s="503">
        <v>3000</v>
      </c>
      <c r="H117" s="503">
        <v>0</v>
      </c>
      <c r="I117" s="503">
        <v>3000</v>
      </c>
      <c r="J117" s="503"/>
      <c r="K117" s="503"/>
      <c r="L117" s="503">
        <f t="shared" si="5"/>
        <v>0</v>
      </c>
      <c r="M117" s="503">
        <f t="shared" si="6"/>
        <v>3000</v>
      </c>
      <c r="N117" s="503">
        <f t="shared" si="7"/>
        <v>0</v>
      </c>
      <c r="O117" s="503">
        <f t="shared" si="8"/>
        <v>3000</v>
      </c>
    </row>
    <row r="118" spans="1:15" ht="15" customHeight="1" x14ac:dyDescent="0.2">
      <c r="A118" s="457"/>
      <c r="B118" s="457"/>
      <c r="C118" s="429" t="s">
        <v>303</v>
      </c>
      <c r="D118" s="301" t="s">
        <v>304</v>
      </c>
      <c r="E118" s="331"/>
      <c r="F118" s="630"/>
      <c r="G118" s="503">
        <v>3000</v>
      </c>
      <c r="H118" s="503">
        <v>0</v>
      </c>
      <c r="I118" s="503">
        <v>3000</v>
      </c>
      <c r="J118" s="503"/>
      <c r="K118" s="503"/>
      <c r="L118" s="503">
        <f t="shared" si="5"/>
        <v>0</v>
      </c>
      <c r="M118" s="503">
        <f t="shared" si="6"/>
        <v>3000</v>
      </c>
      <c r="N118" s="503">
        <f t="shared" si="7"/>
        <v>0</v>
      </c>
      <c r="O118" s="503">
        <f t="shared" si="8"/>
        <v>3000</v>
      </c>
    </row>
    <row r="119" spans="1:15" ht="15" customHeight="1" x14ac:dyDescent="0.2">
      <c r="A119" s="457"/>
      <c r="B119" s="457"/>
      <c r="C119" s="429" t="s">
        <v>305</v>
      </c>
      <c r="D119" s="470" t="s">
        <v>306</v>
      </c>
      <c r="E119" s="331"/>
      <c r="F119" s="630"/>
      <c r="G119" s="503">
        <v>2000</v>
      </c>
      <c r="H119" s="503">
        <v>0</v>
      </c>
      <c r="I119" s="503">
        <v>2000</v>
      </c>
      <c r="J119" s="503"/>
      <c r="K119" s="503"/>
      <c r="L119" s="503">
        <f t="shared" si="5"/>
        <v>0</v>
      </c>
      <c r="M119" s="503">
        <f t="shared" si="6"/>
        <v>2000</v>
      </c>
      <c r="N119" s="503">
        <f t="shared" si="7"/>
        <v>0</v>
      </c>
      <c r="O119" s="503">
        <f t="shared" si="8"/>
        <v>2000</v>
      </c>
    </row>
    <row r="120" spans="1:15" ht="15" customHeight="1" x14ac:dyDescent="0.2">
      <c r="A120" s="457"/>
      <c r="B120" s="457"/>
      <c r="C120" s="429" t="s">
        <v>931</v>
      </c>
      <c r="D120" s="470" t="s">
        <v>500</v>
      </c>
      <c r="E120" s="331"/>
      <c r="F120" s="630"/>
      <c r="G120" s="503">
        <v>2000</v>
      </c>
      <c r="H120" s="503"/>
      <c r="I120" s="503">
        <v>2000</v>
      </c>
      <c r="J120" s="503"/>
      <c r="K120" s="503"/>
      <c r="L120" s="503">
        <f t="shared" si="5"/>
        <v>0</v>
      </c>
      <c r="M120" s="503">
        <f t="shared" si="6"/>
        <v>2000</v>
      </c>
      <c r="N120" s="503"/>
      <c r="O120" s="503">
        <f t="shared" si="8"/>
        <v>2000</v>
      </c>
    </row>
    <row r="121" spans="1:15" ht="12.95" customHeight="1" x14ac:dyDescent="0.2">
      <c r="A121" s="457"/>
      <c r="B121" s="457"/>
      <c r="C121" s="457"/>
      <c r="D121" s="471" t="s">
        <v>1004</v>
      </c>
      <c r="E121" s="331"/>
      <c r="F121" s="630"/>
      <c r="G121" s="503">
        <v>0</v>
      </c>
      <c r="H121" s="503">
        <v>0</v>
      </c>
      <c r="I121" s="503">
        <v>0</v>
      </c>
      <c r="J121" s="503"/>
      <c r="K121" s="503"/>
      <c r="L121" s="503">
        <f t="shared" si="5"/>
        <v>0</v>
      </c>
      <c r="M121" s="503">
        <f t="shared" si="6"/>
        <v>0</v>
      </c>
      <c r="N121" s="503">
        <f t="shared" si="7"/>
        <v>0</v>
      </c>
      <c r="O121" s="503">
        <f t="shared" si="8"/>
        <v>0</v>
      </c>
    </row>
    <row r="122" spans="1:15" ht="12.95" customHeight="1" x14ac:dyDescent="0.2">
      <c r="A122" s="457"/>
      <c r="B122" s="457"/>
      <c r="C122" s="429" t="s">
        <v>796</v>
      </c>
      <c r="D122" s="468" t="s">
        <v>614</v>
      </c>
      <c r="E122" s="331"/>
      <c r="F122" s="630"/>
      <c r="G122" s="503">
        <v>1191</v>
      </c>
      <c r="H122" s="503">
        <v>0</v>
      </c>
      <c r="I122" s="503">
        <v>1191</v>
      </c>
      <c r="J122" s="503"/>
      <c r="K122" s="503"/>
      <c r="L122" s="503">
        <f t="shared" si="5"/>
        <v>0</v>
      </c>
      <c r="M122" s="503">
        <f t="shared" si="6"/>
        <v>1191</v>
      </c>
      <c r="N122" s="503">
        <f t="shared" si="7"/>
        <v>0</v>
      </c>
      <c r="O122" s="503">
        <f t="shared" si="8"/>
        <v>1191</v>
      </c>
    </row>
    <row r="123" spans="1:15" ht="12.95" customHeight="1" x14ac:dyDescent="0.2">
      <c r="A123" s="457"/>
      <c r="B123" s="457"/>
      <c r="C123" s="429" t="s">
        <v>797</v>
      </c>
      <c r="D123" s="468" t="s">
        <v>307</v>
      </c>
      <c r="E123" s="331"/>
      <c r="F123" s="630"/>
      <c r="G123" s="503">
        <v>183</v>
      </c>
      <c r="H123" s="503">
        <v>0</v>
      </c>
      <c r="I123" s="503">
        <v>183</v>
      </c>
      <c r="J123" s="503"/>
      <c r="K123" s="503"/>
      <c r="L123" s="503">
        <f t="shared" si="5"/>
        <v>0</v>
      </c>
      <c r="M123" s="503">
        <f t="shared" si="6"/>
        <v>183</v>
      </c>
      <c r="N123" s="503">
        <f t="shared" si="7"/>
        <v>0</v>
      </c>
      <c r="O123" s="503">
        <f t="shared" si="8"/>
        <v>183</v>
      </c>
    </row>
    <row r="124" spans="1:15" ht="15" customHeight="1" x14ac:dyDescent="0.2">
      <c r="A124" s="457"/>
      <c r="B124" s="457"/>
      <c r="C124" s="429" t="s">
        <v>798</v>
      </c>
      <c r="D124" s="468" t="s">
        <v>616</v>
      </c>
      <c r="E124" s="331"/>
      <c r="F124" s="630"/>
      <c r="G124" s="503">
        <v>3925</v>
      </c>
      <c r="H124" s="503">
        <v>0</v>
      </c>
      <c r="I124" s="503">
        <v>3925</v>
      </c>
      <c r="J124" s="503"/>
      <c r="K124" s="503"/>
      <c r="L124" s="503">
        <f t="shared" si="5"/>
        <v>0</v>
      </c>
      <c r="M124" s="503">
        <f t="shared" si="6"/>
        <v>3925</v>
      </c>
      <c r="N124" s="503">
        <f t="shared" si="7"/>
        <v>0</v>
      </c>
      <c r="O124" s="503">
        <f t="shared" si="8"/>
        <v>3925</v>
      </c>
    </row>
    <row r="125" spans="1:15" ht="12.95" customHeight="1" x14ac:dyDescent="0.2">
      <c r="A125" s="457"/>
      <c r="B125" s="457"/>
      <c r="C125" s="429" t="s">
        <v>799</v>
      </c>
      <c r="D125" s="472" t="s">
        <v>617</v>
      </c>
      <c r="E125" s="331"/>
      <c r="F125" s="630"/>
      <c r="G125" s="503">
        <v>19791</v>
      </c>
      <c r="H125" s="503">
        <v>0</v>
      </c>
      <c r="I125" s="503">
        <v>19791</v>
      </c>
      <c r="J125" s="503"/>
      <c r="K125" s="503"/>
      <c r="L125" s="503">
        <f t="shared" si="5"/>
        <v>0</v>
      </c>
      <c r="M125" s="503">
        <f t="shared" si="6"/>
        <v>19791</v>
      </c>
      <c r="N125" s="503">
        <f t="shared" si="7"/>
        <v>0</v>
      </c>
      <c r="O125" s="503">
        <f t="shared" si="8"/>
        <v>19791</v>
      </c>
    </row>
    <row r="126" spans="1:15" ht="24.95" customHeight="1" x14ac:dyDescent="0.2">
      <c r="A126" s="457"/>
      <c r="B126" s="457"/>
      <c r="C126" s="429" t="s">
        <v>800</v>
      </c>
      <c r="D126" s="473" t="s">
        <v>762</v>
      </c>
      <c r="E126" s="331"/>
      <c r="F126" s="630"/>
      <c r="G126" s="503">
        <v>380</v>
      </c>
      <c r="H126" s="503">
        <v>0</v>
      </c>
      <c r="I126" s="503">
        <v>380</v>
      </c>
      <c r="J126" s="503"/>
      <c r="K126" s="503"/>
      <c r="L126" s="503">
        <f t="shared" si="5"/>
        <v>0</v>
      </c>
      <c r="M126" s="503">
        <f t="shared" si="6"/>
        <v>380</v>
      </c>
      <c r="N126" s="503">
        <f t="shared" si="7"/>
        <v>0</v>
      </c>
      <c r="O126" s="503">
        <f t="shared" si="8"/>
        <v>380</v>
      </c>
    </row>
    <row r="127" spans="1:15" ht="12.95" customHeight="1" x14ac:dyDescent="0.2">
      <c r="A127" s="457"/>
      <c r="B127" s="457"/>
      <c r="C127" s="429" t="s">
        <v>801</v>
      </c>
      <c r="D127" s="474" t="s">
        <v>618</v>
      </c>
      <c r="E127" s="331"/>
      <c r="F127" s="630"/>
      <c r="G127" s="503">
        <v>13014</v>
      </c>
      <c r="H127" s="503">
        <v>0</v>
      </c>
      <c r="I127" s="503">
        <v>13014</v>
      </c>
      <c r="J127" s="503"/>
      <c r="K127" s="503"/>
      <c r="L127" s="503">
        <f t="shared" si="5"/>
        <v>0</v>
      </c>
      <c r="M127" s="503">
        <f t="shared" si="6"/>
        <v>13014</v>
      </c>
      <c r="N127" s="503">
        <f t="shared" si="7"/>
        <v>0</v>
      </c>
      <c r="O127" s="503">
        <f t="shared" si="8"/>
        <v>13014</v>
      </c>
    </row>
    <row r="128" spans="1:15" ht="12.95" customHeight="1" x14ac:dyDescent="0.2">
      <c r="A128" s="457"/>
      <c r="B128" s="457"/>
      <c r="C128" s="429" t="s">
        <v>802</v>
      </c>
      <c r="D128" s="468" t="s">
        <v>308</v>
      </c>
      <c r="E128" s="331"/>
      <c r="F128" s="630"/>
      <c r="G128" s="503">
        <v>387</v>
      </c>
      <c r="H128" s="503">
        <v>0</v>
      </c>
      <c r="I128" s="503">
        <v>387</v>
      </c>
      <c r="J128" s="503"/>
      <c r="K128" s="503"/>
      <c r="L128" s="503">
        <f t="shared" si="5"/>
        <v>0</v>
      </c>
      <c r="M128" s="503">
        <f t="shared" si="6"/>
        <v>387</v>
      </c>
      <c r="N128" s="503">
        <f t="shared" si="7"/>
        <v>0</v>
      </c>
      <c r="O128" s="503">
        <f t="shared" si="8"/>
        <v>387</v>
      </c>
    </row>
    <row r="129" spans="1:15" ht="12.95" customHeight="1" x14ac:dyDescent="0.2">
      <c r="A129" s="457"/>
      <c r="B129" s="457"/>
      <c r="C129" s="429" t="s">
        <v>803</v>
      </c>
      <c r="D129" s="468" t="s">
        <v>619</v>
      </c>
      <c r="E129" s="331"/>
      <c r="F129" s="630"/>
      <c r="G129" s="503">
        <v>5000</v>
      </c>
      <c r="H129" s="503">
        <v>0</v>
      </c>
      <c r="I129" s="503">
        <v>5000</v>
      </c>
      <c r="J129" s="503"/>
      <c r="K129" s="503"/>
      <c r="L129" s="503">
        <f t="shared" si="5"/>
        <v>0</v>
      </c>
      <c r="M129" s="503">
        <f t="shared" si="6"/>
        <v>5000</v>
      </c>
      <c r="N129" s="503">
        <f t="shared" si="7"/>
        <v>0</v>
      </c>
      <c r="O129" s="503">
        <f t="shared" si="8"/>
        <v>5000</v>
      </c>
    </row>
    <row r="130" spans="1:15" ht="12.95" customHeight="1" x14ac:dyDescent="0.2">
      <c r="A130" s="457"/>
      <c r="B130" s="457"/>
      <c r="C130" s="429" t="s">
        <v>804</v>
      </c>
      <c r="D130" s="468" t="s">
        <v>620</v>
      </c>
      <c r="E130" s="331"/>
      <c r="F130" s="630"/>
      <c r="G130" s="503">
        <v>6934</v>
      </c>
      <c r="H130" s="503">
        <v>0</v>
      </c>
      <c r="I130" s="503">
        <v>6934</v>
      </c>
      <c r="J130" s="503"/>
      <c r="K130" s="503"/>
      <c r="L130" s="503">
        <f t="shared" si="5"/>
        <v>0</v>
      </c>
      <c r="M130" s="503">
        <f t="shared" si="6"/>
        <v>6934</v>
      </c>
      <c r="N130" s="503">
        <f t="shared" si="7"/>
        <v>0</v>
      </c>
      <c r="O130" s="503">
        <f t="shared" si="8"/>
        <v>6934</v>
      </c>
    </row>
    <row r="131" spans="1:15" ht="15" customHeight="1" x14ac:dyDescent="0.2">
      <c r="A131" s="457"/>
      <c r="B131" s="457"/>
      <c r="C131" s="429" t="s">
        <v>805</v>
      </c>
      <c r="D131" s="475" t="s">
        <v>765</v>
      </c>
      <c r="E131" s="331"/>
      <c r="F131" s="630"/>
      <c r="G131" s="503">
        <v>273</v>
      </c>
      <c r="H131" s="503">
        <v>0</v>
      </c>
      <c r="I131" s="503">
        <v>273</v>
      </c>
      <c r="J131" s="503"/>
      <c r="K131" s="503"/>
      <c r="L131" s="503">
        <f t="shared" si="5"/>
        <v>0</v>
      </c>
      <c r="M131" s="503">
        <f t="shared" si="6"/>
        <v>273</v>
      </c>
      <c r="N131" s="503">
        <f t="shared" si="7"/>
        <v>0</v>
      </c>
      <c r="O131" s="503">
        <f t="shared" si="8"/>
        <v>273</v>
      </c>
    </row>
    <row r="132" spans="1:15" ht="24.95" customHeight="1" x14ac:dyDescent="0.2">
      <c r="A132" s="457"/>
      <c r="B132" s="457"/>
      <c r="C132" s="429" t="s">
        <v>806</v>
      </c>
      <c r="D132" s="476" t="s">
        <v>309</v>
      </c>
      <c r="E132" s="331"/>
      <c r="F132" s="630"/>
      <c r="G132" s="503">
        <v>536</v>
      </c>
      <c r="H132" s="503">
        <v>0</v>
      </c>
      <c r="I132" s="503">
        <v>536</v>
      </c>
      <c r="J132" s="503"/>
      <c r="K132" s="503"/>
      <c r="L132" s="503">
        <f t="shared" si="5"/>
        <v>0</v>
      </c>
      <c r="M132" s="503">
        <f t="shared" si="6"/>
        <v>536</v>
      </c>
      <c r="N132" s="503">
        <f t="shared" si="7"/>
        <v>0</v>
      </c>
      <c r="O132" s="503">
        <f t="shared" si="8"/>
        <v>536</v>
      </c>
    </row>
    <row r="133" spans="1:15" ht="12.95" customHeight="1" x14ac:dyDescent="0.2">
      <c r="A133" s="457"/>
      <c r="B133" s="457"/>
      <c r="C133" s="429" t="s">
        <v>807</v>
      </c>
      <c r="D133" s="476" t="s">
        <v>919</v>
      </c>
      <c r="E133" s="331"/>
      <c r="F133" s="630"/>
      <c r="G133" s="503">
        <v>2000</v>
      </c>
      <c r="H133" s="503">
        <v>0</v>
      </c>
      <c r="I133" s="503">
        <v>2000</v>
      </c>
      <c r="J133" s="503"/>
      <c r="K133" s="503"/>
      <c r="L133" s="503">
        <f t="shared" si="5"/>
        <v>0</v>
      </c>
      <c r="M133" s="503">
        <f t="shared" si="6"/>
        <v>2000</v>
      </c>
      <c r="N133" s="503">
        <f t="shared" si="7"/>
        <v>0</v>
      </c>
      <c r="O133" s="503">
        <f t="shared" si="8"/>
        <v>2000</v>
      </c>
    </row>
    <row r="134" spans="1:15" ht="12.95" customHeight="1" x14ac:dyDescent="0.2">
      <c r="A134" s="457"/>
      <c r="B134" s="457"/>
      <c r="C134" s="292" t="s">
        <v>844</v>
      </c>
      <c r="D134" s="293" t="s">
        <v>760</v>
      </c>
      <c r="E134" s="442"/>
      <c r="F134" s="634"/>
      <c r="G134" s="503"/>
      <c r="H134" s="503"/>
      <c r="I134" s="503"/>
      <c r="J134" s="503"/>
      <c r="K134" s="503"/>
      <c r="L134" s="503"/>
      <c r="M134" s="503"/>
      <c r="N134" s="503"/>
      <c r="O134" s="503"/>
    </row>
    <row r="135" spans="1:15" ht="12.95" customHeight="1" x14ac:dyDescent="0.2">
      <c r="A135" s="457"/>
      <c r="B135" s="457"/>
      <c r="C135" s="298" t="s">
        <v>887</v>
      </c>
      <c r="D135" s="330" t="s">
        <v>310</v>
      </c>
      <c r="E135" s="442"/>
      <c r="F135" s="634"/>
      <c r="G135" s="503">
        <v>2000</v>
      </c>
      <c r="H135" s="503">
        <v>0</v>
      </c>
      <c r="I135" s="503">
        <v>2000</v>
      </c>
      <c r="J135" s="503"/>
      <c r="K135" s="503"/>
      <c r="L135" s="503">
        <f t="shared" si="5"/>
        <v>0</v>
      </c>
      <c r="M135" s="503">
        <f t="shared" si="6"/>
        <v>2000</v>
      </c>
      <c r="N135" s="503">
        <f t="shared" si="7"/>
        <v>0</v>
      </c>
      <c r="O135" s="503">
        <f t="shared" si="8"/>
        <v>2000</v>
      </c>
    </row>
    <row r="136" spans="1:15" ht="12.95" customHeight="1" x14ac:dyDescent="0.2">
      <c r="A136" s="457"/>
      <c r="B136" s="457"/>
      <c r="C136" s="298" t="s">
        <v>888</v>
      </c>
      <c r="D136" s="330" t="s">
        <v>311</v>
      </c>
      <c r="E136" s="442"/>
      <c r="F136" s="634"/>
      <c r="G136" s="503">
        <v>2000</v>
      </c>
      <c r="H136" s="503">
        <v>0</v>
      </c>
      <c r="I136" s="503">
        <v>2000</v>
      </c>
      <c r="J136" s="503"/>
      <c r="K136" s="503"/>
      <c r="L136" s="503">
        <f t="shared" si="5"/>
        <v>0</v>
      </c>
      <c r="M136" s="503">
        <f t="shared" si="6"/>
        <v>2000</v>
      </c>
      <c r="N136" s="503">
        <f t="shared" si="7"/>
        <v>0</v>
      </c>
      <c r="O136" s="503">
        <f t="shared" si="8"/>
        <v>2000</v>
      </c>
    </row>
    <row r="137" spans="1:15" ht="12.95" customHeight="1" x14ac:dyDescent="0.2">
      <c r="A137" s="457"/>
      <c r="B137" s="457"/>
      <c r="C137" s="298" t="s">
        <v>889</v>
      </c>
      <c r="D137" s="330" t="s">
        <v>312</v>
      </c>
      <c r="E137" s="442"/>
      <c r="F137" s="634"/>
      <c r="G137" s="503">
        <v>1500</v>
      </c>
      <c r="H137" s="503">
        <v>0</v>
      </c>
      <c r="I137" s="503">
        <v>1500</v>
      </c>
      <c r="J137" s="503"/>
      <c r="K137" s="503"/>
      <c r="L137" s="503">
        <f t="shared" si="5"/>
        <v>0</v>
      </c>
      <c r="M137" s="503">
        <f t="shared" si="6"/>
        <v>1500</v>
      </c>
      <c r="N137" s="503">
        <f t="shared" si="7"/>
        <v>0</v>
      </c>
      <c r="O137" s="503">
        <f t="shared" si="8"/>
        <v>1500</v>
      </c>
    </row>
    <row r="138" spans="1:15" ht="12.95" customHeight="1" x14ac:dyDescent="0.2">
      <c r="A138" s="457"/>
      <c r="B138" s="457"/>
      <c r="C138" s="298" t="s">
        <v>890</v>
      </c>
      <c r="D138" s="284" t="s">
        <v>313</v>
      </c>
      <c r="E138" s="442"/>
      <c r="F138" s="634"/>
      <c r="G138" s="503">
        <v>800</v>
      </c>
      <c r="H138" s="503">
        <v>0</v>
      </c>
      <c r="I138" s="503">
        <v>800</v>
      </c>
      <c r="J138" s="503"/>
      <c r="K138" s="503"/>
      <c r="L138" s="503">
        <f t="shared" si="5"/>
        <v>0</v>
      </c>
      <c r="M138" s="503">
        <f t="shared" si="6"/>
        <v>800</v>
      </c>
      <c r="N138" s="503">
        <f t="shared" si="7"/>
        <v>0</v>
      </c>
      <c r="O138" s="503">
        <f t="shared" si="8"/>
        <v>800</v>
      </c>
    </row>
    <row r="139" spans="1:15" ht="12.95" customHeight="1" x14ac:dyDescent="0.2">
      <c r="A139" s="457"/>
      <c r="B139" s="457"/>
      <c r="C139" s="298" t="s">
        <v>1043</v>
      </c>
      <c r="D139" s="284" t="s">
        <v>314</v>
      </c>
      <c r="E139" s="442"/>
      <c r="F139" s="634"/>
      <c r="G139" s="503">
        <v>500</v>
      </c>
      <c r="H139" s="503">
        <v>0</v>
      </c>
      <c r="I139" s="503">
        <v>500</v>
      </c>
      <c r="J139" s="503"/>
      <c r="K139" s="503"/>
      <c r="L139" s="503">
        <f t="shared" si="5"/>
        <v>0</v>
      </c>
      <c r="M139" s="503">
        <f t="shared" si="6"/>
        <v>500</v>
      </c>
      <c r="N139" s="503">
        <f t="shared" si="7"/>
        <v>0</v>
      </c>
      <c r="O139" s="503">
        <f t="shared" si="8"/>
        <v>500</v>
      </c>
    </row>
    <row r="140" spans="1:15" ht="12.95" customHeight="1" x14ac:dyDescent="0.2">
      <c r="A140" s="457"/>
      <c r="B140" s="457"/>
      <c r="C140" s="298" t="s">
        <v>1045</v>
      </c>
      <c r="D140" s="307" t="s">
        <v>315</v>
      </c>
      <c r="E140" s="442"/>
      <c r="F140" s="634"/>
      <c r="G140" s="503">
        <v>2400</v>
      </c>
      <c r="H140" s="503">
        <v>0</v>
      </c>
      <c r="I140" s="503">
        <v>2400</v>
      </c>
      <c r="J140" s="503"/>
      <c r="K140" s="503"/>
      <c r="L140" s="503">
        <f t="shared" si="5"/>
        <v>0</v>
      </c>
      <c r="M140" s="503">
        <f t="shared" si="6"/>
        <v>2400</v>
      </c>
      <c r="N140" s="503">
        <f t="shared" si="7"/>
        <v>0</v>
      </c>
      <c r="O140" s="503">
        <f t="shared" si="8"/>
        <v>2400</v>
      </c>
    </row>
    <row r="141" spans="1:15" ht="12.95" customHeight="1" x14ac:dyDescent="0.2">
      <c r="A141" s="457"/>
      <c r="B141" s="457"/>
      <c r="C141" s="298" t="s">
        <v>1047</v>
      </c>
      <c r="D141" s="307" t="s">
        <v>316</v>
      </c>
      <c r="E141" s="442"/>
      <c r="F141" s="634"/>
      <c r="G141" s="503">
        <v>600</v>
      </c>
      <c r="H141" s="503">
        <v>0</v>
      </c>
      <c r="I141" s="503">
        <v>600</v>
      </c>
      <c r="J141" s="503"/>
      <c r="K141" s="503"/>
      <c r="L141" s="503">
        <f t="shared" ref="L141:L195" si="9">SUM(J141:K141)</f>
        <v>0</v>
      </c>
      <c r="M141" s="503">
        <f t="shared" ref="M141:M194" si="10">SUM(G141+J141)</f>
        <v>600</v>
      </c>
      <c r="N141" s="503">
        <f t="shared" ref="N141:N194" si="11">SUM(H141+K141)</f>
        <v>0</v>
      </c>
      <c r="O141" s="503">
        <f t="shared" ref="O141:O195" si="12">SUM(M141:N141)</f>
        <v>600</v>
      </c>
    </row>
    <row r="142" spans="1:15" ht="12.95" customHeight="1" x14ac:dyDescent="0.2">
      <c r="A142" s="457"/>
      <c r="B142" s="457"/>
      <c r="C142" s="298" t="s">
        <v>1051</v>
      </c>
      <c r="D142" s="477" t="s">
        <v>317</v>
      </c>
      <c r="E142" s="442"/>
      <c r="F142" s="634" t="s">
        <v>693</v>
      </c>
      <c r="G142" s="503">
        <v>7000</v>
      </c>
      <c r="H142" s="503">
        <v>0</v>
      </c>
      <c r="I142" s="503">
        <v>7000</v>
      </c>
      <c r="J142" s="503">
        <v>531</v>
      </c>
      <c r="K142" s="503"/>
      <c r="L142" s="503">
        <f t="shared" si="9"/>
        <v>531</v>
      </c>
      <c r="M142" s="503">
        <f t="shared" si="10"/>
        <v>7531</v>
      </c>
      <c r="N142" s="503">
        <f t="shared" si="11"/>
        <v>0</v>
      </c>
      <c r="O142" s="503">
        <f t="shared" si="12"/>
        <v>7531</v>
      </c>
    </row>
    <row r="143" spans="1:15" ht="12.95" customHeight="1" x14ac:dyDescent="0.2">
      <c r="A143" s="457"/>
      <c r="B143" s="457"/>
      <c r="C143" s="298"/>
      <c r="D143" s="471" t="s">
        <v>1004</v>
      </c>
      <c r="E143" s="442"/>
      <c r="F143" s="634"/>
      <c r="G143" s="503">
        <v>0</v>
      </c>
      <c r="H143" s="503">
        <v>0</v>
      </c>
      <c r="I143" s="503">
        <v>0</v>
      </c>
      <c r="J143" s="503"/>
      <c r="K143" s="503"/>
      <c r="L143" s="503">
        <f t="shared" si="9"/>
        <v>0</v>
      </c>
      <c r="M143" s="503">
        <f t="shared" si="10"/>
        <v>0</v>
      </c>
      <c r="N143" s="503">
        <f t="shared" si="11"/>
        <v>0</v>
      </c>
      <c r="O143" s="503">
        <f t="shared" si="12"/>
        <v>0</v>
      </c>
    </row>
    <row r="144" spans="1:15" ht="15" customHeight="1" x14ac:dyDescent="0.2">
      <c r="A144" s="457"/>
      <c r="B144" s="457"/>
      <c r="C144" s="298" t="s">
        <v>1005</v>
      </c>
      <c r="D144" s="478" t="s">
        <v>808</v>
      </c>
      <c r="E144" s="442"/>
      <c r="F144" s="634"/>
      <c r="G144" s="503">
        <v>2900</v>
      </c>
      <c r="H144" s="503">
        <v>0</v>
      </c>
      <c r="I144" s="503">
        <v>2900</v>
      </c>
      <c r="J144" s="503"/>
      <c r="K144" s="503"/>
      <c r="L144" s="503">
        <f t="shared" si="9"/>
        <v>0</v>
      </c>
      <c r="M144" s="503">
        <f t="shared" si="10"/>
        <v>2900</v>
      </c>
      <c r="N144" s="503">
        <f t="shared" si="11"/>
        <v>0</v>
      </c>
      <c r="O144" s="503">
        <f t="shared" si="12"/>
        <v>2900</v>
      </c>
    </row>
    <row r="145" spans="1:15" ht="12.95" customHeight="1" x14ac:dyDescent="0.2">
      <c r="A145" s="457"/>
      <c r="B145" s="457"/>
      <c r="C145" s="479" t="s">
        <v>897</v>
      </c>
      <c r="D145" s="480" t="s">
        <v>898</v>
      </c>
      <c r="E145" s="331"/>
      <c r="F145" s="630"/>
      <c r="G145" s="503"/>
      <c r="H145" s="503"/>
      <c r="I145" s="503"/>
      <c r="J145" s="503"/>
      <c r="K145" s="503"/>
      <c r="L145" s="503"/>
      <c r="M145" s="503"/>
      <c r="N145" s="503"/>
      <c r="O145" s="503"/>
    </row>
    <row r="146" spans="1:15" ht="12.95" customHeight="1" x14ac:dyDescent="0.2">
      <c r="A146" s="457"/>
      <c r="B146" s="457"/>
      <c r="C146" s="479" t="s">
        <v>355</v>
      </c>
      <c r="D146" s="256" t="s">
        <v>318</v>
      </c>
      <c r="E146" s="331"/>
      <c r="F146" s="630"/>
      <c r="G146" s="503">
        <v>3000</v>
      </c>
      <c r="H146" s="503">
        <v>0</v>
      </c>
      <c r="I146" s="503">
        <v>3000</v>
      </c>
      <c r="J146" s="503"/>
      <c r="K146" s="503"/>
      <c r="L146" s="503">
        <f t="shared" si="9"/>
        <v>0</v>
      </c>
      <c r="M146" s="503">
        <f t="shared" si="10"/>
        <v>3000</v>
      </c>
      <c r="N146" s="503">
        <f t="shared" si="11"/>
        <v>0</v>
      </c>
      <c r="O146" s="503">
        <f t="shared" si="12"/>
        <v>3000</v>
      </c>
    </row>
    <row r="147" spans="1:15" ht="12.95" customHeight="1" x14ac:dyDescent="0.2">
      <c r="A147" s="457"/>
      <c r="B147" s="457"/>
      <c r="C147" s="479" t="s">
        <v>356</v>
      </c>
      <c r="D147" s="481" t="s">
        <v>319</v>
      </c>
      <c r="E147" s="331"/>
      <c r="F147" s="630"/>
      <c r="G147" s="503">
        <v>3000</v>
      </c>
      <c r="H147" s="503">
        <v>0</v>
      </c>
      <c r="I147" s="503">
        <v>3000</v>
      </c>
      <c r="J147" s="503"/>
      <c r="K147" s="503"/>
      <c r="L147" s="503">
        <f t="shared" si="9"/>
        <v>0</v>
      </c>
      <c r="M147" s="503">
        <f t="shared" si="10"/>
        <v>3000</v>
      </c>
      <c r="N147" s="503">
        <f t="shared" si="11"/>
        <v>0</v>
      </c>
      <c r="O147" s="503">
        <f t="shared" si="12"/>
        <v>3000</v>
      </c>
    </row>
    <row r="148" spans="1:15" ht="12.95" customHeight="1" x14ac:dyDescent="0.2">
      <c r="A148" s="457"/>
      <c r="B148" s="457"/>
      <c r="C148" s="479" t="s">
        <v>579</v>
      </c>
      <c r="D148" s="330" t="s">
        <v>320</v>
      </c>
      <c r="E148" s="331"/>
      <c r="F148" s="630"/>
      <c r="G148" s="503">
        <v>1000</v>
      </c>
      <c r="H148" s="503">
        <v>0</v>
      </c>
      <c r="I148" s="503">
        <v>1000</v>
      </c>
      <c r="J148" s="503"/>
      <c r="K148" s="503"/>
      <c r="L148" s="503">
        <f t="shared" si="9"/>
        <v>0</v>
      </c>
      <c r="M148" s="503">
        <f t="shared" si="10"/>
        <v>1000</v>
      </c>
      <c r="N148" s="503">
        <f t="shared" si="11"/>
        <v>0</v>
      </c>
      <c r="O148" s="503">
        <f t="shared" si="12"/>
        <v>1000</v>
      </c>
    </row>
    <row r="149" spans="1:15" ht="12.95" customHeight="1" x14ac:dyDescent="0.2">
      <c r="A149" s="457"/>
      <c r="B149" s="457"/>
      <c r="C149" s="479" t="s">
        <v>580</v>
      </c>
      <c r="D149" s="330" t="s">
        <v>321</v>
      </c>
      <c r="E149" s="331"/>
      <c r="F149" s="630"/>
      <c r="G149" s="503">
        <v>500</v>
      </c>
      <c r="H149" s="503">
        <v>0</v>
      </c>
      <c r="I149" s="503">
        <v>500</v>
      </c>
      <c r="J149" s="503"/>
      <c r="K149" s="503"/>
      <c r="L149" s="503">
        <f t="shared" si="9"/>
        <v>0</v>
      </c>
      <c r="M149" s="503">
        <f t="shared" si="10"/>
        <v>500</v>
      </c>
      <c r="N149" s="503">
        <f t="shared" si="11"/>
        <v>0</v>
      </c>
      <c r="O149" s="503">
        <f t="shared" si="12"/>
        <v>500</v>
      </c>
    </row>
    <row r="150" spans="1:15" ht="12.95" customHeight="1" x14ac:dyDescent="0.2">
      <c r="A150" s="457"/>
      <c r="B150" s="457"/>
      <c r="C150" s="479" t="s">
        <v>322</v>
      </c>
      <c r="D150" s="330" t="s">
        <v>323</v>
      </c>
      <c r="E150" s="331"/>
      <c r="F150" s="630"/>
      <c r="G150" s="503">
        <v>1000</v>
      </c>
      <c r="H150" s="503">
        <v>0</v>
      </c>
      <c r="I150" s="503">
        <v>1000</v>
      </c>
      <c r="J150" s="503"/>
      <c r="K150" s="503"/>
      <c r="L150" s="503">
        <f t="shared" si="9"/>
        <v>0</v>
      </c>
      <c r="M150" s="503">
        <f t="shared" si="10"/>
        <v>1000</v>
      </c>
      <c r="N150" s="503">
        <f t="shared" si="11"/>
        <v>0</v>
      </c>
      <c r="O150" s="503">
        <f t="shared" si="12"/>
        <v>1000</v>
      </c>
    </row>
    <row r="151" spans="1:15" ht="12.95" customHeight="1" x14ac:dyDescent="0.2">
      <c r="A151" s="457"/>
      <c r="B151" s="457"/>
      <c r="C151" s="479" t="s">
        <v>324</v>
      </c>
      <c r="D151" s="307" t="s">
        <v>325</v>
      </c>
      <c r="E151" s="331"/>
      <c r="F151" s="630"/>
      <c r="G151" s="503">
        <v>0</v>
      </c>
      <c r="H151" s="503">
        <v>0</v>
      </c>
      <c r="I151" s="503">
        <v>0</v>
      </c>
      <c r="J151" s="503"/>
      <c r="K151" s="503"/>
      <c r="L151" s="503">
        <f t="shared" si="9"/>
        <v>0</v>
      </c>
      <c r="M151" s="503">
        <f t="shared" si="10"/>
        <v>0</v>
      </c>
      <c r="N151" s="503">
        <f t="shared" si="11"/>
        <v>0</v>
      </c>
      <c r="O151" s="503">
        <f t="shared" si="12"/>
        <v>0</v>
      </c>
    </row>
    <row r="152" spans="1:15" ht="12.95" customHeight="1" x14ac:dyDescent="0.2">
      <c r="A152" s="457"/>
      <c r="B152" s="457"/>
      <c r="C152" s="292" t="s">
        <v>899</v>
      </c>
      <c r="D152" s="300" t="s">
        <v>900</v>
      </c>
      <c r="E152" s="331"/>
      <c r="F152" s="630"/>
      <c r="G152" s="503"/>
      <c r="H152" s="503"/>
      <c r="I152" s="503"/>
      <c r="J152" s="503"/>
      <c r="K152" s="503"/>
      <c r="L152" s="503"/>
      <c r="M152" s="503"/>
      <c r="N152" s="503"/>
      <c r="O152" s="503"/>
    </row>
    <row r="153" spans="1:15" ht="12.95" customHeight="1" x14ac:dyDescent="0.2">
      <c r="A153" s="457"/>
      <c r="B153" s="457"/>
      <c r="C153" s="457" t="s">
        <v>901</v>
      </c>
      <c r="D153" s="435" t="s">
        <v>326</v>
      </c>
      <c r="E153" s="331"/>
      <c r="F153" s="630" t="s">
        <v>943</v>
      </c>
      <c r="G153" s="503">
        <v>1150</v>
      </c>
      <c r="H153" s="503">
        <v>0</v>
      </c>
      <c r="I153" s="503">
        <v>1150</v>
      </c>
      <c r="J153" s="503">
        <v>250</v>
      </c>
      <c r="K153" s="503"/>
      <c r="L153" s="503">
        <f t="shared" si="9"/>
        <v>250</v>
      </c>
      <c r="M153" s="503">
        <f t="shared" si="10"/>
        <v>1400</v>
      </c>
      <c r="N153" s="503">
        <f t="shared" si="11"/>
        <v>0</v>
      </c>
      <c r="O153" s="503">
        <f t="shared" si="12"/>
        <v>1400</v>
      </c>
    </row>
    <row r="154" spans="1:15" ht="12.95" customHeight="1" x14ac:dyDescent="0.2">
      <c r="A154" s="457"/>
      <c r="B154" s="457"/>
      <c r="C154" s="457" t="s">
        <v>902</v>
      </c>
      <c r="D154" s="435" t="s">
        <v>328</v>
      </c>
      <c r="E154" s="331"/>
      <c r="F154" s="630"/>
      <c r="G154" s="503">
        <v>0</v>
      </c>
      <c r="H154" s="503">
        <v>500</v>
      </c>
      <c r="I154" s="503">
        <v>500</v>
      </c>
      <c r="J154" s="503"/>
      <c r="K154" s="503"/>
      <c r="L154" s="503">
        <f t="shared" si="9"/>
        <v>0</v>
      </c>
      <c r="M154" s="503">
        <f t="shared" si="10"/>
        <v>0</v>
      </c>
      <c r="N154" s="503">
        <f t="shared" si="11"/>
        <v>500</v>
      </c>
      <c r="O154" s="503">
        <f t="shared" si="12"/>
        <v>500</v>
      </c>
    </row>
    <row r="155" spans="1:15" ht="12.95" customHeight="1" x14ac:dyDescent="0.2">
      <c r="A155" s="457"/>
      <c r="B155" s="457"/>
      <c r="C155" s="457" t="s">
        <v>903</v>
      </c>
      <c r="D155" s="436" t="s">
        <v>329</v>
      </c>
      <c r="E155" s="331"/>
      <c r="F155" s="630"/>
      <c r="G155" s="503">
        <v>1200</v>
      </c>
      <c r="H155" s="503">
        <v>3800</v>
      </c>
      <c r="I155" s="503">
        <v>5000</v>
      </c>
      <c r="J155" s="503"/>
      <c r="K155" s="503"/>
      <c r="L155" s="503">
        <f t="shared" si="9"/>
        <v>0</v>
      </c>
      <c r="M155" s="503">
        <f t="shared" si="10"/>
        <v>1200</v>
      </c>
      <c r="N155" s="503">
        <f t="shared" si="11"/>
        <v>3800</v>
      </c>
      <c r="O155" s="503">
        <f t="shared" si="12"/>
        <v>5000</v>
      </c>
    </row>
    <row r="156" spans="1:15" ht="12.95" customHeight="1" x14ac:dyDescent="0.2">
      <c r="A156" s="457"/>
      <c r="B156" s="457"/>
      <c r="C156" s="457" t="s">
        <v>904</v>
      </c>
      <c r="D156" s="482" t="s">
        <v>330</v>
      </c>
      <c r="E156" s="331"/>
      <c r="F156" s="630"/>
      <c r="G156" s="503">
        <v>0</v>
      </c>
      <c r="H156" s="503">
        <v>1000</v>
      </c>
      <c r="I156" s="503">
        <v>1000</v>
      </c>
      <c r="J156" s="503"/>
      <c r="K156" s="503"/>
      <c r="L156" s="503">
        <f t="shared" si="9"/>
        <v>0</v>
      </c>
      <c r="M156" s="503">
        <f t="shared" si="10"/>
        <v>0</v>
      </c>
      <c r="N156" s="503">
        <f t="shared" si="11"/>
        <v>1000</v>
      </c>
      <c r="O156" s="503">
        <f t="shared" si="12"/>
        <v>1000</v>
      </c>
    </row>
    <row r="157" spans="1:15" ht="12.95" customHeight="1" x14ac:dyDescent="0.2">
      <c r="A157" s="457"/>
      <c r="B157" s="457"/>
      <c r="C157" s="457"/>
      <c r="D157" s="447" t="s">
        <v>1004</v>
      </c>
      <c r="E157" s="331"/>
      <c r="F157" s="630"/>
      <c r="G157" s="503"/>
      <c r="H157" s="503"/>
      <c r="I157" s="503"/>
      <c r="J157" s="503"/>
      <c r="K157" s="503"/>
      <c r="L157" s="503"/>
      <c r="M157" s="503"/>
      <c r="N157" s="503"/>
      <c r="O157" s="503"/>
    </row>
    <row r="158" spans="1:15" ht="12.95" customHeight="1" x14ac:dyDescent="0.2">
      <c r="A158" s="457"/>
      <c r="B158" s="457"/>
      <c r="C158" s="457" t="s">
        <v>752</v>
      </c>
      <c r="D158" s="483" t="s">
        <v>331</v>
      </c>
      <c r="E158" s="331"/>
      <c r="F158" s="630"/>
      <c r="G158" s="503">
        <v>5167</v>
      </c>
      <c r="H158" s="503">
        <v>0</v>
      </c>
      <c r="I158" s="503">
        <v>5167</v>
      </c>
      <c r="J158" s="503"/>
      <c r="K158" s="503"/>
      <c r="L158" s="503">
        <f t="shared" si="9"/>
        <v>0</v>
      </c>
      <c r="M158" s="503">
        <f t="shared" si="10"/>
        <v>5167</v>
      </c>
      <c r="N158" s="503">
        <f t="shared" si="11"/>
        <v>0</v>
      </c>
      <c r="O158" s="503">
        <f t="shared" si="12"/>
        <v>5167</v>
      </c>
    </row>
    <row r="159" spans="1:15" ht="12.95" customHeight="1" x14ac:dyDescent="0.2">
      <c r="A159" s="484"/>
      <c r="B159" s="484"/>
      <c r="C159" s="484"/>
      <c r="D159" s="321" t="s">
        <v>821</v>
      </c>
      <c r="E159" s="455"/>
      <c r="F159" s="660"/>
      <c r="G159" s="456">
        <f>SUM(G50:G158)</f>
        <v>398612</v>
      </c>
      <c r="H159" s="456">
        <f t="shared" ref="H159:O159" si="13">SUM(H50:H158)</f>
        <v>5300</v>
      </c>
      <c r="I159" s="456">
        <f t="shared" si="13"/>
        <v>403912</v>
      </c>
      <c r="J159" s="456">
        <f t="shared" si="13"/>
        <v>-2219</v>
      </c>
      <c r="K159" s="456">
        <f t="shared" si="13"/>
        <v>0</v>
      </c>
      <c r="L159" s="456">
        <f t="shared" si="13"/>
        <v>-2219</v>
      </c>
      <c r="M159" s="456">
        <f t="shared" si="13"/>
        <v>396393</v>
      </c>
      <c r="N159" s="456">
        <f t="shared" si="13"/>
        <v>5300</v>
      </c>
      <c r="O159" s="456">
        <f t="shared" si="13"/>
        <v>401693</v>
      </c>
    </row>
    <row r="160" spans="1:15" ht="12.95" customHeight="1" x14ac:dyDescent="0.2">
      <c r="A160" s="464">
        <v>1</v>
      </c>
      <c r="B160" s="464">
        <v>16</v>
      </c>
      <c r="C160" s="464"/>
      <c r="D160" s="485" t="s">
        <v>634</v>
      </c>
      <c r="E160" s="486"/>
      <c r="F160" s="662"/>
      <c r="G160" s="487"/>
      <c r="H160" s="487"/>
      <c r="I160" s="487"/>
      <c r="J160" s="503"/>
      <c r="K160" s="503"/>
      <c r="L160" s="503"/>
      <c r="M160" s="503"/>
      <c r="N160" s="503"/>
      <c r="O160" s="503"/>
    </row>
    <row r="161" spans="1:15" ht="12.95" customHeight="1" x14ac:dyDescent="0.2">
      <c r="A161" s="464"/>
      <c r="B161" s="464"/>
      <c r="C161" s="292" t="s">
        <v>843</v>
      </c>
      <c r="D161" s="293" t="s">
        <v>332</v>
      </c>
      <c r="E161" s="486"/>
      <c r="F161" s="662"/>
      <c r="G161" s="487"/>
      <c r="H161" s="487"/>
      <c r="I161" s="487"/>
      <c r="J161" s="503"/>
      <c r="K161" s="503"/>
      <c r="L161" s="503"/>
      <c r="M161" s="503"/>
      <c r="N161" s="503"/>
      <c r="O161" s="503"/>
    </row>
    <row r="162" spans="1:15" ht="12.95" customHeight="1" x14ac:dyDescent="0.2">
      <c r="A162" s="464"/>
      <c r="B162" s="464"/>
      <c r="C162" s="464" t="s">
        <v>849</v>
      </c>
      <c r="D162" s="290" t="s">
        <v>333</v>
      </c>
      <c r="E162" s="466"/>
      <c r="F162" s="630"/>
      <c r="G162" s="503">
        <v>0</v>
      </c>
      <c r="H162" s="503">
        <v>0</v>
      </c>
      <c r="I162" s="503">
        <v>0</v>
      </c>
      <c r="J162" s="503"/>
      <c r="K162" s="503"/>
      <c r="L162" s="503">
        <f t="shared" si="9"/>
        <v>0</v>
      </c>
      <c r="M162" s="503">
        <f t="shared" si="10"/>
        <v>0</v>
      </c>
      <c r="N162" s="503">
        <f t="shared" si="11"/>
        <v>0</v>
      </c>
      <c r="O162" s="503">
        <f t="shared" si="12"/>
        <v>0</v>
      </c>
    </row>
    <row r="163" spans="1:15" ht="12.95" customHeight="1" x14ac:dyDescent="0.2">
      <c r="A163" s="464"/>
      <c r="B163" s="464"/>
      <c r="C163" s="464" t="s">
        <v>850</v>
      </c>
      <c r="D163" s="301" t="s">
        <v>334</v>
      </c>
      <c r="E163" s="466"/>
      <c r="F163" s="630"/>
      <c r="G163" s="503">
        <v>1500</v>
      </c>
      <c r="H163" s="503">
        <v>0</v>
      </c>
      <c r="I163" s="503">
        <v>1500</v>
      </c>
      <c r="J163" s="503"/>
      <c r="K163" s="503"/>
      <c r="L163" s="503">
        <f t="shared" si="9"/>
        <v>0</v>
      </c>
      <c r="M163" s="503">
        <f t="shared" si="10"/>
        <v>1500</v>
      </c>
      <c r="N163" s="503">
        <f t="shared" si="11"/>
        <v>0</v>
      </c>
      <c r="O163" s="503">
        <f t="shared" si="12"/>
        <v>1500</v>
      </c>
    </row>
    <row r="164" spans="1:15" ht="12.95" customHeight="1" x14ac:dyDescent="0.2">
      <c r="A164" s="464"/>
      <c r="B164" s="464"/>
      <c r="C164" s="464" t="s">
        <v>851</v>
      </c>
      <c r="D164" s="301" t="s">
        <v>335</v>
      </c>
      <c r="E164" s="466"/>
      <c r="F164" s="630"/>
      <c r="G164" s="503">
        <v>2000</v>
      </c>
      <c r="H164" s="503">
        <v>0</v>
      </c>
      <c r="I164" s="503">
        <v>2000</v>
      </c>
      <c r="J164" s="503"/>
      <c r="K164" s="503"/>
      <c r="L164" s="503">
        <f t="shared" si="9"/>
        <v>0</v>
      </c>
      <c r="M164" s="503">
        <f t="shared" si="10"/>
        <v>2000</v>
      </c>
      <c r="N164" s="503">
        <f t="shared" si="11"/>
        <v>0</v>
      </c>
      <c r="O164" s="503">
        <f t="shared" si="12"/>
        <v>2000</v>
      </c>
    </row>
    <row r="165" spans="1:15" ht="12.95" customHeight="1" x14ac:dyDescent="0.2">
      <c r="A165" s="464"/>
      <c r="B165" s="464"/>
      <c r="C165" s="464"/>
      <c r="D165" s="471" t="s">
        <v>1004</v>
      </c>
      <c r="E165" s="466"/>
      <c r="F165" s="630"/>
      <c r="G165" s="503"/>
      <c r="H165" s="503"/>
      <c r="I165" s="503"/>
      <c r="J165" s="503"/>
      <c r="K165" s="503"/>
      <c r="L165" s="503"/>
      <c r="M165" s="503"/>
      <c r="N165" s="503"/>
      <c r="O165" s="503"/>
    </row>
    <row r="166" spans="1:15" ht="12.95" customHeight="1" x14ac:dyDescent="0.2">
      <c r="A166" s="464"/>
      <c r="B166" s="464"/>
      <c r="C166" s="464" t="s">
        <v>521</v>
      </c>
      <c r="D166" s="589" t="s">
        <v>520</v>
      </c>
      <c r="E166" s="466"/>
      <c r="F166" s="630"/>
      <c r="G166" s="503">
        <v>292</v>
      </c>
      <c r="H166" s="503"/>
      <c r="I166" s="503">
        <v>292</v>
      </c>
      <c r="J166" s="503"/>
      <c r="K166" s="503"/>
      <c r="L166" s="503">
        <f t="shared" si="9"/>
        <v>0</v>
      </c>
      <c r="M166" s="503">
        <f t="shared" si="10"/>
        <v>292</v>
      </c>
      <c r="N166" s="503"/>
      <c r="O166" s="503">
        <f t="shared" si="12"/>
        <v>292</v>
      </c>
    </row>
    <row r="167" spans="1:15" ht="12.95" customHeight="1" x14ac:dyDescent="0.2">
      <c r="A167" s="464"/>
      <c r="B167" s="464"/>
      <c r="C167" s="292" t="s">
        <v>844</v>
      </c>
      <c r="D167" s="300" t="s">
        <v>760</v>
      </c>
      <c r="E167" s="486"/>
      <c r="F167" s="662"/>
      <c r="G167" s="503"/>
      <c r="H167" s="503"/>
      <c r="I167" s="503"/>
      <c r="J167" s="503"/>
      <c r="K167" s="503"/>
      <c r="L167" s="503"/>
      <c r="M167" s="503"/>
      <c r="N167" s="503"/>
      <c r="O167" s="503"/>
    </row>
    <row r="168" spans="1:15" ht="24.95" customHeight="1" x14ac:dyDescent="0.2">
      <c r="A168" s="464"/>
      <c r="B168" s="464"/>
      <c r="C168" s="464" t="s">
        <v>635</v>
      </c>
      <c r="D168" s="284" t="s">
        <v>336</v>
      </c>
      <c r="E168" s="442"/>
      <c r="F168" s="634"/>
      <c r="G168" s="503">
        <v>3000</v>
      </c>
      <c r="H168" s="503">
        <v>0</v>
      </c>
      <c r="I168" s="503">
        <v>3000</v>
      </c>
      <c r="J168" s="503"/>
      <c r="K168" s="503"/>
      <c r="L168" s="503">
        <f t="shared" si="9"/>
        <v>0</v>
      </c>
      <c r="M168" s="503">
        <f t="shared" si="10"/>
        <v>3000</v>
      </c>
      <c r="N168" s="503">
        <f t="shared" si="11"/>
        <v>0</v>
      </c>
      <c r="O168" s="503">
        <f t="shared" si="12"/>
        <v>3000</v>
      </c>
    </row>
    <row r="169" spans="1:15" ht="12.95" customHeight="1" x14ac:dyDescent="0.2">
      <c r="A169" s="464"/>
      <c r="B169" s="464"/>
      <c r="C169" s="464"/>
      <c r="D169" s="447" t="s">
        <v>1004</v>
      </c>
      <c r="E169" s="442"/>
      <c r="F169" s="634"/>
      <c r="G169" s="503">
        <v>0</v>
      </c>
      <c r="H169" s="503">
        <v>0</v>
      </c>
      <c r="I169" s="503">
        <v>0</v>
      </c>
      <c r="J169" s="503"/>
      <c r="K169" s="503"/>
      <c r="L169" s="503">
        <f t="shared" si="9"/>
        <v>0</v>
      </c>
      <c r="M169" s="503">
        <f t="shared" si="10"/>
        <v>0</v>
      </c>
      <c r="N169" s="503">
        <f t="shared" si="11"/>
        <v>0</v>
      </c>
      <c r="O169" s="503">
        <f t="shared" si="12"/>
        <v>0</v>
      </c>
    </row>
    <row r="170" spans="1:15" ht="12.95" customHeight="1" x14ac:dyDescent="0.2">
      <c r="A170" s="464"/>
      <c r="B170" s="464"/>
      <c r="C170" s="464" t="s">
        <v>1005</v>
      </c>
      <c r="D170" s="483" t="s">
        <v>636</v>
      </c>
      <c r="E170" s="442"/>
      <c r="F170" s="634"/>
      <c r="G170" s="503">
        <v>2000</v>
      </c>
      <c r="H170" s="503">
        <v>0</v>
      </c>
      <c r="I170" s="503">
        <v>2000</v>
      </c>
      <c r="J170" s="503"/>
      <c r="K170" s="503"/>
      <c r="L170" s="503">
        <f t="shared" si="9"/>
        <v>0</v>
      </c>
      <c r="M170" s="503">
        <f t="shared" si="10"/>
        <v>2000</v>
      </c>
      <c r="N170" s="503">
        <f t="shared" si="11"/>
        <v>0</v>
      </c>
      <c r="O170" s="503">
        <f t="shared" si="12"/>
        <v>2000</v>
      </c>
    </row>
    <row r="171" spans="1:15" ht="12.95" customHeight="1" x14ac:dyDescent="0.2">
      <c r="A171" s="464"/>
      <c r="B171" s="464"/>
      <c r="C171" s="292" t="s">
        <v>845</v>
      </c>
      <c r="D171" s="293" t="s">
        <v>761</v>
      </c>
      <c r="E171" s="486"/>
      <c r="F171" s="662"/>
      <c r="G171" s="503"/>
      <c r="H171" s="503"/>
      <c r="I171" s="503"/>
      <c r="J171" s="503"/>
      <c r="K171" s="503"/>
      <c r="L171" s="503"/>
      <c r="M171" s="503"/>
      <c r="N171" s="503"/>
      <c r="O171" s="503"/>
    </row>
    <row r="172" spans="1:15" ht="12.95" customHeight="1" x14ac:dyDescent="0.2">
      <c r="A172" s="464"/>
      <c r="B172" s="464"/>
      <c r="C172" s="298" t="s">
        <v>505</v>
      </c>
      <c r="D172" s="369" t="s">
        <v>522</v>
      </c>
      <c r="E172" s="486"/>
      <c r="F172" s="662"/>
      <c r="G172" s="503">
        <v>11000</v>
      </c>
      <c r="H172" s="503"/>
      <c r="I172" s="503">
        <v>11000</v>
      </c>
      <c r="J172" s="503"/>
      <c r="K172" s="503"/>
      <c r="L172" s="503">
        <f t="shared" si="9"/>
        <v>0</v>
      </c>
      <c r="M172" s="503">
        <f t="shared" si="10"/>
        <v>11000</v>
      </c>
      <c r="N172" s="503"/>
      <c r="O172" s="503">
        <f t="shared" si="12"/>
        <v>11000</v>
      </c>
    </row>
    <row r="173" spans="1:15" ht="12.95" customHeight="1" x14ac:dyDescent="0.2">
      <c r="A173" s="464"/>
      <c r="B173" s="464"/>
      <c r="C173" s="292" t="s">
        <v>899</v>
      </c>
      <c r="D173" s="293" t="s">
        <v>900</v>
      </c>
      <c r="E173" s="486"/>
      <c r="F173" s="662"/>
      <c r="G173" s="503"/>
      <c r="H173" s="503"/>
      <c r="I173" s="503"/>
      <c r="J173" s="503"/>
      <c r="K173" s="503"/>
      <c r="L173" s="503"/>
      <c r="M173" s="503"/>
      <c r="N173" s="503"/>
      <c r="O173" s="503"/>
    </row>
    <row r="174" spans="1:15" ht="12.95" customHeight="1" x14ac:dyDescent="0.2">
      <c r="A174" s="464"/>
      <c r="B174" s="464"/>
      <c r="C174" s="298" t="s">
        <v>901</v>
      </c>
      <c r="D174" s="352" t="s">
        <v>337</v>
      </c>
      <c r="E174" s="486"/>
      <c r="F174" s="662"/>
      <c r="G174" s="503">
        <v>0</v>
      </c>
      <c r="H174" s="503">
        <v>8000</v>
      </c>
      <c r="I174" s="503">
        <v>8000</v>
      </c>
      <c r="J174" s="503"/>
      <c r="K174" s="503"/>
      <c r="L174" s="503">
        <f t="shared" si="9"/>
        <v>0</v>
      </c>
      <c r="M174" s="503">
        <f t="shared" si="10"/>
        <v>0</v>
      </c>
      <c r="N174" s="503">
        <f t="shared" si="11"/>
        <v>8000</v>
      </c>
      <c r="O174" s="503">
        <f t="shared" si="12"/>
        <v>8000</v>
      </c>
    </row>
    <row r="175" spans="1:15" ht="12.95" customHeight="1" x14ac:dyDescent="0.2">
      <c r="A175" s="464"/>
      <c r="B175" s="464"/>
      <c r="C175" s="298" t="s">
        <v>902</v>
      </c>
      <c r="D175" s="488" t="s">
        <v>633</v>
      </c>
      <c r="E175" s="331"/>
      <c r="F175" s="630"/>
      <c r="G175" s="503">
        <v>2000</v>
      </c>
      <c r="H175" s="503">
        <v>0</v>
      </c>
      <c r="I175" s="503">
        <v>2000</v>
      </c>
      <c r="J175" s="503"/>
      <c r="K175" s="503"/>
      <c r="L175" s="503">
        <f t="shared" si="9"/>
        <v>0</v>
      </c>
      <c r="M175" s="503">
        <f t="shared" si="10"/>
        <v>2000</v>
      </c>
      <c r="N175" s="503">
        <f t="shared" si="11"/>
        <v>0</v>
      </c>
      <c r="O175" s="503">
        <f t="shared" si="12"/>
        <v>2000</v>
      </c>
    </row>
    <row r="176" spans="1:15" ht="12.95" customHeight="1" x14ac:dyDescent="0.2">
      <c r="A176" s="464"/>
      <c r="B176" s="464"/>
      <c r="C176" s="298" t="s">
        <v>903</v>
      </c>
      <c r="D176" s="483" t="s">
        <v>621</v>
      </c>
      <c r="E176" s="372"/>
      <c r="F176" s="663"/>
      <c r="G176" s="503">
        <v>2587</v>
      </c>
      <c r="H176" s="503">
        <v>0</v>
      </c>
      <c r="I176" s="503">
        <v>2587</v>
      </c>
      <c r="J176" s="503"/>
      <c r="K176" s="503"/>
      <c r="L176" s="503">
        <f t="shared" si="9"/>
        <v>0</v>
      </c>
      <c r="M176" s="503">
        <f t="shared" si="10"/>
        <v>2587</v>
      </c>
      <c r="N176" s="503">
        <f t="shared" si="11"/>
        <v>0</v>
      </c>
      <c r="O176" s="503">
        <f t="shared" si="12"/>
        <v>2587</v>
      </c>
    </row>
    <row r="177" spans="1:15" ht="12.95" customHeight="1" x14ac:dyDescent="0.2">
      <c r="A177" s="464"/>
      <c r="B177" s="464"/>
      <c r="C177" s="292"/>
      <c r="D177" s="471" t="s">
        <v>1004</v>
      </c>
      <c r="E177" s="486"/>
      <c r="F177" s="662"/>
      <c r="G177" s="503"/>
      <c r="H177" s="503"/>
      <c r="I177" s="503"/>
      <c r="J177" s="503"/>
      <c r="K177" s="503"/>
      <c r="L177" s="503"/>
      <c r="M177" s="503"/>
      <c r="N177" s="503"/>
      <c r="O177" s="503"/>
    </row>
    <row r="178" spans="1:15" ht="12.95" customHeight="1" x14ac:dyDescent="0.2">
      <c r="A178" s="464"/>
      <c r="B178" s="464"/>
      <c r="C178" s="298" t="s">
        <v>752</v>
      </c>
      <c r="D178" s="489" t="s">
        <v>926</v>
      </c>
      <c r="E178" s="486"/>
      <c r="F178" s="662"/>
      <c r="G178" s="503">
        <v>0</v>
      </c>
      <c r="H178" s="503">
        <v>412</v>
      </c>
      <c r="I178" s="503">
        <v>412</v>
      </c>
      <c r="J178" s="503"/>
      <c r="K178" s="503"/>
      <c r="L178" s="503">
        <f t="shared" si="9"/>
        <v>0</v>
      </c>
      <c r="M178" s="503">
        <f t="shared" si="10"/>
        <v>0</v>
      </c>
      <c r="N178" s="503">
        <f t="shared" si="11"/>
        <v>412</v>
      </c>
      <c r="O178" s="503">
        <f t="shared" si="12"/>
        <v>412</v>
      </c>
    </row>
    <row r="179" spans="1:15" ht="12.95" customHeight="1" x14ac:dyDescent="0.2">
      <c r="A179" s="484"/>
      <c r="B179" s="484"/>
      <c r="C179" s="490"/>
      <c r="D179" s="491" t="s">
        <v>660</v>
      </c>
      <c r="E179" s="492"/>
      <c r="F179" s="664"/>
      <c r="G179" s="493">
        <f>SUM(G161:G178)</f>
        <v>24379</v>
      </c>
      <c r="H179" s="493">
        <f t="shared" ref="H179:O179" si="14">SUM(H161:H178)</f>
        <v>8412</v>
      </c>
      <c r="I179" s="493">
        <f t="shared" si="14"/>
        <v>32791</v>
      </c>
      <c r="J179" s="493">
        <f t="shared" si="14"/>
        <v>0</v>
      </c>
      <c r="K179" s="493">
        <f t="shared" si="14"/>
        <v>0</v>
      </c>
      <c r="L179" s="493">
        <f t="shared" si="14"/>
        <v>0</v>
      </c>
      <c r="M179" s="493">
        <f t="shared" si="14"/>
        <v>24379</v>
      </c>
      <c r="N179" s="493">
        <f t="shared" si="14"/>
        <v>8412</v>
      </c>
      <c r="O179" s="493">
        <f t="shared" si="14"/>
        <v>32791</v>
      </c>
    </row>
    <row r="180" spans="1:15" ht="12.95" customHeight="1" x14ac:dyDescent="0.2">
      <c r="A180" s="457">
        <v>1</v>
      </c>
      <c r="B180" s="457">
        <v>17</v>
      </c>
      <c r="C180" s="494"/>
      <c r="D180" s="480" t="s">
        <v>911</v>
      </c>
      <c r="E180" s="495"/>
      <c r="F180" s="665"/>
      <c r="G180" s="496"/>
      <c r="H180" s="496"/>
      <c r="I180" s="496"/>
      <c r="J180" s="503"/>
      <c r="K180" s="503"/>
      <c r="L180" s="503"/>
      <c r="M180" s="503"/>
      <c r="N180" s="503"/>
      <c r="O180" s="503"/>
    </row>
    <row r="181" spans="1:15" ht="12.95" customHeight="1" x14ac:dyDescent="0.2">
      <c r="A181" s="457"/>
      <c r="B181" s="457"/>
      <c r="C181" s="494"/>
      <c r="D181" s="480" t="s">
        <v>338</v>
      </c>
      <c r="E181" s="495"/>
      <c r="F181" s="665"/>
      <c r="G181" s="496"/>
      <c r="H181" s="496"/>
      <c r="I181" s="496"/>
      <c r="J181" s="503"/>
      <c r="K181" s="503"/>
      <c r="L181" s="503"/>
      <c r="M181" s="503"/>
      <c r="N181" s="503"/>
      <c r="O181" s="503"/>
    </row>
    <row r="182" spans="1:15" ht="24.95" customHeight="1" x14ac:dyDescent="0.2">
      <c r="A182" s="457"/>
      <c r="B182" s="457"/>
      <c r="C182" s="497" t="s">
        <v>758</v>
      </c>
      <c r="D182" s="498" t="s">
        <v>753</v>
      </c>
      <c r="E182" s="499"/>
      <c r="F182" s="665"/>
      <c r="G182" s="503">
        <v>31564</v>
      </c>
      <c r="H182" s="503">
        <v>0</v>
      </c>
      <c r="I182" s="503">
        <v>31564</v>
      </c>
      <c r="J182" s="503"/>
      <c r="K182" s="503"/>
      <c r="L182" s="503">
        <f t="shared" si="9"/>
        <v>0</v>
      </c>
      <c r="M182" s="503">
        <f t="shared" si="10"/>
        <v>31564</v>
      </c>
      <c r="N182" s="503">
        <f t="shared" si="11"/>
        <v>0</v>
      </c>
      <c r="O182" s="503">
        <f t="shared" si="12"/>
        <v>31564</v>
      </c>
    </row>
    <row r="183" spans="1:15" ht="36" customHeight="1" x14ac:dyDescent="0.2">
      <c r="A183" s="457"/>
      <c r="B183" s="457"/>
      <c r="C183" s="497" t="s">
        <v>839</v>
      </c>
      <c r="D183" s="498" t="s">
        <v>754</v>
      </c>
      <c r="E183" s="499"/>
      <c r="F183" s="665"/>
      <c r="G183" s="503">
        <v>0</v>
      </c>
      <c r="H183" s="503">
        <v>11131</v>
      </c>
      <c r="I183" s="503">
        <v>11131</v>
      </c>
      <c r="J183" s="503"/>
      <c r="K183" s="503"/>
      <c r="L183" s="503">
        <f t="shared" si="9"/>
        <v>0</v>
      </c>
      <c r="M183" s="503">
        <f t="shared" si="10"/>
        <v>0</v>
      </c>
      <c r="N183" s="503">
        <f t="shared" si="11"/>
        <v>11131</v>
      </c>
      <c r="O183" s="503">
        <f t="shared" si="12"/>
        <v>11131</v>
      </c>
    </row>
    <row r="184" spans="1:15" ht="24.95" customHeight="1" x14ac:dyDescent="0.2">
      <c r="A184" s="457"/>
      <c r="B184" s="457"/>
      <c r="C184" s="497" t="s">
        <v>841</v>
      </c>
      <c r="D184" s="498" t="s">
        <v>937</v>
      </c>
      <c r="E184" s="499"/>
      <c r="F184" s="665"/>
      <c r="G184" s="503"/>
      <c r="H184" s="503">
        <v>13970</v>
      </c>
      <c r="I184" s="503">
        <v>13970</v>
      </c>
      <c r="J184" s="503"/>
      <c r="K184" s="503"/>
      <c r="L184" s="503">
        <f t="shared" si="9"/>
        <v>0</v>
      </c>
      <c r="M184" s="503"/>
      <c r="N184" s="503">
        <f t="shared" si="11"/>
        <v>13970</v>
      </c>
      <c r="O184" s="503">
        <f t="shared" si="12"/>
        <v>13970</v>
      </c>
    </row>
    <row r="185" spans="1:15" ht="12.95" customHeight="1" x14ac:dyDescent="0.2">
      <c r="A185" s="484"/>
      <c r="B185" s="484"/>
      <c r="C185" s="490"/>
      <c r="D185" s="491" t="s">
        <v>645</v>
      </c>
      <c r="E185" s="492"/>
      <c r="F185" s="664"/>
      <c r="G185" s="493">
        <f>SUM(G182:G184)</f>
        <v>31564</v>
      </c>
      <c r="H185" s="493">
        <f t="shared" ref="H185:O185" si="15">SUM(H182:H184)</f>
        <v>25101</v>
      </c>
      <c r="I185" s="493">
        <f t="shared" si="15"/>
        <v>56665</v>
      </c>
      <c r="J185" s="493">
        <f t="shared" si="15"/>
        <v>0</v>
      </c>
      <c r="K185" s="493">
        <f t="shared" si="15"/>
        <v>0</v>
      </c>
      <c r="L185" s="493">
        <f t="shared" si="15"/>
        <v>0</v>
      </c>
      <c r="M185" s="493">
        <f t="shared" si="15"/>
        <v>31564</v>
      </c>
      <c r="N185" s="493">
        <f t="shared" si="15"/>
        <v>25101</v>
      </c>
      <c r="O185" s="493">
        <f t="shared" si="15"/>
        <v>56665</v>
      </c>
    </row>
    <row r="186" spans="1:15" ht="12.95" customHeight="1" x14ac:dyDescent="0.2">
      <c r="A186" s="457">
        <v>1</v>
      </c>
      <c r="B186" s="457">
        <v>19</v>
      </c>
      <c r="C186" s="494"/>
      <c r="D186" s="500" t="s">
        <v>912</v>
      </c>
      <c r="E186" s="495"/>
      <c r="F186" s="665"/>
      <c r="G186" s="503"/>
      <c r="H186" s="503"/>
      <c r="I186" s="503"/>
      <c r="J186" s="503"/>
      <c r="K186" s="503"/>
      <c r="L186" s="503"/>
      <c r="M186" s="503"/>
      <c r="N186" s="503"/>
      <c r="O186" s="503"/>
    </row>
    <row r="187" spans="1:15" ht="12.95" customHeight="1" x14ac:dyDescent="0.2">
      <c r="A187" s="457"/>
      <c r="B187" s="457"/>
      <c r="C187" s="494"/>
      <c r="D187" s="471" t="s">
        <v>1004</v>
      </c>
      <c r="E187" s="495"/>
      <c r="F187" s="665"/>
      <c r="G187" s="503"/>
      <c r="H187" s="503"/>
      <c r="I187" s="503"/>
      <c r="J187" s="503"/>
      <c r="K187" s="503"/>
      <c r="L187" s="503"/>
      <c r="M187" s="503"/>
      <c r="N187" s="503"/>
      <c r="O187" s="503"/>
    </row>
    <row r="188" spans="1:15" ht="12.95" customHeight="1" x14ac:dyDescent="0.2">
      <c r="A188" s="457"/>
      <c r="B188" s="457"/>
      <c r="C188" s="497" t="s">
        <v>697</v>
      </c>
      <c r="D188" s="501" t="s">
        <v>637</v>
      </c>
      <c r="E188" s="495"/>
      <c r="F188" s="665"/>
      <c r="G188" s="503">
        <v>0</v>
      </c>
      <c r="H188" s="503">
        <v>2000</v>
      </c>
      <c r="I188" s="503">
        <v>2000</v>
      </c>
      <c r="J188" s="503"/>
      <c r="K188" s="503"/>
      <c r="L188" s="503">
        <f t="shared" si="9"/>
        <v>0</v>
      </c>
      <c r="M188" s="503">
        <f t="shared" si="10"/>
        <v>0</v>
      </c>
      <c r="N188" s="503">
        <f t="shared" si="11"/>
        <v>2000</v>
      </c>
      <c r="O188" s="503">
        <f t="shared" si="12"/>
        <v>2000</v>
      </c>
    </row>
    <row r="189" spans="1:15" ht="12.95" customHeight="1" x14ac:dyDescent="0.2">
      <c r="A189" s="484"/>
      <c r="B189" s="484"/>
      <c r="C189" s="490"/>
      <c r="D189" s="491" t="s">
        <v>913</v>
      </c>
      <c r="E189" s="492"/>
      <c r="F189" s="664"/>
      <c r="G189" s="493">
        <f>SUM(G187:G188)</f>
        <v>0</v>
      </c>
      <c r="H189" s="493">
        <f t="shared" ref="H189:O189" si="16">SUM(H187:H188)</f>
        <v>2000</v>
      </c>
      <c r="I189" s="493">
        <f t="shared" si="16"/>
        <v>2000</v>
      </c>
      <c r="J189" s="493">
        <f t="shared" si="16"/>
        <v>0</v>
      </c>
      <c r="K189" s="493">
        <f t="shared" si="16"/>
        <v>0</v>
      </c>
      <c r="L189" s="493">
        <f t="shared" si="16"/>
        <v>0</v>
      </c>
      <c r="M189" s="493">
        <f t="shared" si="16"/>
        <v>0</v>
      </c>
      <c r="N189" s="493">
        <f t="shared" si="16"/>
        <v>2000</v>
      </c>
      <c r="O189" s="493">
        <f t="shared" si="16"/>
        <v>2000</v>
      </c>
    </row>
    <row r="190" spans="1:15" ht="12.95" customHeight="1" x14ac:dyDescent="0.2">
      <c r="A190" s="424">
        <v>1</v>
      </c>
      <c r="B190" s="424">
        <v>30</v>
      </c>
      <c r="C190" s="424"/>
      <c r="D190" s="425" t="s">
        <v>648</v>
      </c>
      <c r="E190" s="502"/>
      <c r="F190" s="666"/>
      <c r="G190" s="503"/>
      <c r="H190" s="503"/>
      <c r="I190" s="503"/>
      <c r="J190" s="503"/>
      <c r="K190" s="503"/>
      <c r="L190" s="503"/>
      <c r="M190" s="503"/>
      <c r="N190" s="503"/>
      <c r="O190" s="503"/>
    </row>
    <row r="191" spans="1:15" ht="12.95" customHeight="1" x14ac:dyDescent="0.2">
      <c r="A191" s="424"/>
      <c r="B191" s="424"/>
      <c r="C191" s="424" t="s">
        <v>758</v>
      </c>
      <c r="D191" s="504" t="s">
        <v>809</v>
      </c>
      <c r="E191" s="505"/>
      <c r="F191" s="666"/>
      <c r="G191" s="503">
        <v>10000</v>
      </c>
      <c r="H191" s="503"/>
      <c r="I191" s="503">
        <v>10000</v>
      </c>
      <c r="J191" s="503"/>
      <c r="K191" s="503"/>
      <c r="L191" s="503">
        <f t="shared" si="9"/>
        <v>0</v>
      </c>
      <c r="M191" s="503">
        <f t="shared" si="10"/>
        <v>10000</v>
      </c>
      <c r="N191" s="503">
        <f t="shared" si="11"/>
        <v>0</v>
      </c>
      <c r="O191" s="503">
        <f t="shared" si="12"/>
        <v>10000</v>
      </c>
    </row>
    <row r="192" spans="1:15" ht="12.95" customHeight="1" x14ac:dyDescent="0.2">
      <c r="A192" s="506"/>
      <c r="B192" s="506"/>
      <c r="C192" s="506"/>
      <c r="D192" s="507" t="s">
        <v>649</v>
      </c>
      <c r="E192" s="508"/>
      <c r="F192" s="667"/>
      <c r="G192" s="509">
        <f>SUM(G191:G191)</f>
        <v>10000</v>
      </c>
      <c r="H192" s="509">
        <f>SUM(H191:H191)</f>
        <v>0</v>
      </c>
      <c r="I192" s="509">
        <f>SUM(I191:I191)</f>
        <v>10000</v>
      </c>
      <c r="J192" s="668"/>
      <c r="K192" s="668"/>
      <c r="L192" s="668">
        <f t="shared" si="9"/>
        <v>0</v>
      </c>
      <c r="M192" s="668">
        <f t="shared" si="10"/>
        <v>10000</v>
      </c>
      <c r="N192" s="668">
        <f t="shared" si="11"/>
        <v>0</v>
      </c>
      <c r="O192" s="668">
        <f t="shared" si="12"/>
        <v>10000</v>
      </c>
    </row>
    <row r="193" spans="1:15" ht="12.95" customHeight="1" x14ac:dyDescent="0.2">
      <c r="A193" s="506"/>
      <c r="B193" s="506"/>
      <c r="C193" s="506"/>
      <c r="D193" s="395" t="s">
        <v>609</v>
      </c>
      <c r="E193" s="508"/>
      <c r="F193" s="667"/>
      <c r="G193" s="509">
        <f>SUM(G48+G159+G179+G185+G189+G192)</f>
        <v>669250</v>
      </c>
      <c r="H193" s="509">
        <f>SUM(H48+H159+H179+H185+H189+H192)</f>
        <v>64313</v>
      </c>
      <c r="I193" s="509">
        <f>SUM(G193:H193)</f>
        <v>733563</v>
      </c>
      <c r="J193" s="509">
        <f>SUM(J48+J159+J179+J185+J189+J192)</f>
        <v>-19219</v>
      </c>
      <c r="K193" s="509">
        <f>SUM(K48+K159+K179+K185+K189+K192)</f>
        <v>17000</v>
      </c>
      <c r="L193" s="509">
        <f>SUM(J193:K193)</f>
        <v>-2219</v>
      </c>
      <c r="M193" s="509">
        <f>SUM(M48+M159+M179+M185+M189+M192)</f>
        <v>650031</v>
      </c>
      <c r="N193" s="509">
        <f>SUM(N48+N159+N179+N185+N189+N192)</f>
        <v>81313</v>
      </c>
      <c r="O193" s="509">
        <f>SUM(M193:N193)</f>
        <v>731344</v>
      </c>
    </row>
    <row r="194" spans="1:15" ht="12.95" customHeight="1" x14ac:dyDescent="0.2">
      <c r="A194" s="510">
        <v>2</v>
      </c>
      <c r="B194" s="511"/>
      <c r="C194" s="511"/>
      <c r="D194" s="228" t="s">
        <v>681</v>
      </c>
      <c r="E194" s="512"/>
      <c r="F194" s="669"/>
      <c r="G194" s="513">
        <v>69755</v>
      </c>
      <c r="H194" s="513"/>
      <c r="I194" s="513">
        <f>SUM(G194:H194)</f>
        <v>69755</v>
      </c>
      <c r="J194" s="503">
        <f>táj.2.!I20</f>
        <v>7528</v>
      </c>
      <c r="K194" s="503"/>
      <c r="L194" s="503">
        <f t="shared" si="9"/>
        <v>7528</v>
      </c>
      <c r="M194" s="503">
        <f t="shared" si="10"/>
        <v>77283</v>
      </c>
      <c r="N194" s="503">
        <f t="shared" si="11"/>
        <v>0</v>
      </c>
      <c r="O194" s="503">
        <f t="shared" si="12"/>
        <v>77283</v>
      </c>
    </row>
    <row r="195" spans="1:15" ht="12.95" customHeight="1" x14ac:dyDescent="0.2">
      <c r="A195" s="514"/>
      <c r="B195" s="514"/>
      <c r="C195" s="514"/>
      <c r="D195" s="507" t="s">
        <v>651</v>
      </c>
      <c r="E195" s="508"/>
      <c r="F195" s="667"/>
      <c r="G195" s="509">
        <f>SUM(G193+G194)</f>
        <v>739005</v>
      </c>
      <c r="H195" s="509">
        <f>SUM(H193+H194)</f>
        <v>64313</v>
      </c>
      <c r="I195" s="509">
        <f>SUM(G195:H195)</f>
        <v>803318</v>
      </c>
      <c r="J195" s="509">
        <f>SUM(J193:J194)</f>
        <v>-11691</v>
      </c>
      <c r="K195" s="509">
        <f>SUM(K193:K194)</f>
        <v>17000</v>
      </c>
      <c r="L195" s="509">
        <f t="shared" si="9"/>
        <v>5309</v>
      </c>
      <c r="M195" s="509">
        <f>SUM(G195+J195)</f>
        <v>727314</v>
      </c>
      <c r="N195" s="509">
        <f>SUM(H195+K195)</f>
        <v>81313</v>
      </c>
      <c r="O195" s="509">
        <f t="shared" si="12"/>
        <v>808627</v>
      </c>
    </row>
    <row r="196" spans="1:15" ht="14.1" customHeight="1" x14ac:dyDescent="0.2">
      <c r="A196" s="401" t="s">
        <v>638</v>
      </c>
      <c r="B196" s="401"/>
      <c r="C196" s="401"/>
      <c r="D196" s="401"/>
      <c r="E196" s="401"/>
      <c r="F196" s="401"/>
      <c r="G196" s="401"/>
      <c r="H196" s="401"/>
      <c r="I196" s="401"/>
      <c r="L196" s="653"/>
    </row>
    <row r="197" spans="1:15" ht="14.1" customHeight="1" x14ac:dyDescent="0.2">
      <c r="A197" s="515"/>
      <c r="B197" s="515"/>
      <c r="C197" s="515"/>
      <c r="D197" s="516"/>
      <c r="E197" s="516"/>
      <c r="F197" s="516"/>
      <c r="G197" s="517"/>
      <c r="H197" s="518"/>
      <c r="I197" s="518"/>
    </row>
    <row r="198" spans="1:15" x14ac:dyDescent="0.2">
      <c r="A198" s="519"/>
      <c r="B198" s="520"/>
      <c r="C198" s="520"/>
    </row>
    <row r="199" spans="1:15" x14ac:dyDescent="0.2">
      <c r="A199" s="520"/>
      <c r="B199" s="520"/>
      <c r="C199" s="520"/>
    </row>
    <row r="200" spans="1:15" x14ac:dyDescent="0.2">
      <c r="A200" s="520"/>
      <c r="B200" s="520"/>
      <c r="C200" s="520"/>
    </row>
  </sheetData>
  <sheetProtection selectLockedCells="1" selectUnlockedCells="1"/>
  <mergeCells count="5">
    <mergeCell ref="M1:O1"/>
    <mergeCell ref="D34:E34"/>
    <mergeCell ref="G1:I1"/>
    <mergeCell ref="J1:L1"/>
    <mergeCell ref="F1:F2"/>
  </mergeCells>
  <phoneticPr fontId="63" type="noConversion"/>
  <printOptions horizontalCentered="1" verticalCentered="1"/>
  <pageMargins left="3.9583333333333331E-2" right="3.9583333333333331E-2" top="0.82708333333333328" bottom="0.39374999999999999" header="0.31527777777777777" footer="0.2361111111111111"/>
  <pageSetup paperSize="9" scale="86" firstPageNumber="0" orientation="landscape" horizontalDpi="300" verticalDpi="300" r:id="rId1"/>
  <headerFooter alignWithMargins="0">
    <oddHeader>&amp;C&amp;"Times New Roman,Félkövér dőlt"Zalaegerszeg Megyei Jogú Város Önkormányzatának
2014. évi  felújítási kiadásai célonként&amp;R&amp;"Times New Roman,Félkövér dőlt"8.  melléklet
Adatok  ezer Ft-ban</oddHeader>
    <oddFooter>&amp;C&amp;P.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C1" zoomScaleNormal="120" workbookViewId="0">
      <selection activeCell="P1" sqref="P1:Q65536"/>
    </sheetView>
  </sheetViews>
  <sheetFormatPr defaultRowHeight="12.75" x14ac:dyDescent="0.2"/>
  <cols>
    <col min="1" max="1" width="3" style="56" customWidth="1"/>
    <col min="2" max="2" width="35" style="53" customWidth="1"/>
    <col min="3" max="4" width="11.33203125" style="53" customWidth="1"/>
    <col min="5" max="6" width="11.83203125" style="53" customWidth="1"/>
    <col min="7" max="7" width="10.5" style="53" customWidth="1"/>
    <col min="8" max="8" width="12" style="53" customWidth="1"/>
    <col min="9" max="9" width="11.5" style="53" customWidth="1"/>
    <col min="10" max="10" width="11.6640625" style="53" customWidth="1"/>
    <col min="11" max="11" width="11.33203125" style="53" customWidth="1"/>
    <col min="12" max="12" width="12.83203125" style="53" customWidth="1"/>
    <col min="13" max="13" width="13.1640625" style="53" customWidth="1"/>
    <col min="14" max="14" width="9.5" style="53" customWidth="1"/>
    <col min="15" max="15" width="13.1640625" style="53" customWidth="1"/>
    <col min="16" max="16384" width="9.33203125" style="53"/>
  </cols>
  <sheetData>
    <row r="1" spans="1:15" ht="14.25" customHeight="1" x14ac:dyDescent="0.2">
      <c r="A1" s="739" t="s">
        <v>965</v>
      </c>
      <c r="B1" s="739" t="s">
        <v>685</v>
      </c>
      <c r="C1" s="743" t="s">
        <v>971</v>
      </c>
      <c r="D1" s="743" t="s">
        <v>434</v>
      </c>
      <c r="E1" s="739" t="s">
        <v>972</v>
      </c>
      <c r="F1" s="741"/>
      <c r="G1" s="741"/>
      <c r="H1" s="741"/>
      <c r="I1" s="741"/>
      <c r="J1" s="741"/>
      <c r="K1" s="741"/>
      <c r="L1" s="742" t="s">
        <v>973</v>
      </c>
      <c r="M1" s="741"/>
      <c r="N1" s="741"/>
      <c r="O1" s="739" t="s">
        <v>974</v>
      </c>
    </row>
    <row r="2" spans="1:15" ht="81.75" customHeight="1" x14ac:dyDescent="0.2">
      <c r="A2" s="740"/>
      <c r="B2" s="740"/>
      <c r="C2" s="744"/>
      <c r="D2" s="744"/>
      <c r="E2" s="217" t="s">
        <v>975</v>
      </c>
      <c r="F2" s="217" t="s">
        <v>976</v>
      </c>
      <c r="G2" s="217" t="s">
        <v>464</v>
      </c>
      <c r="H2" s="217" t="s">
        <v>977</v>
      </c>
      <c r="I2" s="217" t="s">
        <v>682</v>
      </c>
      <c r="J2" s="217" t="s">
        <v>978</v>
      </c>
      <c r="K2" s="217" t="s">
        <v>979</v>
      </c>
      <c r="L2" s="217" t="s">
        <v>980</v>
      </c>
      <c r="M2" s="217" t="s">
        <v>981</v>
      </c>
      <c r="N2" s="217" t="s">
        <v>982</v>
      </c>
      <c r="O2" s="739"/>
    </row>
    <row r="3" spans="1:15" ht="15" customHeight="1" x14ac:dyDescent="0.2">
      <c r="A3" s="216">
        <v>2</v>
      </c>
      <c r="B3" s="152" t="s">
        <v>909</v>
      </c>
      <c r="C3" s="153">
        <v>1237075</v>
      </c>
      <c r="D3" s="153">
        <f>61764+táj.1.!M3</f>
        <v>69399</v>
      </c>
      <c r="E3" s="218">
        <f>12604+táj.1.!C3</f>
        <v>20110</v>
      </c>
      <c r="F3" s="218">
        <f>0+táj.1.!D3</f>
        <v>0</v>
      </c>
      <c r="G3" s="218">
        <f>0+táj.1.!E3</f>
        <v>0</v>
      </c>
      <c r="H3" s="606">
        <f>12400+táj.1.!F3</f>
        <v>12400</v>
      </c>
      <c r="I3" s="606">
        <f>0+táj.1.!G3</f>
        <v>0</v>
      </c>
      <c r="J3" s="606">
        <f>0+táj.1.!H3</f>
        <v>0</v>
      </c>
      <c r="K3" s="606">
        <f>0+táj.1.!I3</f>
        <v>0</v>
      </c>
      <c r="L3" s="606">
        <f>146474+táj.1.!J3</f>
        <v>146474</v>
      </c>
      <c r="M3" s="606">
        <f>1127361+táj.1.!K3</f>
        <v>1127490</v>
      </c>
      <c r="N3" s="606">
        <f>0+táj.1.!L3</f>
        <v>0</v>
      </c>
      <c r="O3" s="606">
        <f t="shared" ref="O3:O19" si="0">SUM(E3:N3)</f>
        <v>1306474</v>
      </c>
    </row>
    <row r="4" spans="1:15" s="54" customFormat="1" ht="28.5" customHeight="1" x14ac:dyDescent="0.2">
      <c r="A4" s="216">
        <v>3</v>
      </c>
      <c r="B4" s="152" t="s">
        <v>955</v>
      </c>
      <c r="C4" s="153">
        <v>1361767</v>
      </c>
      <c r="D4" s="153">
        <f>19713+táj.1.!M4</f>
        <v>23035</v>
      </c>
      <c r="E4" s="218">
        <f>3000+táj.1.!C4</f>
        <v>3000</v>
      </c>
      <c r="F4" s="218">
        <f>7000+táj.1.!D4</f>
        <v>9000</v>
      </c>
      <c r="G4" s="218">
        <f>0+táj.1.!E4</f>
        <v>0</v>
      </c>
      <c r="H4" s="606">
        <f>401358+táj.1.!F4</f>
        <v>401358</v>
      </c>
      <c r="I4" s="606">
        <f>0+táj.1.!G4</f>
        <v>0</v>
      </c>
      <c r="J4" s="606">
        <f>0+táj.1.!H4</f>
        <v>0</v>
      </c>
      <c r="K4" s="606">
        <f>0+táj.1.!I4</f>
        <v>0</v>
      </c>
      <c r="L4" s="606">
        <f>41560+táj.1.!J4</f>
        <v>41560</v>
      </c>
      <c r="M4" s="606">
        <f>928562+táj.1.!K4</f>
        <v>929884</v>
      </c>
      <c r="N4" s="606">
        <f>0+táj.1.!L4</f>
        <v>0</v>
      </c>
      <c r="O4" s="606">
        <f t="shared" si="0"/>
        <v>1384802</v>
      </c>
    </row>
    <row r="5" spans="1:15" s="54" customFormat="1" ht="19.5" customHeight="1" x14ac:dyDescent="0.2">
      <c r="A5" s="216">
        <v>4</v>
      </c>
      <c r="B5" s="152" t="s">
        <v>956</v>
      </c>
      <c r="C5" s="153">
        <v>362804</v>
      </c>
      <c r="D5" s="153">
        <f>13419+táj.1.!M5</f>
        <v>29003</v>
      </c>
      <c r="E5" s="218">
        <f>8591+táj.1.!C5</f>
        <v>8591</v>
      </c>
      <c r="F5" s="218">
        <f>182+táj.1.!D5</f>
        <v>15182</v>
      </c>
      <c r="G5" s="218">
        <f>0+táj.1.!E5</f>
        <v>0</v>
      </c>
      <c r="H5" s="606">
        <f>105176+táj.1.!F5</f>
        <v>105176</v>
      </c>
      <c r="I5" s="606">
        <f>0+táj.1.!G5</f>
        <v>0</v>
      </c>
      <c r="J5" s="606">
        <f>0+táj.1.!H5</f>
        <v>0</v>
      </c>
      <c r="K5" s="606">
        <f>0+táj.1.!I5</f>
        <v>0</v>
      </c>
      <c r="L5" s="606">
        <f>859+táj.1.!J5</f>
        <v>859</v>
      </c>
      <c r="M5" s="606">
        <f>261415+táj.1.!K5</f>
        <v>261999</v>
      </c>
      <c r="N5" s="606">
        <f>0+táj.1.!L5</f>
        <v>0</v>
      </c>
      <c r="O5" s="606">
        <f t="shared" si="0"/>
        <v>391807</v>
      </c>
    </row>
    <row r="6" spans="1:15" s="54" customFormat="1" ht="32.25" customHeight="1" x14ac:dyDescent="0.2">
      <c r="A6" s="216">
        <v>5</v>
      </c>
      <c r="B6" s="204" t="s">
        <v>957</v>
      </c>
      <c r="C6" s="128">
        <v>316218</v>
      </c>
      <c r="D6" s="153">
        <f>93339+táj.1.!M6</f>
        <v>94038</v>
      </c>
      <c r="E6" s="218">
        <f>289942+táj.1.!C6</f>
        <v>289942</v>
      </c>
      <c r="F6" s="218">
        <f>0+táj.1.!D6</f>
        <v>0</v>
      </c>
      <c r="G6" s="218">
        <f>0+táj.1.!E6</f>
        <v>0</v>
      </c>
      <c r="H6" s="606">
        <f>2000+táj.1.!F6</f>
        <v>2000</v>
      </c>
      <c r="I6" s="606">
        <f>0+táj.1.!G6</f>
        <v>0</v>
      </c>
      <c r="J6" s="606">
        <f>0+táj.1.!H6</f>
        <v>0</v>
      </c>
      <c r="K6" s="606">
        <f>0+táj.1.!I6</f>
        <v>0</v>
      </c>
      <c r="L6" s="606">
        <f>57550+táj.1.!J6</f>
        <v>57550</v>
      </c>
      <c r="M6" s="606">
        <f>60065+táj.1.!K6</f>
        <v>60764</v>
      </c>
      <c r="N6" s="606">
        <f>0+táj.1.!L6</f>
        <v>0</v>
      </c>
      <c r="O6" s="606">
        <f t="shared" si="0"/>
        <v>410256</v>
      </c>
    </row>
    <row r="7" spans="1:15" s="54" customFormat="1" ht="25.5" x14ac:dyDescent="0.2">
      <c r="A7" s="216">
        <v>6</v>
      </c>
      <c r="B7" s="204" t="s">
        <v>958</v>
      </c>
      <c r="C7" s="128">
        <v>310239</v>
      </c>
      <c r="D7" s="153">
        <f>999+táj.1.!M7</f>
        <v>1437</v>
      </c>
      <c r="E7" s="218">
        <f>1117+táj.1.!C7</f>
        <v>1117</v>
      </c>
      <c r="F7" s="218">
        <f>0+táj.1.!D7</f>
        <v>0</v>
      </c>
      <c r="G7" s="218">
        <f>0+táj.1.!E7</f>
        <v>0</v>
      </c>
      <c r="H7" s="606">
        <f>36430+táj.1.!F7</f>
        <v>36430</v>
      </c>
      <c r="I7" s="606">
        <f>0+táj.1.!G7</f>
        <v>0</v>
      </c>
      <c r="J7" s="606">
        <f>0+táj.1.!H7</f>
        <v>0</v>
      </c>
      <c r="K7" s="606">
        <f>0+táj.1.!I7</f>
        <v>0</v>
      </c>
      <c r="L7" s="606">
        <f>870+táj.1.!J7</f>
        <v>870</v>
      </c>
      <c r="M7" s="606">
        <f>272821+táj.1.!K7</f>
        <v>273259</v>
      </c>
      <c r="N7" s="606">
        <f>0+táj.1.!L7</f>
        <v>0</v>
      </c>
      <c r="O7" s="606">
        <f t="shared" si="0"/>
        <v>311676</v>
      </c>
    </row>
    <row r="8" spans="1:15" s="54" customFormat="1" ht="26.25" customHeight="1" x14ac:dyDescent="0.2">
      <c r="A8" s="216">
        <v>7</v>
      </c>
      <c r="B8" s="204" t="s">
        <v>959</v>
      </c>
      <c r="C8" s="128">
        <v>288134</v>
      </c>
      <c r="D8" s="153">
        <f>1345+táj.1.!M8</f>
        <v>1681</v>
      </c>
      <c r="E8" s="218">
        <f>2028+táj.1.!C8</f>
        <v>2028</v>
      </c>
      <c r="F8" s="218">
        <f>0+táj.1.!D8</f>
        <v>0</v>
      </c>
      <c r="G8" s="218">
        <f>0+táj.1.!E8</f>
        <v>0</v>
      </c>
      <c r="H8" s="606">
        <f>30919+táj.1.!F8</f>
        <v>30919</v>
      </c>
      <c r="I8" s="606">
        <f>0+táj.1.!G8</f>
        <v>0</v>
      </c>
      <c r="J8" s="606">
        <f>0+táj.1.!H8</f>
        <v>0</v>
      </c>
      <c r="K8" s="606">
        <f>0+táj.1.!I8</f>
        <v>0</v>
      </c>
      <c r="L8" s="606">
        <f>1584+táj.1.!J8</f>
        <v>1584</v>
      </c>
      <c r="M8" s="606">
        <f>254948+táj.1.!K8</f>
        <v>255284</v>
      </c>
      <c r="N8" s="606">
        <f>0+táj.1.!L8</f>
        <v>0</v>
      </c>
      <c r="O8" s="606">
        <f t="shared" si="0"/>
        <v>289815</v>
      </c>
    </row>
    <row r="9" spans="1:15" s="54" customFormat="1" ht="15" customHeight="1" x14ac:dyDescent="0.2">
      <c r="A9" s="216">
        <v>8</v>
      </c>
      <c r="B9" s="204" t="s">
        <v>960</v>
      </c>
      <c r="C9" s="128">
        <v>283986</v>
      </c>
      <c r="D9" s="153">
        <f>1174+táj.1.!M9</f>
        <v>1537</v>
      </c>
      <c r="E9" s="218">
        <f>200+táj.1.!C9</f>
        <v>200</v>
      </c>
      <c r="F9" s="218">
        <f>0+táj.1.!D9</f>
        <v>0</v>
      </c>
      <c r="G9" s="218">
        <f>0+táj.1.!E9</f>
        <v>0</v>
      </c>
      <c r="H9" s="606">
        <f>27198+táj.1.!F9</f>
        <v>27198</v>
      </c>
      <c r="I9" s="606">
        <f>0+táj.1.!G9</f>
        <v>0</v>
      </c>
      <c r="J9" s="606">
        <f>0+táj.1.!H9</f>
        <v>0</v>
      </c>
      <c r="K9" s="606">
        <f>0+táj.1.!I9</f>
        <v>0</v>
      </c>
      <c r="L9" s="606">
        <f>757+táj.1.!J9</f>
        <v>757</v>
      </c>
      <c r="M9" s="606">
        <f>257005+táj.1.!K9</f>
        <v>257368</v>
      </c>
      <c r="N9" s="606">
        <f>0+táj.1.!L9</f>
        <v>0</v>
      </c>
      <c r="O9" s="606">
        <f t="shared" si="0"/>
        <v>285523</v>
      </c>
    </row>
    <row r="10" spans="1:15" s="54" customFormat="1" ht="19.5" customHeight="1" x14ac:dyDescent="0.2">
      <c r="A10" s="216">
        <v>9</v>
      </c>
      <c r="B10" s="204" t="s">
        <v>961</v>
      </c>
      <c r="C10" s="128">
        <v>287762</v>
      </c>
      <c r="D10" s="153">
        <f>613+táj.1.!M10</f>
        <v>984</v>
      </c>
      <c r="E10" s="218">
        <f>2369+táj.1.!C10</f>
        <v>2369</v>
      </c>
      <c r="F10" s="218">
        <f>0+táj.1.!D10</f>
        <v>0</v>
      </c>
      <c r="G10" s="218">
        <f>0+táj.1.!E10</f>
        <v>0</v>
      </c>
      <c r="H10" s="606">
        <f>24540+táj.1.!F10</f>
        <v>24540</v>
      </c>
      <c r="I10" s="606">
        <f>0+táj.1.!G10</f>
        <v>0</v>
      </c>
      <c r="J10" s="606">
        <f>0+táj.1.!H10</f>
        <v>0</v>
      </c>
      <c r="K10" s="606">
        <f>0+táj.1.!I10</f>
        <v>0</v>
      </c>
      <c r="L10" s="606">
        <f>519+táj.1.!J10</f>
        <v>519</v>
      </c>
      <c r="M10" s="606">
        <f>260947+táj.1.!K10</f>
        <v>261318</v>
      </c>
      <c r="N10" s="606">
        <f>0+táj.1.!L10</f>
        <v>0</v>
      </c>
      <c r="O10" s="606">
        <f t="shared" si="0"/>
        <v>288746</v>
      </c>
    </row>
    <row r="11" spans="1:15" s="54" customFormat="1" ht="27" customHeight="1" x14ac:dyDescent="0.2">
      <c r="A11" s="216">
        <v>10</v>
      </c>
      <c r="B11" s="204" t="s">
        <v>962</v>
      </c>
      <c r="C11" s="126">
        <v>112025</v>
      </c>
      <c r="D11" s="153">
        <f>22332+táj.1.!M11</f>
        <v>26944</v>
      </c>
      <c r="E11" s="218">
        <f>24481+táj.1.!C11</f>
        <v>25481</v>
      </c>
      <c r="F11" s="218">
        <f>500+táj.1.!D11</f>
        <v>500</v>
      </c>
      <c r="G11" s="218">
        <f>0+táj.1.!E11</f>
        <v>0</v>
      </c>
      <c r="H11" s="606">
        <f>15700+táj.1.!F11</f>
        <v>18610</v>
      </c>
      <c r="I11" s="606">
        <f>0+táj.1.!G11</f>
        <v>0</v>
      </c>
      <c r="J11" s="606">
        <f>0+táj.1.!H11</f>
        <v>0</v>
      </c>
      <c r="K11" s="606">
        <f>0+táj.1.!I11</f>
        <v>0</v>
      </c>
      <c r="L11" s="606">
        <f>5278+táj.1.!J11</f>
        <v>5278</v>
      </c>
      <c r="M11" s="606">
        <f>88398+táj.1.!K11</f>
        <v>89100</v>
      </c>
      <c r="N11" s="606">
        <f>0+táj.1.!L11</f>
        <v>0</v>
      </c>
      <c r="O11" s="606">
        <f t="shared" si="0"/>
        <v>138969</v>
      </c>
    </row>
    <row r="12" spans="1:15" s="54" customFormat="1" ht="20.25" customHeight="1" x14ac:dyDescent="0.2">
      <c r="A12" s="216">
        <v>11</v>
      </c>
      <c r="B12" s="204" t="s">
        <v>963</v>
      </c>
      <c r="C12" s="128">
        <v>188141</v>
      </c>
      <c r="D12" s="153">
        <f>17928+táj.1.!M12</f>
        <v>36680</v>
      </c>
      <c r="E12" s="218">
        <f>2857+táj.1.!C12</f>
        <v>20017</v>
      </c>
      <c r="F12" s="218">
        <f>13294+táj.1.!D12</f>
        <v>14494</v>
      </c>
      <c r="G12" s="218">
        <f>0+táj.1.!E12</f>
        <v>0</v>
      </c>
      <c r="H12" s="606">
        <f>45000+táj.1.!F12</f>
        <v>45000</v>
      </c>
      <c r="I12" s="606">
        <f>0+táj.1.!G12</f>
        <v>0</v>
      </c>
      <c r="J12" s="606">
        <f>0+táj.1.!H12</f>
        <v>0</v>
      </c>
      <c r="K12" s="606">
        <f>0+táj.1.!I12</f>
        <v>0</v>
      </c>
      <c r="L12" s="606">
        <f>2440+táj.1.!J12</f>
        <v>2440</v>
      </c>
      <c r="M12" s="606">
        <f>142478+táj.1.!K12</f>
        <v>142870</v>
      </c>
      <c r="N12" s="606">
        <f>0+táj.1.!L12</f>
        <v>0</v>
      </c>
      <c r="O12" s="606">
        <f t="shared" si="0"/>
        <v>224821</v>
      </c>
    </row>
    <row r="13" spans="1:15" s="54" customFormat="1" ht="30" customHeight="1" x14ac:dyDescent="0.2">
      <c r="A13" s="216">
        <v>12</v>
      </c>
      <c r="B13" s="204" t="s">
        <v>964</v>
      </c>
      <c r="C13" s="126">
        <v>15555</v>
      </c>
      <c r="D13" s="153">
        <f>1895+táj.1.!M13</f>
        <v>2274</v>
      </c>
      <c r="E13" s="218">
        <f>1550+táj.1.!C13</f>
        <v>1550</v>
      </c>
      <c r="F13" s="218">
        <f>0+táj.1.!D13</f>
        <v>0</v>
      </c>
      <c r="G13" s="218">
        <f>0+táj.1.!E13</f>
        <v>0</v>
      </c>
      <c r="H13" s="606">
        <f>706+táj.1.!F13</f>
        <v>1086</v>
      </c>
      <c r="I13" s="606">
        <f>0+táj.1.!G13</f>
        <v>0</v>
      </c>
      <c r="J13" s="606">
        <f>0+táj.1.!H13</f>
        <v>0</v>
      </c>
      <c r="K13" s="606">
        <f>0+táj.1.!I13</f>
        <v>0</v>
      </c>
      <c r="L13" s="606">
        <f>1600+táj.1.!J13</f>
        <v>1600</v>
      </c>
      <c r="M13" s="606">
        <f>13594+táj.1.!K13</f>
        <v>13593</v>
      </c>
      <c r="N13" s="606">
        <f>0+táj.1.!L13</f>
        <v>0</v>
      </c>
      <c r="O13" s="606">
        <f t="shared" si="0"/>
        <v>17829</v>
      </c>
    </row>
    <row r="14" spans="1:15" s="54" customFormat="1" ht="26.25" customHeight="1" x14ac:dyDescent="0.2">
      <c r="A14" s="216">
        <v>13</v>
      </c>
      <c r="B14" s="204" t="s">
        <v>698</v>
      </c>
      <c r="C14" s="128">
        <v>353704</v>
      </c>
      <c r="D14" s="153">
        <f>2934+táj.1.!M14</f>
        <v>15412</v>
      </c>
      <c r="E14" s="218">
        <f>3310+táj.1.!C14</f>
        <v>13146</v>
      </c>
      <c r="F14" s="218">
        <f>0+táj.1.!D14</f>
        <v>0</v>
      </c>
      <c r="G14" s="218">
        <f>0+táj.1.!E14</f>
        <v>0</v>
      </c>
      <c r="H14" s="606">
        <f>34200+táj.1.!F14</f>
        <v>34200</v>
      </c>
      <c r="I14" s="606">
        <f>0+táj.1.!G14</f>
        <v>0</v>
      </c>
      <c r="J14" s="606">
        <f>0+táj.1.!H14</f>
        <v>0</v>
      </c>
      <c r="K14" s="606">
        <f>0+táj.1.!I14</f>
        <v>0</v>
      </c>
      <c r="L14" s="606">
        <f>9540+táj.1.!J14</f>
        <v>9540</v>
      </c>
      <c r="M14" s="606">
        <f>309588+táj.1.!K14</f>
        <v>312230</v>
      </c>
      <c r="N14" s="606">
        <f>0+táj.1.!L14</f>
        <v>0</v>
      </c>
      <c r="O14" s="606">
        <f t="shared" si="0"/>
        <v>369116</v>
      </c>
    </row>
    <row r="15" spans="1:15" s="54" customFormat="1" ht="16.5" customHeight="1" x14ac:dyDescent="0.2">
      <c r="A15" s="216">
        <v>14</v>
      </c>
      <c r="B15" s="204" t="s">
        <v>699</v>
      </c>
      <c r="C15" s="128">
        <v>271692</v>
      </c>
      <c r="D15" s="153">
        <f>55682+táj.1.!M15</f>
        <v>56457</v>
      </c>
      <c r="E15" s="218">
        <f>34509+táj.1.!C15</f>
        <v>34909</v>
      </c>
      <c r="F15" s="218">
        <f>29400+táj.1.!D15</f>
        <v>29400</v>
      </c>
      <c r="G15" s="218">
        <f>0+táj.1.!E15</f>
        <v>0</v>
      </c>
      <c r="H15" s="606">
        <f>119727+táj.1.!F15</f>
        <v>119327</v>
      </c>
      <c r="I15" s="606">
        <f>0+táj.1.!G15</f>
        <v>400</v>
      </c>
      <c r="J15" s="606">
        <f>394+táj.1.!H15</f>
        <v>454</v>
      </c>
      <c r="K15" s="606">
        <f>0+táj.1.!I15</f>
        <v>0</v>
      </c>
      <c r="L15" s="606">
        <f>39956+táj.1.!J15</f>
        <v>39956</v>
      </c>
      <c r="M15" s="606">
        <f>103388+táj.1.!K15</f>
        <v>103703</v>
      </c>
      <c r="N15" s="606">
        <f>0+táj.1.!L15</f>
        <v>0</v>
      </c>
      <c r="O15" s="606">
        <f t="shared" si="0"/>
        <v>328149</v>
      </c>
    </row>
    <row r="16" spans="1:15" s="54" customFormat="1" ht="18" customHeight="1" x14ac:dyDescent="0.2">
      <c r="A16" s="216">
        <v>15</v>
      </c>
      <c r="B16" s="204" t="s">
        <v>723</v>
      </c>
      <c r="C16" s="128">
        <v>573476</v>
      </c>
      <c r="D16" s="153">
        <f>17900+táj.1.!M16</f>
        <v>19081</v>
      </c>
      <c r="E16" s="218">
        <f>80+táj.1.!C16</f>
        <v>80</v>
      </c>
      <c r="F16" s="218">
        <f>10500+táj.1.!D16</f>
        <v>10500</v>
      </c>
      <c r="G16" s="218">
        <f>0+táj.1.!E16</f>
        <v>0</v>
      </c>
      <c r="H16" s="606">
        <f>159750+táj.1.!F16</f>
        <v>159750</v>
      </c>
      <c r="I16" s="606">
        <f>0+táj.1.!G16</f>
        <v>0</v>
      </c>
      <c r="J16" s="606">
        <f>54000+táj.1.!H16</f>
        <v>54000</v>
      </c>
      <c r="K16" s="606">
        <f>0+táj.1.!I16</f>
        <v>0</v>
      </c>
      <c r="L16" s="606">
        <f>1843+táj.1.!J16</f>
        <v>1843</v>
      </c>
      <c r="M16" s="606">
        <f>365203+táj.1.!K16</f>
        <v>366384</v>
      </c>
      <c r="N16" s="606">
        <f>0+táj.1.!L16</f>
        <v>0</v>
      </c>
      <c r="O16" s="606">
        <f t="shared" si="0"/>
        <v>592557</v>
      </c>
    </row>
    <row r="17" spans="1:15" s="54" customFormat="1" ht="18.75" customHeight="1" x14ac:dyDescent="0.2">
      <c r="A17" s="216">
        <v>16</v>
      </c>
      <c r="B17" s="204" t="s">
        <v>701</v>
      </c>
      <c r="C17" s="128">
        <v>102360</v>
      </c>
      <c r="D17" s="153">
        <f>1989+táj.1.!M17</f>
        <v>2356</v>
      </c>
      <c r="E17" s="218">
        <f>0+táj.1.!C17</f>
        <v>0</v>
      </c>
      <c r="F17" s="218">
        <f>0+táj.1.!D17</f>
        <v>0</v>
      </c>
      <c r="G17" s="218">
        <f>0+táj.1.!E17</f>
        <v>0</v>
      </c>
      <c r="H17" s="606">
        <f>16805+táj.1.!F17</f>
        <v>16805</v>
      </c>
      <c r="I17" s="606">
        <f>0+táj.1.!G17</f>
        <v>0</v>
      </c>
      <c r="J17" s="606">
        <f>5600+táj.1.!H17</f>
        <v>5600</v>
      </c>
      <c r="K17" s="606">
        <f>0+táj.1.!I17</f>
        <v>0</v>
      </c>
      <c r="L17" s="606">
        <f>5039+táj.1.!J17</f>
        <v>5039</v>
      </c>
      <c r="M17" s="606">
        <f>76905+táj.1.!K17</f>
        <v>77272</v>
      </c>
      <c r="N17" s="606">
        <f>0+táj.1.!L17</f>
        <v>0</v>
      </c>
      <c r="O17" s="606">
        <f t="shared" si="0"/>
        <v>104716</v>
      </c>
    </row>
    <row r="18" spans="1:15" s="54" customFormat="1" ht="31.5" customHeight="1" x14ac:dyDescent="0.2">
      <c r="A18" s="216">
        <v>17</v>
      </c>
      <c r="B18" s="204" t="s">
        <v>700</v>
      </c>
      <c r="C18" s="128">
        <v>110370</v>
      </c>
      <c r="D18" s="153">
        <f>6198+táj.1.!M18</f>
        <v>6183</v>
      </c>
      <c r="E18" s="218">
        <f>0+táj.1.!C18</f>
        <v>0</v>
      </c>
      <c r="F18" s="218">
        <f>0+táj.1.!D18</f>
        <v>0</v>
      </c>
      <c r="G18" s="218">
        <f>0+táj.1.!E18</f>
        <v>0</v>
      </c>
      <c r="H18" s="606">
        <f>8881+táj.1.!F18</f>
        <v>8881</v>
      </c>
      <c r="I18" s="606">
        <f>0+táj.1.!G18</f>
        <v>0</v>
      </c>
      <c r="J18" s="606">
        <f>0+táj.1.!H18</f>
        <v>0</v>
      </c>
      <c r="K18" s="606">
        <f>0+táj.1.!I18</f>
        <v>0</v>
      </c>
      <c r="L18" s="606">
        <f>22611+táj.1.!J18</f>
        <v>22611</v>
      </c>
      <c r="M18" s="606">
        <f>85076+táj.1.!K18</f>
        <v>85061</v>
      </c>
      <c r="N18" s="606">
        <f>0+táj.1.!L18</f>
        <v>0</v>
      </c>
      <c r="O18" s="606">
        <f t="shared" si="0"/>
        <v>116553</v>
      </c>
    </row>
    <row r="19" spans="1:15" s="54" customFormat="1" ht="18.75" customHeight="1" x14ac:dyDescent="0.2">
      <c r="A19" s="216">
        <v>18</v>
      </c>
      <c r="B19" s="202" t="s">
        <v>668</v>
      </c>
      <c r="C19" s="154">
        <v>90900</v>
      </c>
      <c r="D19" s="153">
        <f>13313+táj.1.!M19</f>
        <v>13641</v>
      </c>
      <c r="E19" s="218">
        <f>250+táj.1.!C19</f>
        <v>250</v>
      </c>
      <c r="F19" s="218">
        <f>0+táj.1.!D19</f>
        <v>0</v>
      </c>
      <c r="G19" s="218">
        <f>0+táj.1.!E19</f>
        <v>0</v>
      </c>
      <c r="H19" s="606">
        <f>91800+táj.1.!F19</f>
        <v>92100</v>
      </c>
      <c r="I19" s="606">
        <f>0+táj.1.!G19</f>
        <v>0</v>
      </c>
      <c r="J19" s="606">
        <f>0+táj.1.!H19</f>
        <v>0</v>
      </c>
      <c r="K19" s="606">
        <f>0+táj.1.!I19</f>
        <v>0</v>
      </c>
      <c r="L19" s="606">
        <f>12028+táj.1.!J19</f>
        <v>12028</v>
      </c>
      <c r="M19" s="606">
        <f>135+táj.1.!K19</f>
        <v>163</v>
      </c>
      <c r="N19" s="606">
        <f>0+táj.1.!L19</f>
        <v>0</v>
      </c>
      <c r="O19" s="606">
        <f t="shared" si="0"/>
        <v>104541</v>
      </c>
    </row>
    <row r="20" spans="1:15" s="54" customFormat="1" ht="24" customHeight="1" x14ac:dyDescent="0.2">
      <c r="A20" s="63"/>
      <c r="B20" s="64" t="s">
        <v>686</v>
      </c>
      <c r="C20" s="65">
        <f>SUM(C3:C19)</f>
        <v>6266208</v>
      </c>
      <c r="D20" s="65">
        <f>SUM(D3:D19)</f>
        <v>400142</v>
      </c>
      <c r="E20" s="65">
        <f t="shared" ref="E20:O20" si="1">SUM(E3:E19)</f>
        <v>422790</v>
      </c>
      <c r="F20" s="65">
        <f t="shared" si="1"/>
        <v>79076</v>
      </c>
      <c r="G20" s="65">
        <f t="shared" si="1"/>
        <v>0</v>
      </c>
      <c r="H20" s="65">
        <f t="shared" si="1"/>
        <v>1135780</v>
      </c>
      <c r="I20" s="65">
        <f t="shared" si="1"/>
        <v>400</v>
      </c>
      <c r="J20" s="65">
        <f t="shared" si="1"/>
        <v>60054</v>
      </c>
      <c r="K20" s="65">
        <f t="shared" si="1"/>
        <v>0</v>
      </c>
      <c r="L20" s="65">
        <f t="shared" si="1"/>
        <v>350508</v>
      </c>
      <c r="M20" s="65">
        <f t="shared" si="1"/>
        <v>4617742</v>
      </c>
      <c r="N20" s="65">
        <f t="shared" si="1"/>
        <v>0</v>
      </c>
      <c r="O20" s="65">
        <f t="shared" si="1"/>
        <v>6666350</v>
      </c>
    </row>
    <row r="21" spans="1:15" s="54" customFormat="1" x14ac:dyDescent="0.2">
      <c r="A21" s="55"/>
    </row>
    <row r="22" spans="1:15" s="54" customFormat="1" x14ac:dyDescent="0.2">
      <c r="A22" s="55"/>
    </row>
    <row r="23" spans="1:15" s="54" customFormat="1" x14ac:dyDescent="0.2">
      <c r="A23" s="55"/>
    </row>
    <row r="24" spans="1:15" s="54" customFormat="1" x14ac:dyDescent="0.2">
      <c r="A24" s="55"/>
    </row>
    <row r="25" spans="1:15" s="54" customFormat="1" x14ac:dyDescent="0.2">
      <c r="A25" s="55"/>
    </row>
    <row r="26" spans="1:15" s="54" customFormat="1" x14ac:dyDescent="0.2">
      <c r="A26" s="55"/>
    </row>
    <row r="27" spans="1:15" s="54" customFormat="1" x14ac:dyDescent="0.2">
      <c r="A27" s="55"/>
    </row>
    <row r="28" spans="1:15" s="54" customFormat="1" x14ac:dyDescent="0.2">
      <c r="A28" s="55"/>
    </row>
    <row r="29" spans="1:15" s="54" customFormat="1" x14ac:dyDescent="0.2">
      <c r="A29" s="55"/>
    </row>
    <row r="30" spans="1:15" s="54" customFormat="1" x14ac:dyDescent="0.2">
      <c r="A30" s="55"/>
    </row>
    <row r="31" spans="1:15" s="54" customFormat="1" x14ac:dyDescent="0.2">
      <c r="A31" s="55"/>
    </row>
    <row r="32" spans="1:15" s="54" customFormat="1" x14ac:dyDescent="0.2">
      <c r="A32" s="55"/>
    </row>
    <row r="33" spans="1:1" s="54" customFormat="1" x14ac:dyDescent="0.2">
      <c r="A33" s="55"/>
    </row>
    <row r="34" spans="1:1" s="54" customFormat="1" x14ac:dyDescent="0.2">
      <c r="A34" s="55"/>
    </row>
    <row r="35" spans="1:1" s="54" customFormat="1" x14ac:dyDescent="0.2">
      <c r="A35" s="55"/>
    </row>
    <row r="36" spans="1:1" s="54" customFormat="1" x14ac:dyDescent="0.2">
      <c r="A36" s="55"/>
    </row>
    <row r="37" spans="1:1" s="54" customFormat="1" x14ac:dyDescent="0.2">
      <c r="A37" s="55"/>
    </row>
    <row r="38" spans="1:1" s="54" customFormat="1" x14ac:dyDescent="0.2">
      <c r="A38" s="55"/>
    </row>
    <row r="39" spans="1:1" s="54" customFormat="1" x14ac:dyDescent="0.2">
      <c r="A39" s="55"/>
    </row>
    <row r="40" spans="1:1" s="54" customFormat="1" x14ac:dyDescent="0.2">
      <c r="A40" s="55"/>
    </row>
    <row r="41" spans="1:1" s="54" customFormat="1" x14ac:dyDescent="0.2">
      <c r="A41" s="55"/>
    </row>
    <row r="42" spans="1:1" s="54" customFormat="1" x14ac:dyDescent="0.2">
      <c r="A42" s="55"/>
    </row>
    <row r="43" spans="1:1" s="54" customFormat="1" x14ac:dyDescent="0.2">
      <c r="A43" s="55"/>
    </row>
    <row r="44" spans="1:1" s="54" customFormat="1" x14ac:dyDescent="0.2">
      <c r="A44" s="55"/>
    </row>
    <row r="45" spans="1:1" s="54" customFormat="1" x14ac:dyDescent="0.2">
      <c r="A45" s="55"/>
    </row>
    <row r="46" spans="1:1" s="54" customFormat="1" x14ac:dyDescent="0.2">
      <c r="A46" s="55"/>
    </row>
    <row r="47" spans="1:1" s="54" customFormat="1" x14ac:dyDescent="0.2">
      <c r="A47" s="55"/>
    </row>
    <row r="48" spans="1:1" s="54" customFormat="1" x14ac:dyDescent="0.2">
      <c r="A48" s="55"/>
    </row>
    <row r="49" spans="1:1" s="54" customFormat="1" x14ac:dyDescent="0.2">
      <c r="A49" s="55"/>
    </row>
    <row r="50" spans="1:1" s="54" customFormat="1" x14ac:dyDescent="0.2">
      <c r="A50" s="55"/>
    </row>
    <row r="51" spans="1:1" s="54" customFormat="1" x14ac:dyDescent="0.2">
      <c r="A51" s="55"/>
    </row>
    <row r="52" spans="1:1" s="54" customFormat="1" x14ac:dyDescent="0.2">
      <c r="A52" s="55"/>
    </row>
    <row r="53" spans="1:1" s="54" customFormat="1" x14ac:dyDescent="0.2">
      <c r="A53" s="55"/>
    </row>
    <row r="54" spans="1:1" s="54" customFormat="1" x14ac:dyDescent="0.2">
      <c r="A54" s="55"/>
    </row>
    <row r="55" spans="1:1" s="54" customFormat="1" x14ac:dyDescent="0.2">
      <c r="A55" s="55"/>
    </row>
    <row r="56" spans="1:1" s="54" customFormat="1" x14ac:dyDescent="0.2">
      <c r="A56" s="55"/>
    </row>
    <row r="57" spans="1:1" s="54" customFormat="1" x14ac:dyDescent="0.2">
      <c r="A57" s="55"/>
    </row>
    <row r="58" spans="1:1" s="54" customFormat="1" x14ac:dyDescent="0.2">
      <c r="A58" s="55"/>
    </row>
    <row r="59" spans="1:1" s="54" customFormat="1" x14ac:dyDescent="0.2">
      <c r="A59" s="55"/>
    </row>
    <row r="60" spans="1:1" s="54" customFormat="1" x14ac:dyDescent="0.2">
      <c r="A60" s="55"/>
    </row>
    <row r="61" spans="1:1" s="54" customFormat="1" x14ac:dyDescent="0.2">
      <c r="A61" s="55"/>
    </row>
    <row r="62" spans="1:1" s="54" customFormat="1" x14ac:dyDescent="0.2">
      <c r="A62" s="55"/>
    </row>
    <row r="63" spans="1:1" s="54" customFormat="1" x14ac:dyDescent="0.2">
      <c r="A63" s="55"/>
    </row>
  </sheetData>
  <mergeCells count="7">
    <mergeCell ref="O1:O2"/>
    <mergeCell ref="A1:A2"/>
    <mergeCell ref="B1:B2"/>
    <mergeCell ref="E1:K1"/>
    <mergeCell ref="L1:N1"/>
    <mergeCell ref="C1:C2"/>
    <mergeCell ref="D1:D2"/>
  </mergeCells>
  <phoneticPr fontId="0" type="noConversion"/>
  <printOptions horizontalCentered="1" verticalCentered="1"/>
  <pageMargins left="7.874015748031496E-2" right="7.874015748031496E-2" top="1.4173228346456694" bottom="0.74803149606299213" header="0.43307086614173229" footer="0.31496062992125984"/>
  <pageSetup paperSize="9" scale="85" orientation="landscape" horizontalDpi="300" verticalDpi="300" r:id="rId1"/>
  <headerFooter alignWithMargins="0">
    <oddHeader xml:space="preserve">&amp;C&amp;"Arial CE,Dőlt"ZALAEGERSZEG MJV&amp;"Times New Roman,Dőlt"ÖNKORMÁNYZATA ÁLTAL IRÁNYÍTOTT KÖLTSÉGVETÉSI SZERVEK 
2014. ÉVI  BEVÉTELI ELŐIRÁNYZATAI&amp;R&amp;"Times New Roman,Dőlt"&amp;9
 9.  melléklet
Adatok eFt-ban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6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táj.1.</vt:lpstr>
      <vt:lpstr>táj.2.</vt:lpstr>
      <vt:lpstr>'11'!Nyomtatási_cím</vt:lpstr>
      <vt:lpstr>'12'!Nyomtatási_cím</vt:lpstr>
      <vt:lpstr>'3'!Nyomtatási_cím</vt:lpstr>
      <vt:lpstr>'7'!Nyomtatási_cím</vt:lpstr>
      <vt:lpstr>'8'!Nyomtatási_cím</vt:lpstr>
      <vt:lpstr>'12'!Nyomtatási_terület</vt:lpstr>
    </vt:vector>
  </TitlesOfParts>
  <Company>ZMJV 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Marti</cp:lastModifiedBy>
  <cp:lastPrinted>2014-06-24T12:19:04Z</cp:lastPrinted>
  <dcterms:created xsi:type="dcterms:W3CDTF">2002-12-30T13:12:46Z</dcterms:created>
  <dcterms:modified xsi:type="dcterms:W3CDTF">2014-06-25T09:15:29Z</dcterms:modified>
</cp:coreProperties>
</file>