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firstSheet="12" activeTab="15"/>
  </bookViews>
  <sheets>
    <sheet name="Bevétel" sheetId="1" r:id="rId1"/>
    <sheet name="Kiadás" sheetId="2" r:id="rId2"/>
    <sheet name="Bev.intézményenként" sheetId="3" r:id="rId3"/>
    <sheet name="Kiad.intézményenként" sheetId="4" r:id="rId4"/>
    <sheet name="Létszám" sheetId="5" r:id="rId5"/>
    <sheet name="Átadott" sheetId="6" r:id="rId6"/>
    <sheet name="Társ.és szoc.pol.támog." sheetId="7" r:id="rId7"/>
    <sheet name="Felhalm.kiad." sheetId="8" r:id="rId8"/>
    <sheet name="Felhalm.bev." sheetId="9" r:id="rId9"/>
    <sheet name="Felhalm.bev.és kiad.mérlege" sheetId="10" r:id="rId10"/>
    <sheet name="Állami" sheetId="11" r:id="rId11"/>
    <sheet name="ÖK és PH kiadásai" sheetId="12" r:id="rId12"/>
    <sheet name="Köt.és nem köt.fel.kia.és forrá" sheetId="13" r:id="rId13"/>
    <sheet name="Közösségi ellátás" sheetId="14" r:id="rId14"/>
    <sheet name="Saját bev." sheetId="15" r:id="rId15"/>
    <sheet name="ÖK elői.felhaszn. terve" sheetId="16" r:id="rId16"/>
    <sheet name="ÖK.likviditási terve" sheetId="17" r:id="rId17"/>
    <sheet name="ESZESZ elői.felhaszn.terve" sheetId="18" r:id="rId18"/>
    <sheet name="PH elői.felhaszn.terve" sheetId="19" r:id="rId19"/>
    <sheet name="Városellátó elői.felhaszn.terve" sheetId="20" r:id="rId20"/>
    <sheet name="Könyvtár elői.felhaszn.terve" sheetId="21" r:id="rId21"/>
    <sheet name="Több éves kihatású köt.váll.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0">'Állami'!$A$1:$D$38</definedName>
    <definedName name="_xlnm.Print_Area" localSheetId="5">'Átadott'!$A$1:$D$51</definedName>
    <definedName name="_xlnm.Print_Area" localSheetId="2">'Bev.intézményenként'!$A$1:$M$35</definedName>
    <definedName name="_xlnm.Print_Area" localSheetId="0">'Bevétel'!$A$1:$F$114</definedName>
    <definedName name="_xlnm.Print_Area" localSheetId="17">'ESZESZ elői.felhaszn.terve'!$A$1:$P$33</definedName>
    <definedName name="_xlnm.Print_Area" localSheetId="8">'Felhalm.bev.'!$A$1:$D$23</definedName>
    <definedName name="_xlnm.Print_Area" localSheetId="9">'Felhalm.bev.és kiad.mérlege'!$A$1:$G$25</definedName>
    <definedName name="_xlnm.Print_Area" localSheetId="7">'Felhalm.kiad.'!$A$1:$D$35</definedName>
    <definedName name="_xlnm.Print_Area" localSheetId="3">'Kiad.intézményenként'!$A$1:$N$36</definedName>
    <definedName name="_xlnm.Print_Area" localSheetId="1">'Kiadás'!$A$1:$G$33</definedName>
    <definedName name="_xlnm.Print_Area" localSheetId="20">'Könyvtár elői.felhaszn.terve'!$A$1:$P$32</definedName>
    <definedName name="_xlnm.Print_Area" localSheetId="12">'Köt.és nem köt.fel.kia.és forrá'!$A$1:$Z$74</definedName>
    <definedName name="_xlnm.Print_Area" localSheetId="13">'Közösségi ellátás'!$A$1:$H$67</definedName>
    <definedName name="_xlnm.Print_Area" localSheetId="4">'Létszám'!$A$1:$D$25</definedName>
    <definedName name="_xlnm.Print_Area" localSheetId="15">'ÖK elői.felhaszn. terve'!$A$1:$P$30</definedName>
    <definedName name="_xlnm.Print_Area" localSheetId="11">'ÖK és PH kiadásai'!$A$1:$L$29</definedName>
    <definedName name="_xlnm.Print_Area" localSheetId="16">'ÖK.likviditási terve'!$A$1:$O$29</definedName>
    <definedName name="_xlnm.Print_Area" localSheetId="18">'PH elői.felhaszn.terve'!$A$1:$P$33</definedName>
    <definedName name="_xlnm.Print_Area" localSheetId="6">'Társ.és szoc.pol.támog.'!$A$1:$L$31</definedName>
    <definedName name="_xlnm.Print_Area" localSheetId="21">'Több éves kihatású köt.váll.'!$A$1:$N$24</definedName>
    <definedName name="_xlnm.Print_Area" localSheetId="19">'Városellátó elői.felhaszn.terve'!$A$1:$P$31</definedName>
  </definedNames>
  <calcPr fullCalcOnLoad="1"/>
</workbook>
</file>

<file path=xl/sharedStrings.xml><?xml version="1.0" encoding="utf-8"?>
<sst xmlns="http://schemas.openxmlformats.org/spreadsheetml/2006/main" count="1770" uniqueCount="659">
  <si>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</si>
  <si>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</si>
  <si>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</si>
  <si>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</si>
  <si>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</si>
  <si>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</si>
  <si>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</si>
  <si>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</si>
  <si>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</si>
  <si>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</si>
  <si>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</si>
  <si>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</si>
  <si>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</si>
  <si>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</si>
  <si>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</si>
  <si>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</si>
  <si>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</si>
  <si>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</si>
  <si>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</si>
  <si>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</si>
  <si>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</si>
  <si>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</si>
  <si>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</si>
  <si>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</si>
  <si>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</si>
  <si>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</si>
  <si>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</si>
  <si>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</si>
  <si>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</si>
  <si>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</si>
  <si>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</si>
  <si>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</si>
  <si>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</si>
  <si>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</si>
  <si>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</si>
  <si>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</si>
  <si>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</si>
  <si>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</si>
  <si>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</si>
  <si>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</si>
  <si>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</si>
  <si>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</si>
  <si>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</si>
  <si>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</si>
  <si>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</si>
  <si>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</si>
  <si>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</si>
  <si>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</si>
  <si>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</si>
  <si>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</si>
  <si>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</si>
  <si>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</si>
  <si>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</si>
  <si>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</si>
  <si>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</si>
  <si>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</si>
  <si>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</si>
  <si>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</si>
  <si>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</si>
  <si>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</si>
  <si>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</si>
  <si>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</si>
  <si>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</si>
  <si>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</si>
  <si>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</si>
  <si>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</si>
  <si>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</si>
  <si>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</si>
  <si>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</si>
  <si>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</si>
  <si>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</si>
  <si>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</si>
  <si>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</si>
  <si>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>Iskolai étkeztetés támogatása</t>
  </si>
  <si>
    <t>Társadalom- és szociálpolitikai juttatások (eFt-ban)</t>
  </si>
  <si>
    <t>Saját forr.</t>
  </si>
  <si>
    <t>Külső forr.</t>
  </si>
  <si>
    <t>Polghiv.</t>
  </si>
  <si>
    <t>Önk.</t>
  </si>
  <si>
    <t>Rendszeres szociális segély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</si>
  <si>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</si>
  <si>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</si>
  <si>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</si>
  <si>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</si>
  <si>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</si>
  <si>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</si>
  <si>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</si>
  <si>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Köztemetés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</si>
  <si>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</si>
  <si>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</si>
  <si>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</si>
  <si>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</si>
  <si>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</si>
  <si>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Felhalmozási kiadások eft-ban</t>
  </si>
  <si>
    <t>Beruházási kiadás</t>
  </si>
  <si>
    <t>Felújítási kiadás</t>
  </si>
  <si>
    <t>Mindösszesen</t>
  </si>
  <si>
    <t>Bevételek</t>
  </si>
  <si>
    <t>I.Saját bevételek</t>
  </si>
  <si>
    <t>Intézményi bevételek</t>
  </si>
  <si>
    <t>Kommunális adó</t>
  </si>
  <si>
    <t>Iparűzési adó</t>
  </si>
  <si>
    <t>Talajterhelési díj</t>
  </si>
  <si>
    <t>Pótlék, bírság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</si>
  <si>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</si>
  <si>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</si>
  <si>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</si>
  <si>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</si>
  <si>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</si>
  <si>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</si>
  <si>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</si>
  <si>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</si>
  <si>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</si>
  <si>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</si>
  <si>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</si>
  <si>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Önkormányzati dolgozóknak nyújtott kölcsönök</t>
  </si>
  <si>
    <t>Bevételek összesen</t>
  </si>
  <si>
    <t>Kiadások összesen</t>
  </si>
  <si>
    <t>függő bev</t>
  </si>
  <si>
    <t>Kiadások</t>
  </si>
  <si>
    <t>I.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</si>
  <si>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</si>
  <si>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</si>
  <si>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</si>
  <si>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</si>
  <si>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III.</t>
  </si>
  <si>
    <t>IV.</t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</si>
  <si>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</si>
  <si>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</si>
  <si>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</si>
  <si>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</si>
  <si>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</si>
  <si>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</si>
  <si>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</si>
  <si>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</si>
  <si>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</si>
  <si>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</si>
  <si>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</si>
  <si>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</si>
  <si>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</si>
  <si>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</si>
  <si>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</si>
  <si>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</si>
  <si>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</si>
  <si>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</si>
  <si>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</si>
  <si>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</si>
  <si>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</si>
  <si>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</si>
  <si>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</si>
  <si>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</si>
  <si>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</si>
  <si>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</si>
  <si>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</si>
  <si>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</si>
  <si>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</si>
  <si>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</si>
  <si>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</si>
  <si>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</si>
  <si>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</si>
  <si>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</si>
  <si>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</si>
  <si>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</si>
  <si>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</si>
  <si>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</si>
  <si>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</si>
  <si>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</si>
  <si>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</si>
  <si>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</si>
  <si>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</si>
  <si>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</si>
  <si>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</si>
  <si>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</si>
  <si>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>ft*1 hó</t>
  </si>
  <si>
    <t>Ft*11 hó</t>
  </si>
  <si>
    <t>Nem rendszeres személyi juttatás</t>
  </si>
  <si>
    <t>munkábajárás ktsg-e</t>
  </si>
  <si>
    <t>Közlekedési költségtérítés</t>
  </si>
  <si>
    <t>szakmai vezető megbízási díja</t>
  </si>
  <si>
    <t>80000*12 hó</t>
  </si>
  <si>
    <t>Személyi juttatás összesen</t>
  </si>
  <si>
    <t>Munkaadókat terhelő járulékok</t>
  </si>
  <si>
    <t>Dologi kiadás</t>
  </si>
  <si>
    <t>irodaszer</t>
  </si>
  <si>
    <t>Könyv, folyóirat, egyéb inf.hord.</t>
  </si>
  <si>
    <t>Szakmai anyag</t>
  </si>
  <si>
    <t>telefon</t>
  </si>
  <si>
    <t xml:space="preserve">mobil 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</si>
  <si>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</si>
  <si>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</si>
  <si>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</si>
  <si>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</si>
  <si>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</si>
  <si>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</si>
  <si>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</si>
  <si>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</si>
  <si>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</si>
  <si>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pszichológus 40000Ft/hó</t>
  </si>
  <si>
    <t>továbbképzés</t>
  </si>
  <si>
    <t>előadók díja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</si>
  <si>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</si>
  <si>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</si>
  <si>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</si>
  <si>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</si>
  <si>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</si>
  <si>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</si>
  <si>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</si>
  <si>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</si>
  <si>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</si>
  <si>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</si>
  <si>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</si>
  <si>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</si>
  <si>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</si>
  <si>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</si>
  <si>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</si>
  <si>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</si>
  <si>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</si>
  <si>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</si>
  <si>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</si>
  <si>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</si>
  <si>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</si>
  <si>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</si>
  <si>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</si>
  <si>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Gyerekház támogatása</t>
  </si>
  <si>
    <t>2012-ben 8950 eft. Előtörlesztés</t>
  </si>
  <si>
    <t>Strandfürdő működési támogatás</t>
  </si>
  <si>
    <t>Egészségügyi és Szociális Ellátó Szervezet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</si>
  <si>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</si>
  <si>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</si>
  <si>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</si>
  <si>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</si>
  <si>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</si>
  <si>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</si>
  <si>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</si>
  <si>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</si>
  <si>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</si>
  <si>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</si>
  <si>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</si>
  <si>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</si>
  <si>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</si>
  <si>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</si>
  <si>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</si>
  <si>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</si>
  <si>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</si>
  <si>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Dologi kiadások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</si>
  <si>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</si>
  <si>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</si>
  <si>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</si>
  <si>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</si>
  <si>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</si>
  <si>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</si>
  <si>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</si>
  <si>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</si>
  <si>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</si>
  <si>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</si>
  <si>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</si>
  <si>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</si>
  <si>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</si>
  <si>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</si>
  <si>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Pénzforgalmi mérleg ( e ft-ban )</t>
  </si>
  <si>
    <t>II.félév</t>
  </si>
  <si>
    <t>I.félév</t>
  </si>
  <si>
    <t>Működési kiadások összesen (I-V.)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</si>
  <si>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</si>
  <si>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</si>
  <si>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</si>
  <si>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</si>
  <si>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</si>
  <si>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</si>
  <si>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</si>
  <si>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</si>
  <si>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</si>
  <si>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</si>
  <si>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</si>
  <si>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</si>
  <si>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</si>
  <si>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</si>
  <si>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</si>
  <si>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</si>
  <si>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</si>
  <si>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adó</t>
  </si>
  <si>
    <t>egyéb sajátos</t>
  </si>
  <si>
    <t>átengedett</t>
  </si>
  <si>
    <t>kölcsön visszatér</t>
  </si>
  <si>
    <t>bev.összesen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</si>
  <si>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</si>
  <si>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</si>
  <si>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</si>
  <si>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</si>
  <si>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</si>
  <si>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</si>
  <si>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</si>
  <si>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</si>
  <si>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</si>
  <si>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</si>
  <si>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</si>
  <si>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</si>
  <si>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</si>
  <si>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</si>
  <si>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</si>
  <si>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</si>
  <si>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</si>
  <si>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</si>
  <si>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</si>
  <si>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</si>
  <si>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</si>
  <si>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</si>
  <si>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</si>
  <si>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</si>
  <si>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</si>
  <si>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</si>
  <si>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</si>
  <si>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</si>
  <si>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</si>
  <si>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</si>
  <si>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</si>
  <si>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</si>
  <si>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</si>
  <si>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</si>
  <si>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</si>
  <si>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</si>
  <si>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</si>
  <si>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</si>
  <si>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</si>
  <si>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</si>
  <si>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Finanszírozási célú bevételek</t>
  </si>
  <si>
    <t>Egyenleg (10-23)</t>
  </si>
  <si>
    <t>Battonyai Polgármesteri Hivatal</t>
  </si>
  <si>
    <t>Felhalmozási célú kamat</t>
  </si>
  <si>
    <t>intézmény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</si>
  <si>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</si>
  <si>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</si>
  <si>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</si>
  <si>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</si>
  <si>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</si>
  <si>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</si>
  <si>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</si>
  <si>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</si>
  <si>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</si>
  <si>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</si>
  <si>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</si>
  <si>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</si>
  <si>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</si>
  <si>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Fizikoterápia 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</si>
  <si>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</si>
  <si>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</si>
  <si>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</si>
  <si>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Támogatások, hozzájárulások, sajátos</t>
  </si>
  <si>
    <t xml:space="preserve">B </t>
  </si>
  <si>
    <t>K</t>
  </si>
  <si>
    <t>L</t>
  </si>
  <si>
    <t xml:space="preserve">A </t>
  </si>
  <si>
    <t>M</t>
  </si>
  <si>
    <t>jogcím/ intézmény</t>
  </si>
  <si>
    <t xml:space="preserve">I </t>
  </si>
  <si>
    <t xml:space="preserve">J </t>
  </si>
  <si>
    <t xml:space="preserve">N </t>
  </si>
  <si>
    <t>O</t>
  </si>
  <si>
    <t>P</t>
  </si>
  <si>
    <t xml:space="preserve">J  </t>
  </si>
  <si>
    <t>2013.mód.ei</t>
  </si>
  <si>
    <t>2013.évi mód.ei.</t>
  </si>
  <si>
    <t>pályázat</t>
  </si>
  <si>
    <t>Erzsébet utalvány</t>
  </si>
  <si>
    <t>2014.évi er.ei.</t>
  </si>
  <si>
    <t>2014.</t>
  </si>
  <si>
    <t>Felhalmozási tartalék</t>
  </si>
  <si>
    <t xml:space="preserve">E </t>
  </si>
  <si>
    <t>2014. évi felhalmozási bevételek és kiadások bemutatása mérlegszerűen, eft-ban</t>
  </si>
  <si>
    <t>Időskorúak járadéka</t>
  </si>
  <si>
    <t>Ápolási díj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</si>
  <si>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</si>
  <si>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</si>
  <si>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</si>
  <si>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</si>
  <si>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</si>
  <si>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</si>
  <si>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</si>
  <si>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</si>
  <si>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</si>
  <si>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 xml:space="preserve">I.1.bb) - V. Közvilágítás fenntartásának támogatása - beszámítás után
</t>
  </si>
  <si>
    <t>I.1.bc) - V. Köztemető fenntartással kapcsolatos feladatok támogatása - beszámítás után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</si>
  <si>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</si>
  <si>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</si>
  <si>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</si>
  <si>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</si>
  <si>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</si>
  <si>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V. Info Beszámítás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</si>
  <si>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</si>
  <si>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</si>
  <si>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</si>
  <si>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</si>
  <si>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</si>
  <si>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</si>
  <si>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</si>
  <si>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</si>
  <si>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III.3.b gyermekjóléti központ</t>
  </si>
  <si>
    <t>működési hó</t>
  </si>
  <si>
    <t>III.3.c (1) szociális étkeztetés</t>
  </si>
  <si>
    <t>III.3.d (1) házi segítségnyújtás</t>
  </si>
  <si>
    <t>III.3.f Időskorúak nappali intézményi ellátása</t>
  </si>
  <si>
    <t>III.3.f (1) időskorúak nappali intézményi ellátása</t>
  </si>
  <si>
    <t xml:space="preserve">III.3.g Fogyatékos és demens személyek nappali intézményi ellátása </t>
  </si>
  <si>
    <t>III.3.g (5) demens személyek nappali intézményi ellátása</t>
  </si>
  <si>
    <t>X.</t>
  </si>
  <si>
    <t>Finanszírozási műveletek</t>
  </si>
  <si>
    <t>Felhalmozási c. hitel törlesztése</t>
  </si>
  <si>
    <t>2013.</t>
  </si>
  <si>
    <t>Felhalmozási és tőkejellegű bevétel</t>
  </si>
  <si>
    <t>menny.e</t>
  </si>
  <si>
    <t>2014. évre</t>
  </si>
  <si>
    <t>Battonya Város Önkormányzat előirányzat felhasználási terve
2014. évre</t>
  </si>
  <si>
    <t xml:space="preserve">5830 Battonya, Hunyadi u. </t>
  </si>
  <si>
    <t>2014. évi költségvetés</t>
  </si>
  <si>
    <t>2013. dec.31</t>
  </si>
  <si>
    <t>2014.jan.01</t>
  </si>
  <si>
    <t>22 nap*36 km*9Ft/km*12 hó</t>
  </si>
  <si>
    <t>Külsős megbizási díj,és további jogviszony</t>
  </si>
  <si>
    <t>rendszeres szem.juttatás</t>
  </si>
  <si>
    <t>ft*27%</t>
  </si>
  <si>
    <t>külső személyi juttatás</t>
  </si>
  <si>
    <t>ft*90%*27%</t>
  </si>
  <si>
    <t>3*4000Ft/hó</t>
  </si>
  <si>
    <t>ft*12hó</t>
  </si>
  <si>
    <t>ft*6hó</t>
  </si>
  <si>
    <t>alkalmassági vizsgálat</t>
  </si>
  <si>
    <t>ft*2fő</t>
  </si>
  <si>
    <t xml:space="preserve"> </t>
  </si>
  <si>
    <t>Strandfürdő</t>
  </si>
  <si>
    <t>Központi költségvetéstől átvett</t>
  </si>
  <si>
    <t>Városnap</t>
  </si>
  <si>
    <t>Számítógéppark cseréje az önkormányzatnál</t>
  </si>
  <si>
    <t>Gimnázium hőszolgáltatás kiváltása</t>
  </si>
  <si>
    <t>2014. ÉVI SZÖVEGES KÖLTSÉGVETÉS ÖSSZESÍTŐ</t>
  </si>
  <si>
    <t>felhalm.bev.</t>
  </si>
  <si>
    <t>Átadott felhalmozásra</t>
  </si>
  <si>
    <t>Felhalmozási bevétel áfa befizetés</t>
  </si>
  <si>
    <t>Hősök tere 11. értékesítése</t>
  </si>
  <si>
    <t>Egyéb ingatlan értékesítése</t>
  </si>
  <si>
    <t>Felhalm áfa befizetés</t>
  </si>
  <si>
    <t>Hitelkamatok</t>
  </si>
  <si>
    <t>Mg-i ügyintéző és honlap szerkesztő</t>
  </si>
  <si>
    <t>A HELYI ÖNKORMÁNYZATOK MŰKÖDÉSÉNEK ÁLTALÁNOS TÁMOGATÁSA    ft-ban</t>
  </si>
  <si>
    <t>2014. évben teljes konszolidáció</t>
  </si>
  <si>
    <t>Működési pályázati alap</t>
  </si>
  <si>
    <t>Battonya Város Önkormányzat likvidási terve
2014. évre</t>
  </si>
  <si>
    <t>Temetőbe urnafal építése</t>
  </si>
  <si>
    <t>Foglalkoztatást helyettesítő támogatás</t>
  </si>
  <si>
    <t>Egészségkárosodottak rendszeres szociális segélye</t>
  </si>
  <si>
    <t>Felhalmozási kiadás</t>
  </si>
  <si>
    <t>Önkormányzati segélyek  ( 2014-től    )</t>
  </si>
  <si>
    <t>Jelzőrendszeres házi segítségnyújtás működtetésének támogatása, 15 fő*3.000ft</t>
  </si>
  <si>
    <t>II. IV.1.d. Közművelődési támogatás</t>
  </si>
  <si>
    <t>III.15. Üdülőhelyi feladatok</t>
  </si>
  <si>
    <t>mód.ei.</t>
  </si>
  <si>
    <t>Békés Megyei Ivóvízminőség-javító Program KEOP-1.3.0/09/11-2012-0009   158/2013.(X.14.) KT.határozat</t>
  </si>
  <si>
    <t>Felhalmozási kötelezettségvállalás</t>
  </si>
  <si>
    <t>Felhalmozási kötelezettségvállalás összesen</t>
  </si>
  <si>
    <t>BM EU Önerő Alap KEOP-1.3.0/09-11 pályázathoz</t>
  </si>
  <si>
    <t>Felhalmozásra átvett pénzeszköz</t>
  </si>
  <si>
    <t>mód.ei</t>
  </si>
  <si>
    <t>2014.évi mód.ei.</t>
  </si>
  <si>
    <t>2014.mód.ei.</t>
  </si>
  <si>
    <t>Kölcsön visszatérülés</t>
  </si>
  <si>
    <t>felhalm.átvett peszk.</t>
  </si>
  <si>
    <t>2014. évi előirányzat</t>
  </si>
  <si>
    <t>Közszféra bérkompenzáció</t>
  </si>
  <si>
    <t>Egyes jövedelempótló támogatások</t>
  </si>
  <si>
    <t>Technikai</t>
  </si>
  <si>
    <t>Közmunka</t>
  </si>
  <si>
    <t>Országgyűlési képviselő választás</t>
  </si>
  <si>
    <t>31.</t>
  </si>
  <si>
    <t>32.</t>
  </si>
  <si>
    <t>33.</t>
  </si>
  <si>
    <t>34.</t>
  </si>
  <si>
    <t>35.</t>
  </si>
  <si>
    <t>működési hitel</t>
  </si>
  <si>
    <t xml:space="preserve">  Közművelődési érdekeltségnövelő pályázati alap </t>
  </si>
  <si>
    <t xml:space="preserve">  Múzeumi érdekeltségnövelő pályázati alap</t>
  </si>
  <si>
    <t xml:space="preserve">  Számíthatsz Ránk! Egyesület pályázati önerő</t>
  </si>
  <si>
    <t xml:space="preserve">  Battonyai Polgárőr Egyesület</t>
  </si>
  <si>
    <t xml:space="preserve">  Battonyai Testgyakorlók Köre</t>
  </si>
  <si>
    <t xml:space="preserve">  Battonyai Sakk Egyesület</t>
  </si>
  <si>
    <t xml:space="preserve">  Gödrösöki Sporthorgász Egyesület</t>
  </si>
  <si>
    <t xml:space="preserve">  Városi Önkéntes Tűzoltó Egyesület</t>
  </si>
  <si>
    <t xml:space="preserve">  Barátság  Sportegyesület</t>
  </si>
  <si>
    <t xml:space="preserve">  Fantázia Sport Egyesület</t>
  </si>
  <si>
    <t xml:space="preserve">  Mikes Kelemen Katolikus Gimnázium és Szakképző Iskola</t>
  </si>
  <si>
    <t xml:space="preserve">  Battonyai Általános Iskoláért Alapítvány</t>
  </si>
  <si>
    <t xml:space="preserve">  Közalapítvány a Battonyai Napköziotthonos Óvodákért</t>
  </si>
  <si>
    <t xml:space="preserve">  Lucian Magdu Alapítvány</t>
  </si>
  <si>
    <t xml:space="preserve">  Fodor Manó Helytörténeti Egyesület</t>
  </si>
  <si>
    <t xml:space="preserve">  Battonyai Harangvirág Nyugdíjas Klub</t>
  </si>
  <si>
    <t xml:space="preserve">  Szivárvány néptánccsoport</t>
  </si>
  <si>
    <t xml:space="preserve">  Szabad forrás</t>
  </si>
  <si>
    <t>Pénzmaradvány átadások</t>
  </si>
  <si>
    <t xml:space="preserve">  Battonyai Polgármesteri Hivatal</t>
  </si>
  <si>
    <t xml:space="preserve">  Egészségügyi és Szociális Ellátó Szervezet</t>
  </si>
  <si>
    <t xml:space="preserve">  Városellátó Szervezet</t>
  </si>
  <si>
    <t>Pénzmaradvány átadás</t>
  </si>
  <si>
    <t>2013. évi pénzmaradvány ÖK</t>
  </si>
  <si>
    <t>2013. évi pénzmaradvány Városi Műv. Központ és Könyvtár</t>
  </si>
  <si>
    <t>2014. évi mód.ei.</t>
  </si>
  <si>
    <t>Pénzmaradvány átvételek ÖK-tól</t>
  </si>
  <si>
    <t>2013. évi normatív állami támogatás visszatérülés</t>
  </si>
  <si>
    <t>Pénzmaradvány átvételek ÖK-tól Városi Művelődési Központ és Könyvtár részére</t>
  </si>
  <si>
    <t>Pénzmaradvány</t>
  </si>
  <si>
    <t>EP választás</t>
  </si>
  <si>
    <t>működési célú</t>
  </si>
  <si>
    <t>felhalmozási célú</t>
  </si>
  <si>
    <t>Múzeumi érdekeltségnövelő támogatás</t>
  </si>
  <si>
    <t>Közművelődési érdekeltségnövelő tám.</t>
  </si>
  <si>
    <t>Könyvtári érdekeltségnövelő támogatás</t>
  </si>
  <si>
    <t>Átmeneti ivóvízellátás támogatása</t>
  </si>
  <si>
    <t>Határátkelőhely támogatása</t>
  </si>
  <si>
    <t>Szociális nyári gyermekétkeztetés</t>
  </si>
  <si>
    <t>Központosított előirányzat</t>
  </si>
  <si>
    <t>Ágazati pótlék   ( egészségügy)</t>
  </si>
  <si>
    <t>Temető ravatalozó épület tető felújítása</t>
  </si>
  <si>
    <t>MAZSIHISZ támogatás</t>
  </si>
  <si>
    <t>Egészségügyi és Szociális Ellátó Szervezet pályázat</t>
  </si>
  <si>
    <t>Egészségügyi és Szociális Ellátó Szervezet fogászati gépek beszerzése saját forrásból</t>
  </si>
  <si>
    <t>Városi Művelődési Központ és Könyvtár "Civil Alap 2014 pályázat"</t>
  </si>
  <si>
    <t>Városi Művelődési Központ és Könyvtár " Civil-Alap 2014 pályázat"</t>
  </si>
  <si>
    <t>Városi Művelődési Központ és Könyvtár foglalkoztatási támogatás</t>
  </si>
  <si>
    <t>Városi Művelődési Központ és Könyvtár pályázati előfinanszírozása Önkormányzattól</t>
  </si>
  <si>
    <t>Városi Művelődési Központ és Könyvtár pályázati előfinanszírozás visszautalása Önkormányzatnak</t>
  </si>
  <si>
    <t>Városi Művelődési Központ és Könyvtár TIOP pályázat 2013. évi</t>
  </si>
  <si>
    <t>58/2014.(IV.24.) KT határozat 1 fő pénzügyi álláshely</t>
  </si>
  <si>
    <t>ebből áfa befizetés az önkormányzat dologi kiadásai között megtervezve</t>
  </si>
  <si>
    <t>Átmeneti ivóvízellátás</t>
  </si>
  <si>
    <t>EP képviselő választás</t>
  </si>
  <si>
    <t>2013. évi számlák PM-ból</t>
  </si>
  <si>
    <t>Városellátó Szervezet 1 db ipari hűtőláda</t>
  </si>
  <si>
    <t xml:space="preserve">  Zene Mindenkiért Alapítvány</t>
  </si>
  <si>
    <t>Erzsébet utalvány (kieg.gyermekvédelmi)</t>
  </si>
  <si>
    <t>Egyéb működési célú</t>
  </si>
  <si>
    <t>Közbiztonság növelését szolg. Ök-i fejlesztés</t>
  </si>
  <si>
    <t>Szeged Csanádi Egyházmegye támogatása</t>
  </si>
  <si>
    <t>2014. évi visszatérülés</t>
  </si>
  <si>
    <t>Konszolidáció</t>
  </si>
  <si>
    <t>Egyéb felhalmozási célú</t>
  </si>
  <si>
    <t>Felhalmozási c. kötvény végtörlesztés</t>
  </si>
  <si>
    <t>Likvid hitel</t>
  </si>
  <si>
    <t>Vízmű felújítás</t>
  </si>
  <si>
    <t>Konszolidáció árfolyam veszteség</t>
  </si>
  <si>
    <t>Városi Művelődési Központ és Könyvtár " Múzeális int. Központosított támogatás"</t>
  </si>
  <si>
    <t>Dologi</t>
  </si>
  <si>
    <t>Helyi ÖK-i választás</t>
  </si>
  <si>
    <t>Helyi ÖK választás</t>
  </si>
  <si>
    <t>Számítástechnikai eszközök  Polgármesteri Hivatalnál</t>
  </si>
  <si>
    <t>TIOP-1.2.3-11/1-2012-0378 számú  Infrastruktúra fejlesztése EU-s pályázat Könyvárnál</t>
  </si>
  <si>
    <t>ESZA Nonprofit Kft.-nek ME-TÁMOP lebony.szla (Uniós finansz.) Battonyai Polgármesteri Hivataltól drogos pályázat visszafiz</t>
  </si>
  <si>
    <t>Mikes Kelemen Gimnáziumnak választási bérmegtérítés Battonyai Polgármesteri Hivataltól</t>
  </si>
  <si>
    <t>Nemzeti Rehabilitációs és Szociális Hivatal támogatása Városellátó Szervezetnek</t>
  </si>
  <si>
    <t>Békés Megyei Kormányhivatal fogl.támog. Városellátó Szervezetnek</t>
  </si>
  <si>
    <t>Nemzeti Család és Szoc.Intézet támogatása Egészségügyi és Szociális Ellátó Szervezetnek</t>
  </si>
  <si>
    <t>Békés Megyei Kormányhivatal fogl.támog. Egészségügyi és Szociális Ellátó Szervezetnek</t>
  </si>
  <si>
    <t>KAB-ME-14-C-16480 pályázat Emberi Erőforrások Miniszt. Egészségügyi és Szociális Ellátó Szervezetnek</t>
  </si>
  <si>
    <t>Nemzeti Rehabilitációs és Szociális Hivatal támogatása Egészségügyi és Szociális Ellátó Szervezetnek</t>
  </si>
  <si>
    <t>Battonya Város Önkormányzata VMK és Könyvtártól 2013. évi  és 2014. évi pályázati megelőlegezés</t>
  </si>
  <si>
    <t>Városi Művelődési Központ és Könyvtár pályázati előfinanszírozás átadása Önk-nak</t>
  </si>
  <si>
    <t>TIOP-1.2.3-11/1-2012-0378 számú Infrastruktúra fejlesztése pályázat</t>
  </si>
  <si>
    <t>Nemzeti Rehabilitációs és Szociális Hivatal támogatása Polgármesteri Hivatalnak</t>
  </si>
  <si>
    <t>Fejezeti kezelésű Eu-s programok működési támog. Könyvtárnak</t>
  </si>
  <si>
    <t>Egyéb fejezeti kezelésű műk. célú támog. Könyvtárnak</t>
  </si>
  <si>
    <t>Battonyai Polgármesteri Hivatal és Battonya Város Önkormányzata kiadásai szakfeladatonként 2014.év</t>
  </si>
  <si>
    <t>2015.06.30.</t>
  </si>
  <si>
    <t>Muzeális intézetek szakmai támogatása</t>
  </si>
  <si>
    <t>"Itthon vagy - Magyarország szeretlek" pályázat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</si>
  <si>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</si>
  <si>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</si>
  <si>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</si>
  <si>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</si>
  <si>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</si>
  <si>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</si>
  <si>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</si>
  <si>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</si>
  <si>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</si>
  <si>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</si>
  <si>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</si>
  <si>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</si>
  <si>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</si>
  <si>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</si>
  <si>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</si>
  <si>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</si>
  <si>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</si>
  <si>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</si>
  <si>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</si>
  <si>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</si>
  <si>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</si>
  <si>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</si>
  <si>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</si>
  <si>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</si>
  <si>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</si>
  <si>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</si>
  <si>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</si>
  <si>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</si>
  <si>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</si>
  <si>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</si>
  <si>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</si>
  <si>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</si>
  <si>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</si>
  <si>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</si>
  <si>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</si>
  <si>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</si>
  <si>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</si>
  <si>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</si>
  <si>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</si>
  <si>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</si>
  <si>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</si>
  <si>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</si>
  <si>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</si>
  <si>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</si>
  <si>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</si>
  <si>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</si>
  <si>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</si>
  <si>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</si>
  <si>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</si>
  <si>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</si>
  <si>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</si>
  <si>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</si>
  <si>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</si>
  <si>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</si>
  <si>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</si>
  <si>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Battonyai Románok Nemzetiségi Egyesülete</t>
  </si>
  <si>
    <t>ÖNHIKI</t>
  </si>
  <si>
    <t>Likvidit.c.hitelek, kölcsönök törlsztése</t>
  </si>
  <si>
    <t>TÁMOP asszisztens fogl.</t>
  </si>
  <si>
    <t>Idegenforgalmi adó</t>
  </si>
  <si>
    <t>Finanszírozási bevételek</t>
  </si>
  <si>
    <t>ÁH-on belüli megelőlegezések (2015.évi előleg állami)</t>
  </si>
  <si>
    <t>Normatíva visszafizetés</t>
  </si>
  <si>
    <t>Társulásoknak műk-i hozzájárulás, tagdíj</t>
  </si>
  <si>
    <t>168/2014.(XII.18.)KT hat.alapján dologi kiadásokhoz átcsoportosítva működési alapból</t>
  </si>
  <si>
    <t>Természetben nyújtott átmeneti segély</t>
  </si>
  <si>
    <t>vízműbérlet</t>
  </si>
  <si>
    <t>91.</t>
  </si>
  <si>
    <t>92.</t>
  </si>
  <si>
    <t>Vállalkozók komm.adója</t>
  </si>
  <si>
    <t>Igazgatási szolg.díj</t>
  </si>
  <si>
    <t>137/2014.(XI.27.) KT határozat  -1 fő pénzügyi álláshely</t>
  </si>
  <si>
    <t>Battonya Város Önkormányzatának 2014. évi engedélyezett létszámkerete</t>
  </si>
  <si>
    <t xml:space="preserve">KEOP szennyvízberuházási pályázat </t>
  </si>
  <si>
    <t xml:space="preserve">Közbiztonság növelését szolgáló önkormányzati fejlesztés </t>
  </si>
  <si>
    <t>Felhalmozásra átvett</t>
  </si>
  <si>
    <t>Felhalmozási célú</t>
  </si>
  <si>
    <t>Lakóépület értékesítés</t>
  </si>
  <si>
    <t>Jármű értékesítés</t>
  </si>
  <si>
    <t>Egyéb célú telek értékesítés</t>
  </si>
  <si>
    <t>Finanszírozási kiadások</t>
  </si>
  <si>
    <t>Hitel kölcsön-törlesztés, belföldi ép.-ok kiadásai</t>
  </si>
  <si>
    <t>átadott pe.műk.</t>
  </si>
  <si>
    <t>átadott pe. felhalm.</t>
  </si>
  <si>
    <t>finansz. műv.</t>
  </si>
  <si>
    <t>többlet bevételű tevékeny-ségekről</t>
  </si>
  <si>
    <t>ezer forintban</t>
  </si>
  <si>
    <t>)</t>
  </si>
  <si>
    <t>Munkaadókat terhelő járulék összesen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</si>
</sst>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  <numFmt numFmtId="177" formatCode="[$¥€-2]\ #\ ##,000_);[Red]\([$€-2]\ #\ ##,000\)"/>
    <numFmt numFmtId="178" formatCode="#,##0.0"/>
    <numFmt numFmtId="179" formatCode="mmm/yyyy"/>
  </numFmts>
  <fonts count="79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i/>
      <sz val="11"/>
      <color indexed="8"/>
      <name val="Arial CE"/>
      <family val="0"/>
    </font>
    <font>
      <i/>
      <sz val="12"/>
      <name val="Arial CE"/>
      <family val="0"/>
    </font>
    <font>
      <i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7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17" borderId="7" applyNumberFormat="0" applyFont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1" borderId="0" applyNumberFormat="0" applyBorder="0" applyAlignment="0" applyProtection="0"/>
    <xf numFmtId="0" fontId="72" fillId="4" borderId="0" applyNumberFormat="0" applyBorder="0" applyAlignment="0" applyProtection="0"/>
    <xf numFmtId="0" fontId="73" fillId="22" borderId="8" applyNumberFormat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" borderId="0" applyNumberFormat="0" applyBorder="0" applyAlignment="0" applyProtection="0"/>
    <xf numFmtId="0" fontId="77" fillId="23" borderId="0" applyNumberFormat="0" applyBorder="0" applyAlignment="0" applyProtection="0"/>
    <xf numFmtId="0" fontId="78" fillId="22" borderId="1" applyNumberFormat="0" applyAlignment="0" applyProtection="0"/>
    <xf numFmtId="9" fontId="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7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3" fontId="1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22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3" fontId="30" fillId="0" borderId="0" xfId="0" applyNumberFormat="1" applyFont="1" applyFill="1" applyAlignment="1">
      <alignment/>
    </xf>
    <xf numFmtId="1" fontId="29" fillId="0" borderId="0" xfId="0" applyNumberFormat="1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3" fontId="30" fillId="0" borderId="23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31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32" fillId="0" borderId="0" xfId="0" applyNumberFormat="1" applyFont="1" applyFill="1" applyAlignment="1">
      <alignment/>
    </xf>
    <xf numFmtId="3" fontId="25" fillId="0" borderId="0" xfId="0" applyNumberFormat="1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3" fillId="0" borderId="23" xfId="0" applyFont="1" applyFill="1" applyBorder="1" applyAlignment="1">
      <alignment/>
    </xf>
    <xf numFmtId="0" fontId="34" fillId="0" borderId="0" xfId="0" applyFont="1" applyBorder="1" applyAlignment="1">
      <alignment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3" fillId="0" borderId="0" xfId="0" applyNumberFormat="1" applyFont="1" applyBorder="1" applyAlignment="1">
      <alignment horizontal="right" vertical="top" wrapText="1"/>
    </xf>
    <xf numFmtId="0" fontId="3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20" fillId="0" borderId="24" xfId="0" applyFont="1" applyBorder="1" applyAlignment="1">
      <alignment horizontal="center"/>
    </xf>
    <xf numFmtId="3" fontId="21" fillId="0" borderId="18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3" fontId="21" fillId="0" borderId="16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wrapText="1"/>
    </xf>
    <xf numFmtId="0" fontId="20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0" xfId="0" applyFont="1" applyBorder="1" applyAlignment="1">
      <alignment/>
    </xf>
    <xf numFmtId="1" fontId="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35" fillId="0" borderId="0" xfId="0" applyNumberFormat="1" applyFont="1" applyFill="1" applyAlignment="1">
      <alignment/>
    </xf>
    <xf numFmtId="4" fontId="20" fillId="0" borderId="12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39" fillId="0" borderId="0" xfId="58" applyFont="1" applyFill="1" applyAlignment="1" applyProtection="1">
      <alignment horizontal="center" vertical="center" wrapText="1"/>
      <protection/>
    </xf>
    <xf numFmtId="0" fontId="40" fillId="0" borderId="0" xfId="58" applyFill="1" applyProtection="1">
      <alignment/>
      <protection/>
    </xf>
    <xf numFmtId="0" fontId="40" fillId="0" borderId="0" xfId="58" applyFill="1" applyProtection="1">
      <alignment/>
      <protection locked="0"/>
    </xf>
    <xf numFmtId="0" fontId="41" fillId="0" borderId="0" xfId="57" applyFont="1" applyFill="1" applyAlignment="1">
      <alignment horizontal="right"/>
      <protection/>
    </xf>
    <xf numFmtId="0" fontId="43" fillId="0" borderId="27" xfId="58" applyFont="1" applyFill="1" applyBorder="1" applyAlignment="1" applyProtection="1">
      <alignment horizontal="center" vertical="center" wrapText="1"/>
      <protection/>
    </xf>
    <xf numFmtId="0" fontId="43" fillId="0" borderId="28" xfId="58" applyFont="1" applyFill="1" applyBorder="1" applyAlignment="1" applyProtection="1">
      <alignment horizontal="center" vertical="center"/>
      <protection/>
    </xf>
    <xf numFmtId="0" fontId="43" fillId="0" borderId="29" xfId="58" applyFont="1" applyFill="1" applyBorder="1" applyAlignment="1" applyProtection="1">
      <alignment horizontal="center" vertical="center"/>
      <protection/>
    </xf>
    <xf numFmtId="0" fontId="44" fillId="0" borderId="30" xfId="58" applyFont="1" applyFill="1" applyBorder="1" applyAlignment="1" applyProtection="1">
      <alignment horizontal="left" vertical="center" indent="1"/>
      <protection/>
    </xf>
    <xf numFmtId="0" fontId="45" fillId="0" borderId="31" xfId="58" applyFont="1" applyFill="1" applyBorder="1" applyAlignment="1" applyProtection="1">
      <alignment horizontal="left" vertical="center" indent="1"/>
      <protection/>
    </xf>
    <xf numFmtId="0" fontId="45" fillId="0" borderId="20" xfId="58" applyFont="1" applyFill="1" applyBorder="1" applyAlignment="1" applyProtection="1">
      <alignment horizontal="left" vertical="center" indent="1"/>
      <protection/>
    </xf>
    <xf numFmtId="0" fontId="44" fillId="0" borderId="32" xfId="58" applyFont="1" applyFill="1" applyBorder="1" applyAlignment="1" applyProtection="1">
      <alignment horizontal="left" vertical="center" indent="1"/>
      <protection/>
    </xf>
    <xf numFmtId="0" fontId="44" fillId="0" borderId="33" xfId="58" applyFont="1" applyFill="1" applyBorder="1" applyAlignment="1" applyProtection="1">
      <alignment horizontal="left" vertical="center" indent="1"/>
      <protection/>
    </xf>
    <xf numFmtId="0" fontId="44" fillId="0" borderId="34" xfId="58" applyFont="1" applyFill="1" applyBorder="1" applyAlignment="1" applyProtection="1">
      <alignment horizontal="left" vertical="center" indent="1"/>
      <protection/>
    </xf>
    <xf numFmtId="0" fontId="44" fillId="0" borderId="35" xfId="58" applyFont="1" applyFill="1" applyBorder="1" applyAlignment="1" applyProtection="1">
      <alignment horizontal="left" vertical="center" indent="1"/>
      <protection/>
    </xf>
    <xf numFmtId="0" fontId="44" fillId="0" borderId="36" xfId="58" applyFont="1" applyFill="1" applyBorder="1" applyAlignment="1" applyProtection="1">
      <alignment horizontal="left" vertical="center" wrapText="1" indent="1"/>
      <protection/>
    </xf>
    <xf numFmtId="0" fontId="44" fillId="0" borderId="35" xfId="58" applyFont="1" applyFill="1" applyBorder="1" applyAlignment="1" applyProtection="1">
      <alignment horizontal="left" vertical="center" wrapText="1" indent="1"/>
      <protection/>
    </xf>
    <xf numFmtId="0" fontId="43" fillId="0" borderId="37" xfId="58" applyFont="1" applyFill="1" applyBorder="1" applyAlignment="1" applyProtection="1">
      <alignment horizontal="left" vertical="center" indent="1"/>
      <protection/>
    </xf>
    <xf numFmtId="0" fontId="45" fillId="0" borderId="26" xfId="58" applyFont="1" applyFill="1" applyBorder="1" applyAlignment="1" applyProtection="1">
      <alignment horizontal="left" vertical="center" indent="1"/>
      <protection/>
    </xf>
    <xf numFmtId="0" fontId="44" fillId="0" borderId="38" xfId="58" applyFont="1" applyFill="1" applyBorder="1" applyAlignment="1" applyProtection="1">
      <alignment horizontal="left" vertical="center" indent="1"/>
      <protection/>
    </xf>
    <xf numFmtId="0" fontId="44" fillId="0" borderId="36" xfId="58" applyFont="1" applyFill="1" applyBorder="1" applyAlignment="1" applyProtection="1">
      <alignment horizontal="left" vertical="center" indent="1"/>
      <protection/>
    </xf>
    <xf numFmtId="0" fontId="46" fillId="0" borderId="30" xfId="58" applyFont="1" applyFill="1" applyBorder="1" applyAlignment="1" applyProtection="1">
      <alignment horizontal="left" vertical="center" indent="1"/>
      <protection/>
    </xf>
    <xf numFmtId="0" fontId="43" fillId="0" borderId="37" xfId="58" applyFont="1" applyFill="1" applyBorder="1" applyAlignment="1" applyProtection="1">
      <alignment horizontal="left" indent="1"/>
      <protection/>
    </xf>
    <xf numFmtId="0" fontId="42" fillId="0" borderId="0" xfId="58" applyFont="1" applyFill="1" applyProtection="1">
      <alignment/>
      <protection/>
    </xf>
    <xf numFmtId="0" fontId="20" fillId="0" borderId="0" xfId="58" applyFont="1" applyFill="1" applyProtection="1">
      <alignment/>
      <protection locked="0"/>
    </xf>
    <xf numFmtId="0" fontId="39" fillId="0" borderId="0" xfId="58" applyFont="1" applyFill="1" applyProtection="1">
      <alignment/>
      <protection locked="0"/>
    </xf>
    <xf numFmtId="3" fontId="39" fillId="0" borderId="0" xfId="58" applyNumberFormat="1" applyFont="1" applyFill="1" applyProtection="1">
      <alignment/>
      <protection locked="0"/>
    </xf>
    <xf numFmtId="0" fontId="39" fillId="0" borderId="0" xfId="58" applyFont="1" applyFill="1" applyBorder="1" applyAlignment="1" applyProtection="1">
      <alignment horizontal="center" wrapText="1"/>
      <protection locked="0"/>
    </xf>
    <xf numFmtId="168" fontId="44" fillId="0" borderId="33" xfId="58" applyNumberFormat="1" applyFont="1" applyFill="1" applyBorder="1" applyAlignment="1" applyProtection="1">
      <alignment vertical="center"/>
      <protection locked="0"/>
    </xf>
    <xf numFmtId="168" fontId="44" fillId="0" borderId="33" xfId="58" applyNumberFormat="1" applyFont="1" applyFill="1" applyBorder="1" applyAlignment="1" applyProtection="1">
      <alignment vertical="center"/>
      <protection/>
    </xf>
    <xf numFmtId="168" fontId="44" fillId="0" borderId="39" xfId="58" applyNumberFormat="1" applyFont="1" applyFill="1" applyBorder="1" applyAlignment="1" applyProtection="1" quotePrefix="1">
      <alignment horizontal="center" vertical="center"/>
      <protection/>
    </xf>
    <xf numFmtId="168" fontId="44" fillId="0" borderId="35" xfId="58" applyNumberFormat="1" applyFont="1" applyFill="1" applyBorder="1" applyAlignment="1" applyProtection="1">
      <alignment vertical="center"/>
      <protection locked="0"/>
    </xf>
    <xf numFmtId="168" fontId="44" fillId="0" borderId="40" xfId="58" applyNumberFormat="1" applyFont="1" applyFill="1" applyBorder="1" applyAlignment="1" applyProtection="1">
      <alignment vertical="center"/>
      <protection/>
    </xf>
    <xf numFmtId="168" fontId="44" fillId="0" borderId="36" xfId="58" applyNumberFormat="1" applyFont="1" applyFill="1" applyBorder="1" applyAlignment="1" applyProtection="1">
      <alignment vertical="center"/>
      <protection locked="0"/>
    </xf>
    <xf numFmtId="168" fontId="44" fillId="0" borderId="41" xfId="58" applyNumberFormat="1" applyFont="1" applyFill="1" applyBorder="1" applyAlignment="1" applyProtection="1">
      <alignment vertical="center"/>
      <protection/>
    </xf>
    <xf numFmtId="168" fontId="46" fillId="0" borderId="37" xfId="58" applyNumberFormat="1" applyFont="1" applyFill="1" applyBorder="1" applyAlignment="1" applyProtection="1">
      <alignment vertical="center"/>
      <protection/>
    </xf>
    <xf numFmtId="168" fontId="46" fillId="0" borderId="42" xfId="58" applyNumberFormat="1" applyFont="1" applyFill="1" applyBorder="1" applyAlignment="1" applyProtection="1">
      <alignment vertical="center"/>
      <protection/>
    </xf>
    <xf numFmtId="168" fontId="46" fillId="0" borderId="37" xfId="58" applyNumberFormat="1" applyFont="1" applyFill="1" applyBorder="1" applyProtection="1">
      <alignment/>
      <protection/>
    </xf>
    <xf numFmtId="168" fontId="46" fillId="0" borderId="42" xfId="58" applyNumberFormat="1" applyFont="1" applyFill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5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37" fillId="0" borderId="16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5" fillId="0" borderId="21" xfId="0" applyFont="1" applyFill="1" applyBorder="1" applyAlignment="1">
      <alignment wrapText="1"/>
    </xf>
    <xf numFmtId="0" fontId="35" fillId="0" borderId="16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64" fontId="35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0" fillId="0" borderId="43" xfId="0" applyNumberFormat="1" applyFont="1" applyFill="1" applyBorder="1" applyAlignment="1">
      <alignment/>
    </xf>
    <xf numFmtId="3" fontId="27" fillId="0" borderId="43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 wrapText="1"/>
    </xf>
    <xf numFmtId="0" fontId="21" fillId="0" borderId="0" xfId="56" applyFont="1" applyFill="1">
      <alignment/>
      <protection/>
    </xf>
    <xf numFmtId="168" fontId="20" fillId="0" borderId="0" xfId="56" applyNumberFormat="1" applyFont="1" applyFill="1" applyBorder="1" applyAlignment="1" applyProtection="1">
      <alignment horizontal="centerContinuous" vertical="center"/>
      <protection/>
    </xf>
    <xf numFmtId="0" fontId="48" fillId="0" borderId="0" xfId="0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 applyProtection="1">
      <alignment/>
      <protection/>
    </xf>
    <xf numFmtId="0" fontId="39" fillId="0" borderId="44" xfId="56" applyFont="1" applyFill="1" applyBorder="1" applyAlignment="1" applyProtection="1">
      <alignment horizontal="center" vertical="center" wrapText="1"/>
      <protection/>
    </xf>
    <xf numFmtId="0" fontId="39" fillId="0" borderId="45" xfId="56" applyFont="1" applyFill="1" applyBorder="1" applyAlignment="1" applyProtection="1">
      <alignment horizontal="center" vertical="center" wrapText="1"/>
      <protection/>
    </xf>
    <xf numFmtId="0" fontId="39" fillId="0" borderId="46" xfId="56" applyFont="1" applyFill="1" applyBorder="1" applyAlignment="1" applyProtection="1">
      <alignment horizontal="center" vertical="center" wrapText="1"/>
      <protection/>
    </xf>
    <xf numFmtId="0" fontId="40" fillId="0" borderId="30" xfId="56" applyFont="1" applyFill="1" applyBorder="1" applyAlignment="1" applyProtection="1">
      <alignment horizontal="center" vertical="center"/>
      <protection/>
    </xf>
    <xf numFmtId="0" fontId="40" fillId="0" borderId="37" xfId="56" applyFont="1" applyFill="1" applyBorder="1" applyAlignment="1" applyProtection="1">
      <alignment horizontal="center" vertical="center"/>
      <protection/>
    </xf>
    <xf numFmtId="0" fontId="40" fillId="0" borderId="42" xfId="56" applyFont="1" applyFill="1" applyBorder="1" applyAlignment="1" applyProtection="1">
      <alignment horizontal="center" vertical="center"/>
      <protection/>
    </xf>
    <xf numFmtId="0" fontId="40" fillId="0" borderId="45" xfId="56" applyFont="1" applyFill="1" applyBorder="1" applyProtection="1">
      <alignment/>
      <protection/>
    </xf>
    <xf numFmtId="3" fontId="15" fillId="0" borderId="46" xfId="0" applyNumberFormat="1" applyFont="1" applyBorder="1" applyAlignment="1">
      <alignment horizontal="right" vertical="center" wrapText="1"/>
    </xf>
    <xf numFmtId="0" fontId="40" fillId="0" borderId="35" xfId="56" applyFont="1" applyFill="1" applyBorder="1" applyProtection="1">
      <alignment/>
      <protection/>
    </xf>
    <xf numFmtId="3" fontId="15" fillId="0" borderId="40" xfId="0" applyNumberFormat="1" applyFont="1" applyBorder="1" applyAlignment="1">
      <alignment horizontal="right" vertical="center" wrapText="1"/>
    </xf>
    <xf numFmtId="0" fontId="40" fillId="0" borderId="35" xfId="56" applyFont="1" applyFill="1" applyBorder="1" applyAlignment="1" applyProtection="1">
      <alignment wrapText="1"/>
      <protection/>
    </xf>
    <xf numFmtId="0" fontId="40" fillId="0" borderId="47" xfId="56" applyFont="1" applyFill="1" applyBorder="1" applyProtection="1">
      <alignment/>
      <protection/>
    </xf>
    <xf numFmtId="3" fontId="18" fillId="0" borderId="42" xfId="0" applyNumberFormat="1" applyFont="1" applyBorder="1" applyAlignment="1">
      <alignment horizontal="right" vertical="center" wrapText="1"/>
    </xf>
    <xf numFmtId="3" fontId="40" fillId="0" borderId="0" xfId="58" applyNumberFormat="1" applyFill="1" applyProtection="1">
      <alignment/>
      <protection/>
    </xf>
    <xf numFmtId="0" fontId="39" fillId="0" borderId="0" xfId="58" applyFont="1" applyFill="1" applyAlignment="1" applyProtection="1">
      <alignment horizontal="center" wrapText="1"/>
      <protection/>
    </xf>
    <xf numFmtId="0" fontId="39" fillId="0" borderId="0" xfId="58" applyFont="1" applyFill="1" applyAlignment="1" applyProtection="1">
      <alignment horizontal="center"/>
      <protection/>
    </xf>
    <xf numFmtId="0" fontId="39" fillId="0" borderId="25" xfId="56" applyFont="1" applyFill="1" applyBorder="1" applyAlignment="1" applyProtection="1">
      <alignment/>
      <protection/>
    </xf>
    <xf numFmtId="3" fontId="15" fillId="0" borderId="48" xfId="0" applyNumberFormat="1" applyFont="1" applyBorder="1" applyAlignment="1">
      <alignment horizontal="right" vertical="center" wrapText="1"/>
    </xf>
    <xf numFmtId="0" fontId="19" fillId="0" borderId="44" xfId="56" applyFont="1" applyFill="1" applyBorder="1" applyAlignment="1" applyProtection="1">
      <alignment horizontal="right" vertical="center"/>
      <protection/>
    </xf>
    <xf numFmtId="0" fontId="19" fillId="0" borderId="34" xfId="56" applyFont="1" applyFill="1" applyBorder="1" applyAlignment="1" applyProtection="1">
      <alignment horizontal="right" vertical="center"/>
      <protection/>
    </xf>
    <xf numFmtId="0" fontId="19" fillId="0" borderId="49" xfId="56" applyFont="1" applyFill="1" applyBorder="1" applyAlignment="1" applyProtection="1">
      <alignment horizontal="right" vertical="center"/>
      <protection/>
    </xf>
    <xf numFmtId="0" fontId="50" fillId="0" borderId="25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0" fillId="0" borderId="0" xfId="58" applyFont="1" applyFill="1" applyAlignment="1" applyProtection="1">
      <alignment horizontal="right"/>
      <protection/>
    </xf>
    <xf numFmtId="0" fontId="40" fillId="0" borderId="0" xfId="58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20" fillId="0" borderId="2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1" fillId="0" borderId="13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3" fillId="0" borderId="2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23" fillId="0" borderId="23" xfId="0" applyNumberFormat="1" applyFont="1" applyFill="1" applyBorder="1" applyAlignment="1">
      <alignment/>
    </xf>
    <xf numFmtId="3" fontId="23" fillId="0" borderId="43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50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wrapText="1"/>
    </xf>
    <xf numFmtId="164" fontId="35" fillId="0" borderId="21" xfId="0" applyNumberFormat="1" applyFont="1" applyFill="1" applyBorder="1" applyAlignment="1">
      <alignment/>
    </xf>
    <xf numFmtId="164" fontId="35" fillId="0" borderId="16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10" fillId="0" borderId="0" xfId="0" applyNumberFormat="1" applyFont="1" applyAlignment="1">
      <alignment horizontal="right"/>
    </xf>
    <xf numFmtId="0" fontId="20" fillId="0" borderId="15" xfId="0" applyFont="1" applyBorder="1" applyAlignment="1">
      <alignment horizontal="center"/>
    </xf>
    <xf numFmtId="4" fontId="20" fillId="0" borderId="17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7" xfId="0" applyFont="1" applyBorder="1" applyAlignment="1">
      <alignment wrapText="1"/>
    </xf>
    <xf numFmtId="3" fontId="21" fillId="0" borderId="17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left"/>
    </xf>
    <xf numFmtId="0" fontId="57" fillId="0" borderId="0" xfId="0" applyFont="1" applyFill="1" applyAlignment="1">
      <alignment/>
    </xf>
    <xf numFmtId="3" fontId="46" fillId="0" borderId="51" xfId="58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59" fillId="0" borderId="0" xfId="0" applyFont="1" applyFill="1" applyBorder="1" applyAlignment="1">
      <alignment horizontal="right" wrapText="1"/>
    </xf>
    <xf numFmtId="0" fontId="59" fillId="0" borderId="0" xfId="0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" fontId="11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3" fontId="33" fillId="0" borderId="18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164" fontId="35" fillId="0" borderId="21" xfId="0" applyNumberFormat="1" applyFont="1" applyFill="1" applyBorder="1" applyAlignment="1">
      <alignment wrapText="1"/>
    </xf>
    <xf numFmtId="3" fontId="3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1" fillId="0" borderId="0" xfId="0" applyFont="1" applyAlignment="1">
      <alignment/>
    </xf>
    <xf numFmtId="3" fontId="44" fillId="0" borderId="51" xfId="58" applyNumberFormat="1" applyFont="1" applyFill="1" applyBorder="1" applyAlignment="1" applyProtection="1">
      <alignment vertical="center"/>
      <protection locked="0"/>
    </xf>
    <xf numFmtId="3" fontId="46" fillId="0" borderId="33" xfId="58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right" wrapText="1"/>
    </xf>
    <xf numFmtId="3" fontId="33" fillId="0" borderId="16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0" fontId="35" fillId="0" borderId="25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5" fillId="0" borderId="20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 wrapText="1"/>
    </xf>
    <xf numFmtId="0" fontId="36" fillId="0" borderId="20" xfId="0" applyFont="1" applyFill="1" applyBorder="1" applyAlignment="1">
      <alignment wrapText="1"/>
    </xf>
    <xf numFmtId="0" fontId="36" fillId="0" borderId="20" xfId="0" applyFont="1" applyFill="1" applyBorder="1" applyAlignment="1">
      <alignment/>
    </xf>
    <xf numFmtId="0" fontId="36" fillId="0" borderId="26" xfId="0" applyFont="1" applyFill="1" applyBorder="1" applyAlignment="1">
      <alignment wrapText="1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3" fontId="35" fillId="0" borderId="16" xfId="0" applyNumberFormat="1" applyFont="1" applyFill="1" applyBorder="1" applyAlignment="1">
      <alignment horizontal="right" wrapText="1"/>
    </xf>
    <xf numFmtId="0" fontId="35" fillId="0" borderId="18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16" xfId="0" applyNumberFormat="1" applyFont="1" applyFill="1" applyBorder="1" applyAlignment="1">
      <alignment/>
    </xf>
    <xf numFmtId="3" fontId="35" fillId="0" borderId="18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35" fillId="0" borderId="16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/>
    </xf>
    <xf numFmtId="0" fontId="35" fillId="0" borderId="20" xfId="0" applyFont="1" applyFill="1" applyBorder="1" applyAlignment="1">
      <alignment/>
    </xf>
    <xf numFmtId="3" fontId="35" fillId="0" borderId="20" xfId="0" applyNumberFormat="1" applyFont="1" applyFill="1" applyBorder="1" applyAlignment="1">
      <alignment/>
    </xf>
    <xf numFmtId="3" fontId="35" fillId="0" borderId="25" xfId="0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164" fontId="10" fillId="0" borderId="0" xfId="0" applyNumberFormat="1" applyFont="1" applyFill="1" applyAlignment="1">
      <alignment horizontal="right"/>
    </xf>
    <xf numFmtId="164" fontId="35" fillId="0" borderId="16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35" fillId="0" borderId="20" xfId="0" applyNumberFormat="1" applyFont="1" applyFill="1" applyBorder="1" applyAlignment="1">
      <alignment horizontal="right"/>
    </xf>
    <xf numFmtId="164" fontId="35" fillId="0" borderId="25" xfId="0" applyNumberFormat="1" applyFont="1" applyFill="1" applyBorder="1" applyAlignment="1">
      <alignment horizontal="right"/>
    </xf>
    <xf numFmtId="164" fontId="35" fillId="0" borderId="26" xfId="0" applyNumberFormat="1" applyFont="1" applyFill="1" applyBorder="1" applyAlignment="1">
      <alignment horizontal="right"/>
    </xf>
    <xf numFmtId="0" fontId="35" fillId="0" borderId="26" xfId="0" applyFont="1" applyFill="1" applyBorder="1" applyAlignment="1">
      <alignment horizontal="center" wrapText="1"/>
    </xf>
    <xf numFmtId="164" fontId="35" fillId="0" borderId="18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35" fillId="0" borderId="19" xfId="0" applyFont="1" applyFill="1" applyBorder="1" applyAlignment="1">
      <alignment horizontal="center" wrapText="1"/>
    </xf>
    <xf numFmtId="164" fontId="36" fillId="0" borderId="0" xfId="0" applyNumberFormat="1" applyFont="1" applyFill="1" applyBorder="1" applyAlignment="1">
      <alignment/>
    </xf>
    <xf numFmtId="0" fontId="36" fillId="0" borderId="19" xfId="0" applyFont="1" applyFill="1" applyBorder="1" applyAlignment="1">
      <alignment wrapText="1"/>
    </xf>
    <xf numFmtId="164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35" fillId="0" borderId="19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8" xfId="0" applyFont="1" applyFill="1" applyBorder="1" applyAlignment="1">
      <alignment/>
    </xf>
    <xf numFmtId="3" fontId="35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64" fontId="10" fillId="0" borderId="25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26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 wrapText="1"/>
    </xf>
    <xf numFmtId="3" fontId="35" fillId="0" borderId="21" xfId="0" applyNumberFormat="1" applyFont="1" applyFill="1" applyBorder="1" applyAlignment="1">
      <alignment/>
    </xf>
    <xf numFmtId="164" fontId="35" fillId="0" borderId="2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3" fontId="3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21" fillId="0" borderId="0" xfId="56" applyNumberFormat="1" applyFont="1" applyFill="1">
      <alignment/>
      <protection/>
    </xf>
    <xf numFmtId="0" fontId="11" fillId="0" borderId="24" xfId="0" applyFont="1" applyFill="1" applyBorder="1" applyAlignment="1">
      <alignment/>
    </xf>
    <xf numFmtId="0" fontId="11" fillId="13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left"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4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right"/>
    </xf>
    <xf numFmtId="0" fontId="15" fillId="0" borderId="51" xfId="0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8" fillId="0" borderId="0" xfId="0" applyFont="1" applyFill="1" applyAlignment="1">
      <alignment/>
    </xf>
    <xf numFmtId="0" fontId="15" fillId="0" borderId="17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/>
    </xf>
    <xf numFmtId="0" fontId="33" fillId="0" borderId="52" xfId="0" applyFont="1" applyFill="1" applyBorder="1" applyAlignment="1">
      <alignment vertical="top" wrapText="1"/>
    </xf>
    <xf numFmtId="0" fontId="34" fillId="0" borderId="52" xfId="0" applyFont="1" applyFill="1" applyBorder="1" applyAlignment="1">
      <alignment horizontal="right" vertical="top" wrapText="1"/>
    </xf>
    <xf numFmtId="0" fontId="34" fillId="0" borderId="53" xfId="0" applyFont="1" applyFill="1" applyBorder="1" applyAlignment="1">
      <alignment horizontal="right" vertical="top" wrapText="1"/>
    </xf>
    <xf numFmtId="0" fontId="34" fillId="0" borderId="52" xfId="0" applyFont="1" applyFill="1" applyBorder="1" applyAlignment="1">
      <alignment horizontal="right" vertical="center" wrapText="1"/>
    </xf>
    <xf numFmtId="0" fontId="34" fillId="0" borderId="54" xfId="0" applyFont="1" applyFill="1" applyBorder="1" applyAlignment="1">
      <alignment horizontal="right" vertical="top" wrapText="1"/>
    </xf>
    <xf numFmtId="0" fontId="34" fillId="0" borderId="45" xfId="0" applyFont="1" applyFill="1" applyBorder="1" applyAlignment="1">
      <alignment horizontal="right" vertical="top" wrapText="1"/>
    </xf>
    <xf numFmtId="3" fontId="33" fillId="0" borderId="55" xfId="0" applyNumberFormat="1" applyFont="1" applyFill="1" applyBorder="1" applyAlignment="1">
      <alignment horizontal="right" vertical="top" wrapText="1"/>
    </xf>
    <xf numFmtId="0" fontId="34" fillId="0" borderId="56" xfId="0" applyFont="1" applyFill="1" applyBorder="1" applyAlignment="1">
      <alignment vertical="top" wrapText="1"/>
    </xf>
    <xf numFmtId="3" fontId="0" fillId="0" borderId="56" xfId="0" applyNumberFormat="1" applyFill="1" applyBorder="1" applyAlignment="1">
      <alignment/>
    </xf>
    <xf numFmtId="3" fontId="34" fillId="0" borderId="57" xfId="0" applyNumberFormat="1" applyFont="1" applyFill="1" applyBorder="1" applyAlignment="1">
      <alignment vertical="top" wrapText="1"/>
    </xf>
    <xf numFmtId="3" fontId="34" fillId="0" borderId="56" xfId="0" applyNumberFormat="1" applyFont="1" applyFill="1" applyBorder="1" applyAlignment="1">
      <alignment vertical="top" wrapText="1"/>
    </xf>
    <xf numFmtId="3" fontId="34" fillId="0" borderId="56" xfId="0" applyNumberFormat="1" applyFont="1" applyFill="1" applyBorder="1" applyAlignment="1">
      <alignment horizontal="right" vertical="top" wrapText="1"/>
    </xf>
    <xf numFmtId="3" fontId="34" fillId="0" borderId="58" xfId="0" applyNumberFormat="1" applyFont="1" applyFill="1" applyBorder="1" applyAlignment="1">
      <alignment horizontal="right" vertical="top" wrapText="1"/>
    </xf>
    <xf numFmtId="3" fontId="34" fillId="0" borderId="35" xfId="0" applyNumberFormat="1" applyFont="1" applyFill="1" applyBorder="1" applyAlignment="1">
      <alignment horizontal="right" vertical="top" wrapText="1"/>
    </xf>
    <xf numFmtId="3" fontId="34" fillId="0" borderId="59" xfId="0" applyNumberFormat="1" applyFont="1" applyFill="1" applyBorder="1" applyAlignment="1">
      <alignment horizontal="right" vertical="top" wrapText="1"/>
    </xf>
    <xf numFmtId="0" fontId="34" fillId="0" borderId="60" xfId="0" applyFont="1" applyFill="1" applyBorder="1" applyAlignment="1">
      <alignment vertical="top" wrapText="1"/>
    </xf>
    <xf numFmtId="3" fontId="34" fillId="0" borderId="61" xfId="0" applyNumberFormat="1" applyFont="1" applyFill="1" applyBorder="1" applyAlignment="1">
      <alignment vertical="top" wrapText="1"/>
    </xf>
    <xf numFmtId="3" fontId="34" fillId="0" borderId="60" xfId="0" applyNumberFormat="1" applyFont="1" applyFill="1" applyBorder="1" applyAlignment="1">
      <alignment vertical="top" wrapText="1"/>
    </xf>
    <xf numFmtId="3" fontId="34" fillId="0" borderId="60" xfId="0" applyNumberFormat="1" applyFont="1" applyFill="1" applyBorder="1" applyAlignment="1">
      <alignment horizontal="right" vertical="top" wrapText="1"/>
    </xf>
    <xf numFmtId="3" fontId="34" fillId="0" borderId="62" xfId="0" applyNumberFormat="1" applyFont="1" applyFill="1" applyBorder="1" applyAlignment="1">
      <alignment horizontal="right" vertical="top" wrapText="1"/>
    </xf>
    <xf numFmtId="3" fontId="34" fillId="0" borderId="47" xfId="0" applyNumberFormat="1" applyFont="1" applyFill="1" applyBorder="1" applyAlignment="1">
      <alignment horizontal="right" vertical="top" wrapText="1"/>
    </xf>
    <xf numFmtId="3" fontId="34" fillId="0" borderId="63" xfId="0" applyNumberFormat="1" applyFont="1" applyFill="1" applyBorder="1" applyAlignment="1">
      <alignment horizontal="right" vertical="top" wrapText="1"/>
    </xf>
    <xf numFmtId="3" fontId="0" fillId="0" borderId="16" xfId="0" applyNumberFormat="1" applyFill="1" applyBorder="1" applyAlignment="1">
      <alignment/>
    </xf>
    <xf numFmtId="3" fontId="34" fillId="0" borderId="61" xfId="0" applyNumberFormat="1" applyFont="1" applyFill="1" applyBorder="1" applyAlignment="1">
      <alignment horizontal="right" vertical="top" wrapText="1"/>
    </xf>
    <xf numFmtId="4" fontId="34" fillId="0" borderId="60" xfId="0" applyNumberFormat="1" applyFont="1" applyFill="1" applyBorder="1" applyAlignment="1">
      <alignment horizontal="right" vertical="top" wrapText="1"/>
    </xf>
    <xf numFmtId="4" fontId="34" fillId="0" borderId="62" xfId="0" applyNumberFormat="1" applyFont="1" applyFill="1" applyBorder="1" applyAlignment="1">
      <alignment horizontal="right" vertical="top" wrapText="1"/>
    </xf>
    <xf numFmtId="4" fontId="34" fillId="0" borderId="47" xfId="0" applyNumberFormat="1" applyFont="1" applyFill="1" applyBorder="1" applyAlignment="1">
      <alignment horizontal="right" vertical="top" wrapText="1"/>
    </xf>
    <xf numFmtId="0" fontId="33" fillId="0" borderId="21" xfId="0" applyFont="1" applyFill="1" applyBorder="1" applyAlignment="1">
      <alignment vertical="top" wrapText="1"/>
    </xf>
    <xf numFmtId="3" fontId="33" fillId="0" borderId="21" xfId="0" applyNumberFormat="1" applyFont="1" applyFill="1" applyBorder="1" applyAlignment="1">
      <alignment horizontal="right" vertical="top" wrapText="1"/>
    </xf>
    <xf numFmtId="0" fontId="33" fillId="0" borderId="64" xfId="0" applyFont="1" applyFill="1" applyBorder="1" applyAlignment="1">
      <alignment vertical="top" wrapText="1"/>
    </xf>
    <xf numFmtId="3" fontId="33" fillId="0" borderId="64" xfId="0" applyNumberFormat="1" applyFont="1" applyFill="1" applyBorder="1" applyAlignment="1">
      <alignment horizontal="right" vertical="top" wrapText="1"/>
    </xf>
    <xf numFmtId="3" fontId="33" fillId="0" borderId="65" xfId="0" applyNumberFormat="1" applyFont="1" applyFill="1" applyBorder="1" applyAlignment="1">
      <alignment horizontal="right" vertical="top" wrapText="1"/>
    </xf>
    <xf numFmtId="4" fontId="33" fillId="0" borderId="64" xfId="0" applyNumberFormat="1" applyFont="1" applyFill="1" applyBorder="1" applyAlignment="1">
      <alignment horizontal="right" vertical="top" wrapText="1"/>
    </xf>
    <xf numFmtId="4" fontId="33" fillId="0" borderId="66" xfId="0" applyNumberFormat="1" applyFont="1" applyFill="1" applyBorder="1" applyAlignment="1">
      <alignment horizontal="right" vertical="top" wrapText="1"/>
    </xf>
    <xf numFmtId="4" fontId="33" fillId="0" borderId="36" xfId="0" applyNumberFormat="1" applyFont="1" applyFill="1" applyBorder="1" applyAlignment="1">
      <alignment horizontal="right" vertical="top" wrapText="1"/>
    </xf>
    <xf numFmtId="3" fontId="33" fillId="0" borderId="67" xfId="0" applyNumberFormat="1" applyFont="1" applyFill="1" applyBorder="1" applyAlignment="1">
      <alignment horizontal="right" vertical="top" wrapText="1"/>
    </xf>
    <xf numFmtId="3" fontId="34" fillId="0" borderId="57" xfId="0" applyNumberFormat="1" applyFont="1" applyFill="1" applyBorder="1" applyAlignment="1">
      <alignment horizontal="right" vertical="top" wrapText="1"/>
    </xf>
    <xf numFmtId="4" fontId="34" fillId="0" borderId="56" xfId="0" applyNumberFormat="1" applyFont="1" applyFill="1" applyBorder="1" applyAlignment="1">
      <alignment horizontal="right" vertical="top" wrapText="1"/>
    </xf>
    <xf numFmtId="4" fontId="34" fillId="0" borderId="58" xfId="0" applyNumberFormat="1" applyFont="1" applyFill="1" applyBorder="1" applyAlignment="1">
      <alignment horizontal="right" vertical="top" wrapText="1"/>
    </xf>
    <xf numFmtId="4" fontId="34" fillId="0" borderId="35" xfId="0" applyNumberFormat="1" applyFont="1" applyFill="1" applyBorder="1" applyAlignment="1">
      <alignment horizontal="right" vertical="top" wrapText="1"/>
    </xf>
    <xf numFmtId="3" fontId="0" fillId="0" borderId="56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35" xfId="0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34" fillId="0" borderId="11" xfId="0" applyFont="1" applyFill="1" applyBorder="1" applyAlignment="1">
      <alignment vertical="top" wrapText="1"/>
    </xf>
    <xf numFmtId="3" fontId="34" fillId="0" borderId="11" xfId="0" applyNumberFormat="1" applyFont="1" applyFill="1" applyBorder="1" applyAlignment="1">
      <alignment horizontal="right" vertical="top" wrapText="1"/>
    </xf>
    <xf numFmtId="3" fontId="34" fillId="0" borderId="17" xfId="0" applyNumberFormat="1" applyFont="1" applyFill="1" applyBorder="1" applyAlignment="1">
      <alignment horizontal="right" vertical="top" wrapText="1"/>
    </xf>
    <xf numFmtId="3" fontId="34" fillId="0" borderId="68" xfId="0" applyNumberFormat="1" applyFont="1" applyFill="1" applyBorder="1" applyAlignment="1">
      <alignment horizontal="right" vertical="top" wrapText="1"/>
    </xf>
    <xf numFmtId="3" fontId="34" fillId="0" borderId="69" xfId="0" applyNumberFormat="1" applyFont="1" applyFill="1" applyBorder="1" applyAlignment="1">
      <alignment horizontal="right" vertical="top" wrapText="1"/>
    </xf>
    <xf numFmtId="3" fontId="34" fillId="0" borderId="70" xfId="0" applyNumberFormat="1" applyFont="1" applyFill="1" applyBorder="1" applyAlignment="1">
      <alignment horizontal="right" vertical="top" wrapText="1"/>
    </xf>
    <xf numFmtId="3" fontId="33" fillId="0" borderId="71" xfId="0" applyNumberFormat="1" applyFont="1" applyFill="1" applyBorder="1" applyAlignment="1">
      <alignment horizontal="right" vertical="top" wrapText="1"/>
    </xf>
    <xf numFmtId="3" fontId="33" fillId="0" borderId="72" xfId="0" applyNumberFormat="1" applyFont="1" applyFill="1" applyBorder="1" applyAlignment="1">
      <alignment horizontal="right" vertical="top" wrapText="1"/>
    </xf>
    <xf numFmtId="3" fontId="33" fillId="0" borderId="73" xfId="0" applyNumberFormat="1" applyFont="1" applyFill="1" applyBorder="1" applyAlignment="1">
      <alignment horizontal="right" vertical="top" wrapText="1"/>
    </xf>
    <xf numFmtId="3" fontId="33" fillId="0" borderId="25" xfId="0" applyNumberFormat="1" applyFont="1" applyFill="1" applyBorder="1" applyAlignment="1">
      <alignment horizontal="right" vertical="top" wrapText="1"/>
    </xf>
    <xf numFmtId="3" fontId="33" fillId="0" borderId="26" xfId="0" applyNumberFormat="1" applyFont="1" applyFill="1" applyBorder="1" applyAlignment="1">
      <alignment horizontal="right" vertical="top" wrapText="1"/>
    </xf>
    <xf numFmtId="3" fontId="33" fillId="0" borderId="74" xfId="0" applyNumberFormat="1" applyFont="1" applyFill="1" applyBorder="1" applyAlignment="1">
      <alignment horizontal="right" vertical="top" wrapText="1"/>
    </xf>
    <xf numFmtId="3" fontId="33" fillId="0" borderId="75" xfId="0" applyNumberFormat="1" applyFont="1" applyFill="1" applyBorder="1" applyAlignment="1">
      <alignment horizontal="right" vertical="top" wrapText="1"/>
    </xf>
    <xf numFmtId="3" fontId="33" fillId="0" borderId="36" xfId="0" applyNumberFormat="1" applyFont="1" applyFill="1" applyBorder="1" applyAlignment="1">
      <alignment horizontal="right" vertical="top" wrapText="1"/>
    </xf>
    <xf numFmtId="3" fontId="33" fillId="0" borderId="37" xfId="0" applyNumberFormat="1" applyFont="1" applyFill="1" applyBorder="1" applyAlignment="1">
      <alignment horizontal="right" vertical="top" wrapText="1"/>
    </xf>
    <xf numFmtId="3" fontId="33" fillId="0" borderId="45" xfId="0" applyNumberFormat="1" applyFont="1" applyFill="1" applyBorder="1" applyAlignment="1">
      <alignment horizontal="right" vertical="top" wrapText="1"/>
    </xf>
    <xf numFmtId="0" fontId="16" fillId="0" borderId="17" xfId="0" applyFont="1" applyFill="1" applyBorder="1" applyAlignment="1">
      <alignment horizontal="center"/>
    </xf>
    <xf numFmtId="3" fontId="33" fillId="0" borderId="30" xfId="0" applyNumberFormat="1" applyFont="1" applyFill="1" applyBorder="1" applyAlignment="1">
      <alignment horizontal="right" vertical="top" wrapText="1"/>
    </xf>
    <xf numFmtId="0" fontId="10" fillId="0" borderId="19" xfId="0" applyFont="1" applyFill="1" applyBorder="1" applyAlignment="1">
      <alignment/>
    </xf>
    <xf numFmtId="0" fontId="35" fillId="0" borderId="2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/>
    </xf>
    <xf numFmtId="0" fontId="39" fillId="0" borderId="0" xfId="58" applyFont="1" applyFill="1" applyBorder="1" applyAlignment="1" applyProtection="1">
      <alignment horizontal="center" wrapText="1"/>
      <protection locked="0"/>
    </xf>
    <xf numFmtId="0" fontId="43" fillId="0" borderId="28" xfId="58" applyFont="1" applyFill="1" applyBorder="1" applyAlignment="1" applyProtection="1">
      <alignment horizontal="center" vertical="center"/>
      <protection/>
    </xf>
    <xf numFmtId="0" fontId="43" fillId="0" borderId="29" xfId="58" applyFont="1" applyFill="1" applyBorder="1" applyAlignment="1" applyProtection="1">
      <alignment horizontal="center" vertical="center"/>
      <protection/>
    </xf>
    <xf numFmtId="0" fontId="45" fillId="0" borderId="31" xfId="58" applyFont="1" applyFill="1" applyBorder="1" applyAlignment="1" applyProtection="1">
      <alignment horizontal="left" vertical="center" indent="1"/>
      <protection/>
    </xf>
    <xf numFmtId="0" fontId="45" fillId="0" borderId="20" xfId="58" applyFont="1" applyFill="1" applyBorder="1" applyAlignment="1" applyProtection="1">
      <alignment horizontal="left" vertical="center" indent="1"/>
      <protection/>
    </xf>
    <xf numFmtId="0" fontId="45" fillId="0" borderId="26" xfId="58" applyFont="1" applyFill="1" applyBorder="1" applyAlignment="1" applyProtection="1">
      <alignment horizontal="left" vertical="center" indent="1"/>
      <protection/>
    </xf>
    <xf numFmtId="0" fontId="44" fillId="0" borderId="33" xfId="58" applyFont="1" applyFill="1" applyBorder="1" applyAlignment="1" applyProtection="1">
      <alignment horizontal="left" vertical="center" indent="1"/>
      <protection/>
    </xf>
    <xf numFmtId="168" fontId="44" fillId="0" borderId="33" xfId="58" applyNumberFormat="1" applyFont="1" applyFill="1" applyBorder="1" applyAlignment="1" applyProtection="1">
      <alignment vertical="center"/>
      <protection locked="0"/>
    </xf>
    <xf numFmtId="168" fontId="44" fillId="0" borderId="33" xfId="58" applyNumberFormat="1" applyFont="1" applyFill="1" applyBorder="1" applyAlignment="1" applyProtection="1">
      <alignment vertical="center"/>
      <protection/>
    </xf>
    <xf numFmtId="168" fontId="44" fillId="0" borderId="39" xfId="58" applyNumberFormat="1" applyFont="1" applyFill="1" applyBorder="1" applyAlignment="1" applyProtection="1" quotePrefix="1">
      <alignment horizontal="center" vertical="center"/>
      <protection/>
    </xf>
    <xf numFmtId="0" fontId="44" fillId="0" borderId="35" xfId="58" applyFont="1" applyFill="1" applyBorder="1" applyAlignment="1" applyProtection="1">
      <alignment horizontal="left" vertical="center" indent="1"/>
      <protection/>
    </xf>
    <xf numFmtId="168" fontId="44" fillId="0" borderId="35" xfId="58" applyNumberFormat="1" applyFont="1" applyFill="1" applyBorder="1" applyAlignment="1" applyProtection="1">
      <alignment vertical="center"/>
      <protection locked="0"/>
    </xf>
    <xf numFmtId="168" fontId="44" fillId="0" borderId="40" xfId="58" applyNumberFormat="1" applyFont="1" applyFill="1" applyBorder="1" applyAlignment="1" applyProtection="1">
      <alignment vertical="center"/>
      <protection/>
    </xf>
    <xf numFmtId="0" fontId="44" fillId="0" borderId="36" xfId="58" applyFont="1" applyFill="1" applyBorder="1" applyAlignment="1" applyProtection="1">
      <alignment horizontal="left" vertical="center" wrapText="1" indent="1"/>
      <protection/>
    </xf>
    <xf numFmtId="168" fontId="44" fillId="0" borderId="36" xfId="58" applyNumberFormat="1" applyFont="1" applyFill="1" applyBorder="1" applyAlignment="1" applyProtection="1">
      <alignment vertical="center"/>
      <protection locked="0"/>
    </xf>
    <xf numFmtId="168" fontId="44" fillId="0" borderId="41" xfId="58" applyNumberFormat="1" applyFont="1" applyFill="1" applyBorder="1" applyAlignment="1" applyProtection="1">
      <alignment vertical="center"/>
      <protection/>
    </xf>
    <xf numFmtId="0" fontId="44" fillId="0" borderId="35" xfId="58" applyFont="1" applyFill="1" applyBorder="1" applyAlignment="1" applyProtection="1">
      <alignment horizontal="left" vertical="center" wrapText="1" indent="1"/>
      <protection/>
    </xf>
    <xf numFmtId="0" fontId="43" fillId="0" borderId="37" xfId="58" applyFont="1" applyFill="1" applyBorder="1" applyAlignment="1" applyProtection="1">
      <alignment horizontal="left" vertical="center" indent="1"/>
      <protection/>
    </xf>
    <xf numFmtId="168" fontId="46" fillId="0" borderId="37" xfId="58" applyNumberFormat="1" applyFont="1" applyFill="1" applyBorder="1" applyAlignment="1" applyProtection="1">
      <alignment vertical="center"/>
      <protection/>
    </xf>
    <xf numFmtId="0" fontId="44" fillId="0" borderId="36" xfId="58" applyFont="1" applyFill="1" applyBorder="1" applyAlignment="1" applyProtection="1">
      <alignment horizontal="left" vertical="center" indent="1"/>
      <protection/>
    </xf>
    <xf numFmtId="168" fontId="46" fillId="0" borderId="42" xfId="58" applyNumberFormat="1" applyFont="1" applyFill="1" applyBorder="1" applyAlignment="1" applyProtection="1">
      <alignment vertical="center"/>
      <protection/>
    </xf>
    <xf numFmtId="0" fontId="43" fillId="0" borderId="37" xfId="58" applyFont="1" applyFill="1" applyBorder="1" applyAlignment="1" applyProtection="1">
      <alignment horizontal="left" indent="1"/>
      <protection/>
    </xf>
    <xf numFmtId="168" fontId="46" fillId="0" borderId="37" xfId="58" applyNumberFormat="1" applyFont="1" applyFill="1" applyBorder="1" applyProtection="1">
      <alignment/>
      <protection/>
    </xf>
    <xf numFmtId="168" fontId="46" fillId="0" borderId="42" xfId="58" applyNumberFormat="1" applyFont="1" applyFill="1" applyBorder="1" applyAlignment="1" applyProtection="1" quotePrefix="1">
      <alignment horizontal="center"/>
      <protection/>
    </xf>
    <xf numFmtId="0" fontId="0" fillId="0" borderId="0" xfId="0" applyFill="1" applyAlignment="1">
      <alignment/>
    </xf>
    <xf numFmtId="0" fontId="39" fillId="0" borderId="0" xfId="58" applyFont="1" applyFill="1" applyAlignment="1" applyProtection="1">
      <alignment horizontal="center" vertical="center" wrapText="1"/>
      <protection/>
    </xf>
    <xf numFmtId="0" fontId="41" fillId="0" borderId="0" xfId="57" applyFont="1" applyFill="1" applyAlignment="1">
      <alignment horizontal="right"/>
      <protection/>
    </xf>
    <xf numFmtId="0" fontId="40" fillId="0" borderId="0" xfId="58" applyFont="1" applyFill="1" applyProtection="1">
      <alignment/>
      <protection/>
    </xf>
    <xf numFmtId="0" fontId="40" fillId="0" borderId="0" xfId="58" applyFont="1" applyFill="1" applyProtection="1">
      <alignment/>
      <protection locked="0"/>
    </xf>
    <xf numFmtId="0" fontId="43" fillId="0" borderId="27" xfId="58" applyFont="1" applyFill="1" applyBorder="1" applyAlignment="1" applyProtection="1">
      <alignment horizontal="center" vertical="center" wrapText="1"/>
      <protection/>
    </xf>
    <xf numFmtId="0" fontId="44" fillId="0" borderId="30" xfId="58" applyFont="1" applyFill="1" applyBorder="1" applyAlignment="1" applyProtection="1">
      <alignment horizontal="left" vertical="center" indent="1"/>
      <protection/>
    </xf>
    <xf numFmtId="0" fontId="44" fillId="0" borderId="32" xfId="58" applyFont="1" applyFill="1" applyBorder="1" applyAlignment="1" applyProtection="1">
      <alignment horizontal="left" vertical="center" indent="1"/>
      <protection/>
    </xf>
    <xf numFmtId="3" fontId="44" fillId="0" borderId="33" xfId="58" applyNumberFormat="1" applyFont="1" applyFill="1" applyBorder="1" applyAlignment="1" applyProtection="1">
      <alignment vertical="center"/>
      <protection locked="0"/>
    </xf>
    <xf numFmtId="3" fontId="44" fillId="0" borderId="46" xfId="58" applyNumberFormat="1" applyFont="1" applyFill="1" applyBorder="1" applyAlignment="1" applyProtection="1">
      <alignment vertical="center"/>
      <protection/>
    </xf>
    <xf numFmtId="0" fontId="44" fillId="0" borderId="34" xfId="58" applyFont="1" applyFill="1" applyBorder="1" applyAlignment="1" applyProtection="1">
      <alignment horizontal="left" vertical="center" indent="1"/>
      <protection/>
    </xf>
    <xf numFmtId="3" fontId="44" fillId="0" borderId="35" xfId="58" applyNumberFormat="1" applyFont="1" applyFill="1" applyBorder="1" applyAlignment="1" applyProtection="1">
      <alignment vertical="center"/>
      <protection locked="0"/>
    </xf>
    <xf numFmtId="3" fontId="44" fillId="0" borderId="40" xfId="58" applyNumberFormat="1" applyFont="1" applyFill="1" applyBorder="1" applyAlignment="1" applyProtection="1">
      <alignment vertical="center"/>
      <protection/>
    </xf>
    <xf numFmtId="3" fontId="44" fillId="0" borderId="36" xfId="58" applyNumberFormat="1" applyFont="1" applyFill="1" applyBorder="1" applyAlignment="1" applyProtection="1">
      <alignment vertical="center"/>
      <protection locked="0"/>
    </xf>
    <xf numFmtId="3" fontId="44" fillId="0" borderId="76" xfId="58" applyNumberFormat="1" applyFont="1" applyFill="1" applyBorder="1" applyAlignment="1" applyProtection="1">
      <alignment vertical="center"/>
      <protection/>
    </xf>
    <xf numFmtId="3" fontId="46" fillId="0" borderId="37" xfId="58" applyNumberFormat="1" applyFont="1" applyFill="1" applyBorder="1" applyAlignment="1" applyProtection="1">
      <alignment vertical="center"/>
      <protection/>
    </xf>
    <xf numFmtId="0" fontId="44" fillId="0" borderId="38" xfId="58" applyFont="1" applyFill="1" applyBorder="1" applyAlignment="1" applyProtection="1">
      <alignment horizontal="left" vertical="center" indent="1"/>
      <protection/>
    </xf>
    <xf numFmtId="3" fontId="44" fillId="0" borderId="41" xfId="58" applyNumberFormat="1" applyFont="1" applyFill="1" applyBorder="1" applyAlignment="1" applyProtection="1">
      <alignment vertical="center"/>
      <protection/>
    </xf>
    <xf numFmtId="0" fontId="46" fillId="0" borderId="30" xfId="58" applyFont="1" applyFill="1" applyBorder="1" applyAlignment="1" applyProtection="1">
      <alignment horizontal="left" vertical="center" indent="1"/>
      <protection/>
    </xf>
    <xf numFmtId="0" fontId="33" fillId="0" borderId="47" xfId="0" applyFont="1" applyFill="1" applyBorder="1" applyAlignment="1">
      <alignment horizontal="center" vertical="top" wrapText="1"/>
    </xf>
    <xf numFmtId="3" fontId="46" fillId="0" borderId="42" xfId="58" applyNumberFormat="1" applyFont="1" applyFill="1" applyBorder="1" applyAlignment="1" applyProtection="1">
      <alignment vertical="center"/>
      <protection/>
    </xf>
    <xf numFmtId="3" fontId="46" fillId="0" borderId="37" xfId="58" applyNumberFormat="1" applyFont="1" applyFill="1" applyBorder="1" applyProtection="1">
      <alignment/>
      <protection/>
    </xf>
    <xf numFmtId="0" fontId="42" fillId="0" borderId="0" xfId="58" applyFont="1" applyFill="1" applyProtection="1">
      <alignment/>
      <protection/>
    </xf>
    <xf numFmtId="0" fontId="40" fillId="0" borderId="0" xfId="58" applyFill="1" applyProtection="1">
      <alignment/>
      <protection locked="0"/>
    </xf>
    <xf numFmtId="0" fontId="40" fillId="0" borderId="0" xfId="58" applyFill="1" applyProtection="1">
      <alignment/>
      <protection/>
    </xf>
    <xf numFmtId="0" fontId="20" fillId="0" borderId="0" xfId="58" applyFont="1" applyFill="1" applyProtection="1">
      <alignment/>
      <protection locked="0"/>
    </xf>
    <xf numFmtId="3" fontId="39" fillId="0" borderId="0" xfId="58" applyNumberFormat="1" applyFont="1" applyFill="1" applyProtection="1">
      <alignment/>
      <protection locked="0"/>
    </xf>
    <xf numFmtId="0" fontId="39" fillId="0" borderId="0" xfId="58" applyFont="1" applyFill="1" applyProtection="1">
      <alignment/>
      <protection locked="0"/>
    </xf>
    <xf numFmtId="3" fontId="40" fillId="0" borderId="0" xfId="58" applyNumberFormat="1" applyFill="1" applyProtection="1">
      <alignment/>
      <protection/>
    </xf>
    <xf numFmtId="0" fontId="0" fillId="0" borderId="0" xfId="0" applyFill="1" applyAlignment="1">
      <alignment horizontal="right"/>
    </xf>
    <xf numFmtId="0" fontId="33" fillId="0" borderId="19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62" xfId="0" applyFont="1" applyFill="1" applyBorder="1" applyAlignment="1">
      <alignment horizontal="center" vertical="top" wrapText="1"/>
    </xf>
    <xf numFmtId="0" fontId="33" fillId="0" borderId="68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16" fillId="0" borderId="53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69" xfId="0" applyBorder="1" applyAlignment="1">
      <alignment wrapText="1"/>
    </xf>
    <xf numFmtId="0" fontId="33" fillId="0" borderId="24" xfId="0" applyFont="1" applyFill="1" applyBorder="1" applyAlignment="1">
      <alignment horizontal="center" vertical="top" wrapText="1"/>
    </xf>
    <xf numFmtId="0" fontId="33" fillId="0" borderId="69" xfId="0" applyFont="1" applyFill="1" applyBorder="1" applyAlignment="1">
      <alignment horizontal="center" vertical="top" wrapText="1"/>
    </xf>
    <xf numFmtId="0" fontId="33" fillId="0" borderId="63" xfId="0" applyFont="1" applyFill="1" applyBorder="1" applyAlignment="1">
      <alignment horizontal="center" vertical="top" wrapText="1"/>
    </xf>
    <xf numFmtId="0" fontId="10" fillId="0" borderId="70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68" fontId="47" fillId="0" borderId="0" xfId="56" applyNumberFormat="1" applyFont="1" applyFill="1" applyBorder="1" applyAlignment="1" applyProtection="1">
      <alignment horizontal="center" vertical="center" wrapText="1"/>
      <protection/>
    </xf>
    <xf numFmtId="0" fontId="44" fillId="0" borderId="15" xfId="56" applyFont="1" applyFill="1" applyBorder="1" applyAlignment="1">
      <alignment horizontal="justify" vertical="center" wrapText="1"/>
      <protection/>
    </xf>
    <xf numFmtId="0" fontId="39" fillId="0" borderId="0" xfId="58" applyFont="1" applyFill="1" applyBorder="1" applyAlignment="1" applyProtection="1">
      <alignment horizontal="center" wrapText="1"/>
      <protection locked="0"/>
    </xf>
    <xf numFmtId="0" fontId="39" fillId="0" borderId="17" xfId="58" applyFont="1" applyFill="1" applyBorder="1" applyAlignment="1" applyProtection="1">
      <alignment horizontal="center" wrapText="1"/>
      <protection locked="0"/>
    </xf>
    <xf numFmtId="0" fontId="45" fillId="0" borderId="31" xfId="58" applyFont="1" applyFill="1" applyBorder="1" applyAlignment="1" applyProtection="1">
      <alignment horizontal="left" vertical="center" indent="1"/>
      <protection/>
    </xf>
    <xf numFmtId="0" fontId="45" fillId="0" borderId="20" xfId="58" applyFont="1" applyFill="1" applyBorder="1" applyAlignment="1" applyProtection="1">
      <alignment horizontal="left" vertical="center" indent="1"/>
      <protection/>
    </xf>
    <xf numFmtId="0" fontId="45" fillId="0" borderId="24" xfId="58" applyFont="1" applyFill="1" applyBorder="1" applyAlignment="1" applyProtection="1">
      <alignment horizontal="left" vertical="center" indent="1"/>
      <protection/>
    </xf>
    <xf numFmtId="0" fontId="45" fillId="0" borderId="26" xfId="58" applyFont="1" applyFill="1" applyBorder="1" applyAlignment="1" applyProtection="1">
      <alignment horizontal="left" vertical="center" indent="1"/>
      <protection/>
    </xf>
    <xf numFmtId="0" fontId="0" fillId="0" borderId="0" xfId="0" applyFill="1" applyAlignment="1">
      <alignment horizontal="right"/>
    </xf>
    <xf numFmtId="0" fontId="39" fillId="0" borderId="0" xfId="58" applyFont="1" applyFill="1" applyAlignment="1" applyProtection="1">
      <alignment horizontal="center" vertical="center" wrapText="1"/>
      <protection/>
    </xf>
    <xf numFmtId="0" fontId="39" fillId="0" borderId="0" xfId="58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right"/>
    </xf>
    <xf numFmtId="0" fontId="39" fillId="0" borderId="0" xfId="58" applyFont="1" applyFill="1" applyAlignment="1" applyProtection="1">
      <alignment horizontal="center" vertical="center" wrapText="1"/>
      <protection/>
    </xf>
    <xf numFmtId="0" fontId="39" fillId="0" borderId="0" xfId="58" applyFont="1" applyFill="1" applyAlignment="1" applyProtection="1">
      <alignment horizontal="center" vertical="center"/>
      <protection/>
    </xf>
    <xf numFmtId="0" fontId="39" fillId="0" borderId="0" xfId="58" applyFont="1" applyFill="1" applyAlignment="1" applyProtection="1">
      <alignment horizontal="center" wrapText="1"/>
      <protection/>
    </xf>
    <xf numFmtId="0" fontId="39" fillId="0" borderId="0" xfId="58" applyFont="1" applyFill="1" applyAlignment="1" applyProtection="1">
      <alignment horizontal="center"/>
      <protection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s&#233;gvet&#233;s\int&#233;zm&#233;nyi%20sz&#246;veges%20k&#246;lts&#233;gvet&#233;sek%202014&#233;v\ESZESZ%202014%20&#233;vi%20sz&#246;veges%20k&#246;lts&#233;gve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m&#243;d2014\j&#250;nius\k&#246;ltm&#243;d&#225;prilis%20el&#337;terjeszt&#23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m&#243;d%20%20november%202014%20el&#337;terjesz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24">
          <cell r="B24" t="str">
            <v>Városi Művelődési Központ és Könyvtár</v>
          </cell>
        </row>
      </sheetData>
      <sheetData sheetId="4">
        <row r="34">
          <cell r="B34" t="str">
            <v>Battonya Város Önkormányzata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2013bérek"/>
      <sheetName val="normatíva2014"/>
      <sheetName val="2014 bérek"/>
      <sheetName val="összesítő"/>
      <sheetName val="889921 szoc.étk."/>
      <sheetName val="856012 Korai fejl.gondozás"/>
      <sheetName val="889926 közösségiell."/>
      <sheetName val="881011 nappaliell."/>
      <sheetName val="881012 demens"/>
      <sheetName val="889201 gyermekjólét"/>
      <sheetName val="889924 családs."/>
      <sheetName val="889922 házis.ny."/>
      <sheetName val="862301 fogorvosi ell."/>
      <sheetName val="869041 védőnők"/>
      <sheetName val="869042 ifjuság-eü.gondozás"/>
      <sheetName val="869031 labor"/>
      <sheetName val="869037 fizikoterápiás szolg."/>
      <sheetName val="862101 háziorv."/>
      <sheetName val="ESZESZ BEVÉTEL"/>
      <sheetName val="ESZESZ2_es"/>
    </sheetNames>
    <sheetDataSet>
      <sheetData sheetId="3">
        <row r="48">
          <cell r="J48">
            <v>130800</v>
          </cell>
        </row>
        <row r="49">
          <cell r="J49">
            <v>126300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1"/>
      <sheetName val="ÖK likviditási terv"/>
      <sheetName val="likviditási terv 2014"/>
      <sheetName val="ÖK finansz."/>
      <sheetName val="könyvtár fin terv"/>
      <sheetName val="vsz finterv"/>
      <sheetName val="eszesz finterv"/>
      <sheetName val="PH ei.felh."/>
      <sheetName val="Munka5"/>
      <sheetName val="rendeletkönyv"/>
      <sheetName val="pfkiadás"/>
      <sheetName val="pfbevétel"/>
      <sheetName val="bevétel"/>
      <sheetName val="kiadás"/>
      <sheetName val="átadott"/>
      <sheetName val="segélyek"/>
      <sheetName val="felh."/>
      <sheetName val="több éves"/>
      <sheetName val="állami 2014"/>
      <sheetName val="állami"/>
      <sheetName val="felhalmozási bevétel"/>
      <sheetName val="felh.mérleg"/>
      <sheetName val="nem"/>
      <sheetName val="ph szakfeladatok"/>
      <sheetName val="szakfeladatonként ök összesen"/>
      <sheetName val="közösségi ellátás"/>
      <sheetName val="létszám"/>
      <sheetName val="konszolidáció"/>
      <sheetName val="Munka2"/>
      <sheetName val="Munka1"/>
      <sheetName val="Munka3"/>
      <sheetName val="Munka4"/>
    </sheetNames>
    <sheetDataSet>
      <sheetData sheetId="20">
        <row r="7">
          <cell r="C7">
            <v>150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övpótló"/>
      <sheetName val="bérkomp"/>
      <sheetName val="állami"/>
      <sheetName val="2013 évi közfogi"/>
      <sheetName val="2014 közfogi"/>
      <sheetName val="rendeletkönyv"/>
      <sheetName val="1_mell"/>
      <sheetName val="2_mell"/>
      <sheetName val="3_mell"/>
      <sheetName val="4_mell"/>
      <sheetName val="4_1 mell"/>
      <sheetName val="5_mell"/>
      <sheetName val="6_mell"/>
      <sheetName val="7_mell"/>
      <sheetName val="8_mell"/>
      <sheetName val="9_mell"/>
      <sheetName val="10_mell"/>
      <sheetName val="11_mell"/>
      <sheetName val="12_mell"/>
      <sheetName val="13_mell"/>
      <sheetName val="14_mell"/>
      <sheetName val="15_mell"/>
      <sheetName val="16_mell"/>
      <sheetName val="18_mell"/>
      <sheetName val="17_mell"/>
      <sheetName val="19_mell"/>
      <sheetName val="20_mell"/>
      <sheetName val="21_mell"/>
    </sheetNames>
    <sheetDataSet>
      <sheetData sheetId="6">
        <row r="11">
          <cell r="F11">
            <v>15219</v>
          </cell>
        </row>
        <row r="14">
          <cell r="F14">
            <v>125000</v>
          </cell>
        </row>
        <row r="15">
          <cell r="F15">
            <v>51</v>
          </cell>
        </row>
        <row r="16">
          <cell r="F16">
            <v>2561</v>
          </cell>
        </row>
        <row r="17">
          <cell r="F17">
            <v>2500</v>
          </cell>
        </row>
        <row r="18">
          <cell r="F18">
            <v>51450</v>
          </cell>
        </row>
        <row r="20">
          <cell r="F20">
            <v>10054</v>
          </cell>
        </row>
        <row r="24">
          <cell r="F24">
            <v>609594</v>
          </cell>
        </row>
        <row r="51">
          <cell r="F51">
            <v>304787</v>
          </cell>
        </row>
        <row r="52">
          <cell r="E52">
            <v>32500</v>
          </cell>
          <cell r="F52">
            <v>32500</v>
          </cell>
        </row>
        <row r="95">
          <cell r="F95">
            <v>34406</v>
          </cell>
        </row>
        <row r="97">
          <cell r="F97">
            <v>6094</v>
          </cell>
        </row>
        <row r="102">
          <cell r="F102">
            <v>150</v>
          </cell>
        </row>
        <row r="105">
          <cell r="F105">
            <v>13519</v>
          </cell>
        </row>
        <row r="107">
          <cell r="F107">
            <v>77957</v>
          </cell>
        </row>
      </sheetData>
      <sheetData sheetId="7">
        <row r="25">
          <cell r="F25">
            <v>232405</v>
          </cell>
        </row>
        <row r="26">
          <cell r="C26" t="str">
            <v>Felhalmozási c. hitel törlesztése</v>
          </cell>
        </row>
        <row r="27">
          <cell r="C27" t="str">
            <v>Felhalmozási c. kötvény végtörlesztés</v>
          </cell>
          <cell r="F27">
            <v>162405</v>
          </cell>
        </row>
        <row r="32">
          <cell r="F32">
            <v>1365125</v>
          </cell>
        </row>
      </sheetData>
      <sheetData sheetId="8">
        <row r="8">
          <cell r="D8">
            <v>92943</v>
          </cell>
          <cell r="G8">
            <v>27490</v>
          </cell>
        </row>
        <row r="13">
          <cell r="D13">
            <v>8903</v>
          </cell>
          <cell r="F13">
            <v>34354</v>
          </cell>
          <cell r="G13">
            <v>2356</v>
          </cell>
        </row>
        <row r="18">
          <cell r="D18">
            <v>2200</v>
          </cell>
          <cell r="E18">
            <v>268</v>
          </cell>
          <cell r="F18">
            <v>1727</v>
          </cell>
          <cell r="G18">
            <v>1000</v>
          </cell>
          <cell r="H18">
            <v>1100</v>
          </cell>
          <cell r="L18">
            <v>28752</v>
          </cell>
        </row>
        <row r="33">
          <cell r="D33">
            <v>117877</v>
          </cell>
        </row>
      </sheetData>
      <sheetData sheetId="9">
        <row r="7">
          <cell r="D7">
            <v>44210</v>
          </cell>
          <cell r="E7">
            <v>11946</v>
          </cell>
          <cell r="F7">
            <v>170807</v>
          </cell>
          <cell r="M7">
            <v>227482</v>
          </cell>
        </row>
        <row r="12">
          <cell r="D12">
            <v>71263</v>
          </cell>
          <cell r="E12">
            <v>19077</v>
          </cell>
          <cell r="F12">
            <v>47580</v>
          </cell>
          <cell r="M12">
            <v>140570</v>
          </cell>
        </row>
        <row r="16">
          <cell r="B16" t="str">
            <v>Városi Művelődési Központ és Könyvtár</v>
          </cell>
        </row>
        <row r="17">
          <cell r="D17">
            <v>10162</v>
          </cell>
          <cell r="E17">
            <v>2707</v>
          </cell>
          <cell r="F17">
            <v>12529</v>
          </cell>
          <cell r="G17">
            <v>25398</v>
          </cell>
          <cell r="H17">
            <v>454</v>
          </cell>
          <cell r="L17">
            <v>2900</v>
          </cell>
          <cell r="M17">
            <v>28752</v>
          </cell>
        </row>
        <row r="36">
          <cell r="D36">
            <v>418790</v>
          </cell>
          <cell r="E36">
            <v>88045</v>
          </cell>
          <cell r="F36">
            <v>335548</v>
          </cell>
          <cell r="G36">
            <v>842383</v>
          </cell>
          <cell r="H36">
            <v>61523</v>
          </cell>
          <cell r="I36">
            <v>128655</v>
          </cell>
          <cell r="K36">
            <v>4000</v>
          </cell>
          <cell r="L36">
            <v>96159</v>
          </cell>
        </row>
      </sheetData>
      <sheetData sheetId="13">
        <row r="14">
          <cell r="D14">
            <v>2650</v>
          </cell>
        </row>
      </sheetData>
      <sheetData sheetId="17">
        <row r="19">
          <cell r="I19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0"/>
  <sheetViews>
    <sheetView view="pageLayout" zoomScaleSheetLayoutView="100" workbookViewId="0" topLeftCell="A1">
      <selection activeCell="H20" sqref="H20"/>
    </sheetView>
  </sheetViews>
  <sheetFormatPr defaultColWidth="9.140625" defaultRowHeight="15" customHeight="1"/>
  <cols>
    <col min="1" max="1" width="3.57421875" style="405" customWidth="1"/>
    <col min="2" max="2" width="4.57421875" style="405" customWidth="1"/>
    <col min="3" max="3" width="50.28125" style="405" customWidth="1"/>
    <col min="4" max="4" width="10.421875" style="415" hidden="1" customWidth="1"/>
    <col min="5" max="5" width="14.8515625" style="411" bestFit="1" customWidth="1"/>
    <col min="6" max="6" width="14.8515625" style="411" customWidth="1"/>
    <col min="7" max="10" width="15.00390625" style="411" customWidth="1"/>
    <col min="11" max="11" width="10.28125" style="416" bestFit="1" customWidth="1"/>
    <col min="12" max="12" width="16.57421875" style="411" bestFit="1" customWidth="1"/>
    <col min="13" max="13" width="13.140625" style="411" bestFit="1" customWidth="1"/>
    <col min="14" max="14" width="16.57421875" style="411" bestFit="1" customWidth="1"/>
    <col min="15" max="17" width="17.8515625" style="411" bestFit="1" customWidth="1"/>
    <col min="18" max="23" width="19.140625" style="411" customWidth="1"/>
    <col min="24" max="24" width="14.421875" style="411" bestFit="1" customWidth="1"/>
    <col min="25" max="25" width="22.28125" style="409" customWidth="1"/>
    <col min="26" max="26" width="19.00390625" style="409" customWidth="1"/>
    <col min="27" max="28" width="10.57421875" style="409" customWidth="1"/>
    <col min="29" max="36" width="14.421875" style="409" customWidth="1"/>
    <col min="37" max="37" width="14.421875" style="405" customWidth="1"/>
    <col min="38" max="38" width="14.57421875" style="405" customWidth="1"/>
    <col min="39" max="40" width="14.421875" style="405" customWidth="1"/>
    <col min="41" max="41" width="9.140625" style="405" customWidth="1"/>
    <col min="42" max="42" width="14.140625" style="405" customWidth="1"/>
    <col min="43" max="16384" width="9.140625" style="405" customWidth="1"/>
  </cols>
  <sheetData>
    <row r="1" spans="1:35" ht="15" customHeight="1">
      <c r="A1" s="405" t="s">
        <v>259</v>
      </c>
      <c r="C1" s="404"/>
      <c r="D1" s="412" t="s">
        <v>407</v>
      </c>
      <c r="E1" s="406" t="s">
        <v>365</v>
      </c>
      <c r="F1" s="406" t="s">
        <v>365</v>
      </c>
      <c r="G1" s="406"/>
      <c r="H1" s="406"/>
      <c r="I1" s="406"/>
      <c r="J1" s="406"/>
      <c r="K1" s="407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</row>
    <row r="2" spans="1:36" ht="15" customHeight="1">
      <c r="A2" s="441" t="s">
        <v>169</v>
      </c>
      <c r="C2" s="433"/>
      <c r="D2" s="412" t="s">
        <v>68</v>
      </c>
      <c r="E2" s="406" t="s">
        <v>68</v>
      </c>
      <c r="F2" s="406" t="s">
        <v>454</v>
      </c>
      <c r="G2" s="406"/>
      <c r="H2" s="406"/>
      <c r="I2" s="406"/>
      <c r="J2" s="406"/>
      <c r="K2" s="407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</row>
    <row r="3" spans="1:36" ht="9" customHeight="1">
      <c r="A3" s="441"/>
      <c r="C3" s="433"/>
      <c r="D3" s="412"/>
      <c r="E3" s="406"/>
      <c r="F3" s="406"/>
      <c r="G3" s="406"/>
      <c r="H3" s="406"/>
      <c r="I3" s="406"/>
      <c r="J3" s="406"/>
      <c r="K3" s="407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</row>
    <row r="4" spans="1:36" s="409" customFormat="1" ht="15" customHeight="1">
      <c r="A4" s="409" t="s">
        <v>11</v>
      </c>
      <c r="B4" s="408" t="s">
        <v>12</v>
      </c>
      <c r="C4" s="408" t="s">
        <v>13</v>
      </c>
      <c r="D4" s="406" t="s">
        <v>14</v>
      </c>
      <c r="E4" s="406" t="s">
        <v>14</v>
      </c>
      <c r="F4" s="406" t="s">
        <v>15</v>
      </c>
      <c r="G4" s="406"/>
      <c r="H4" s="406"/>
      <c r="I4" s="406"/>
      <c r="J4" s="406"/>
      <c r="K4" s="407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</row>
    <row r="5" spans="5:29" ht="9" customHeight="1">
      <c r="E5" s="406"/>
      <c r="F5" s="406"/>
      <c r="G5" s="406"/>
      <c r="H5" s="406"/>
      <c r="I5" s="406"/>
      <c r="J5" s="406"/>
      <c r="K5" s="407"/>
      <c r="L5" s="406"/>
      <c r="M5" s="406"/>
      <c r="N5" s="406"/>
      <c r="Q5" s="406"/>
      <c r="R5" s="406"/>
      <c r="S5" s="406"/>
      <c r="T5" s="406"/>
      <c r="U5" s="406"/>
      <c r="V5" s="406"/>
      <c r="W5" s="406"/>
      <c r="X5" s="406"/>
      <c r="Y5" s="408"/>
      <c r="Z5" s="408"/>
      <c r="AA5" s="408"/>
      <c r="AB5" s="408"/>
      <c r="AC5" s="408"/>
    </row>
    <row r="6" spans="1:41" s="404" customFormat="1" ht="15" customHeight="1">
      <c r="A6" s="405" t="s">
        <v>20</v>
      </c>
      <c r="B6" s="404" t="s">
        <v>98</v>
      </c>
      <c r="D6" s="412" t="e">
        <f>SUM(D7:D15)-D7-D8</f>
        <v>#REF!</v>
      </c>
      <c r="E6" s="413">
        <f>SUM(E7:E15)</f>
        <v>296199</v>
      </c>
      <c r="F6" s="413">
        <f>SUM(F7:F15)</f>
        <v>318757</v>
      </c>
      <c r="G6" s="413"/>
      <c r="H6" s="413"/>
      <c r="I6" s="413"/>
      <c r="J6" s="413"/>
      <c r="K6" s="414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AL6" s="405"/>
      <c r="AN6" s="405"/>
      <c r="AO6" s="405"/>
    </row>
    <row r="7" spans="1:36" ht="14.25" customHeight="1">
      <c r="A7" s="405" t="s">
        <v>21</v>
      </c>
      <c r="C7" s="405" t="s">
        <v>99</v>
      </c>
      <c r="D7" s="415" t="e">
        <f>SUM(#REF!)</f>
        <v>#REF!</v>
      </c>
      <c r="E7" s="411">
        <f>'Bev.intézményenként'!D32-600</f>
        <v>98871</v>
      </c>
      <c r="F7" s="411">
        <f>'Bev.intézményenként'!D33</f>
        <v>147832</v>
      </c>
      <c r="O7" s="406"/>
      <c r="AJ7" s="408"/>
    </row>
    <row r="8" spans="1:36" ht="15" customHeight="1">
      <c r="A8" s="405" t="s">
        <v>22</v>
      </c>
      <c r="C8" s="405" t="s">
        <v>100</v>
      </c>
      <c r="D8" s="415" t="e">
        <f>SUM(#REF!)</f>
        <v>#REF!</v>
      </c>
      <c r="E8" s="411">
        <v>15214</v>
      </c>
      <c r="F8" s="411">
        <v>15214</v>
      </c>
      <c r="AJ8" s="408"/>
    </row>
    <row r="9" spans="1:36" ht="15" customHeight="1">
      <c r="A9" s="405" t="s">
        <v>23</v>
      </c>
      <c r="C9" s="405" t="s">
        <v>639</v>
      </c>
      <c r="F9" s="411">
        <v>5</v>
      </c>
      <c r="AJ9" s="408"/>
    </row>
    <row r="10" spans="1:36" ht="15" customHeight="1">
      <c r="A10" s="405" t="s">
        <v>24</v>
      </c>
      <c r="C10" s="405" t="s">
        <v>101</v>
      </c>
      <c r="D10" s="415">
        <v>125000</v>
      </c>
      <c r="E10" s="411">
        <v>125000</v>
      </c>
      <c r="F10" s="411">
        <f>+E10</f>
        <v>125000</v>
      </c>
      <c r="Z10" s="411"/>
      <c r="AA10" s="411"/>
      <c r="AJ10" s="408"/>
    </row>
    <row r="11" spans="1:36" ht="15" customHeight="1">
      <c r="A11" s="405" t="s">
        <v>25</v>
      </c>
      <c r="C11" s="405" t="s">
        <v>629</v>
      </c>
      <c r="D11" s="415">
        <v>3</v>
      </c>
      <c r="E11" s="411">
        <v>3</v>
      </c>
      <c r="F11" s="411">
        <v>101</v>
      </c>
      <c r="G11" s="411">
        <v>3</v>
      </c>
      <c r="H11" s="411">
        <f>SUM(F11:F12)</f>
        <v>2617</v>
      </c>
      <c r="O11" s="417"/>
      <c r="P11" s="406"/>
      <c r="AJ11" s="408"/>
    </row>
    <row r="12" spans="1:36" ht="15" customHeight="1">
      <c r="A12" s="405" t="s">
        <v>26</v>
      </c>
      <c r="C12" s="405" t="s">
        <v>102</v>
      </c>
      <c r="D12" s="415">
        <v>2561</v>
      </c>
      <c r="E12" s="411">
        <v>2561</v>
      </c>
      <c r="F12" s="411">
        <f>2516</f>
        <v>2516</v>
      </c>
      <c r="G12" s="411">
        <v>2704</v>
      </c>
      <c r="AJ12" s="408"/>
    </row>
    <row r="13" spans="1:36" ht="15" customHeight="1">
      <c r="A13" s="405" t="s">
        <v>27</v>
      </c>
      <c r="C13" s="405" t="s">
        <v>103</v>
      </c>
      <c r="D13" s="415">
        <v>2500</v>
      </c>
      <c r="E13" s="411">
        <f>2500+600</f>
        <v>3100</v>
      </c>
      <c r="F13" s="411">
        <v>2500</v>
      </c>
      <c r="H13" s="411">
        <f>SUM(E8:E13)+E18+E19</f>
        <v>155842</v>
      </c>
      <c r="I13" s="411">
        <f>E8+E10+E11+E12</f>
        <v>142778</v>
      </c>
      <c r="AD13" s="405"/>
      <c r="AE13" s="405"/>
      <c r="AF13" s="405"/>
      <c r="AJ13" s="408"/>
    </row>
    <row r="14" spans="1:36" ht="15" customHeight="1">
      <c r="A14" s="405" t="s">
        <v>28</v>
      </c>
      <c r="C14" s="405" t="s">
        <v>640</v>
      </c>
      <c r="F14" s="411">
        <v>28</v>
      </c>
      <c r="AD14" s="405"/>
      <c r="AE14" s="405"/>
      <c r="AF14" s="405"/>
      <c r="AJ14" s="408"/>
    </row>
    <row r="15" spans="1:36" ht="15" customHeight="1">
      <c r="A15" s="405" t="s">
        <v>29</v>
      </c>
      <c r="C15" s="405" t="s">
        <v>408</v>
      </c>
      <c r="D15" s="415">
        <v>47550</v>
      </c>
      <c r="E15" s="411">
        <f>7000+35000+9450</f>
        <v>51450</v>
      </c>
      <c r="F15" s="411">
        <f>+E15-1-7648-18476+236</f>
        <v>25561</v>
      </c>
      <c r="AD15" s="405"/>
      <c r="AE15" s="405"/>
      <c r="AF15" s="405"/>
      <c r="AJ15" s="408"/>
    </row>
    <row r="16" spans="30:36" ht="13.5" customHeight="1">
      <c r="AD16" s="405"/>
      <c r="AE16" s="405"/>
      <c r="AF16" s="405"/>
      <c r="AJ16" s="408"/>
    </row>
    <row r="17" spans="1:39" s="404" customFormat="1" ht="15" customHeight="1">
      <c r="A17" s="405" t="s">
        <v>30</v>
      </c>
      <c r="B17" s="404" t="s">
        <v>104</v>
      </c>
      <c r="D17" s="412">
        <f>+D18+D19</f>
        <v>9964</v>
      </c>
      <c r="E17" s="413">
        <f>+E18+E19</f>
        <v>9964</v>
      </c>
      <c r="F17" s="413">
        <f>+F18+F19</f>
        <v>10049</v>
      </c>
      <c r="G17" s="413"/>
      <c r="H17" s="413">
        <f>F8+F10+F11+F12+F13+F17+F9+F14</f>
        <v>155413</v>
      </c>
      <c r="I17" s="413"/>
      <c r="J17" s="413"/>
      <c r="K17" s="414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AK17" s="405"/>
      <c r="AL17" s="405"/>
      <c r="AM17" s="405"/>
    </row>
    <row r="18" spans="1:36" ht="15" customHeight="1">
      <c r="A18" s="405" t="s">
        <v>31</v>
      </c>
      <c r="C18" s="405" t="s">
        <v>105</v>
      </c>
      <c r="D18" s="415">
        <v>9814</v>
      </c>
      <c r="E18" s="418">
        <v>9814</v>
      </c>
      <c r="F18" s="418">
        <f>+E18</f>
        <v>9814</v>
      </c>
      <c r="G18" s="405"/>
      <c r="H18" s="405"/>
      <c r="I18" s="405"/>
      <c r="J18" s="405"/>
      <c r="Y18" s="411"/>
      <c r="Z18" s="411"/>
      <c r="AC18" s="411"/>
      <c r="AD18" s="411"/>
      <c r="AJ18" s="404"/>
    </row>
    <row r="19" spans="1:36" ht="15" customHeight="1">
      <c r="A19" s="405" t="s">
        <v>32</v>
      </c>
      <c r="C19" s="405" t="s">
        <v>106</v>
      </c>
      <c r="D19" s="415">
        <v>150</v>
      </c>
      <c r="E19" s="411">
        <v>150</v>
      </c>
      <c r="F19" s="411">
        <f>+E19+90-5</f>
        <v>235</v>
      </c>
      <c r="Y19" s="411"/>
      <c r="Z19" s="411"/>
      <c r="AC19" s="411"/>
      <c r="AD19" s="411"/>
      <c r="AJ19" s="404"/>
    </row>
    <row r="20" ht="15.75">
      <c r="AJ20" s="404"/>
    </row>
    <row r="21" spans="1:39" s="404" customFormat="1" ht="15" customHeight="1">
      <c r="A21" s="405" t="s">
        <v>33</v>
      </c>
      <c r="B21" s="404" t="s">
        <v>107</v>
      </c>
      <c r="D21" s="412">
        <f>SUM(D22:D22)</f>
        <v>251962</v>
      </c>
      <c r="E21" s="413">
        <f>SUM(E22:E22)</f>
        <v>241074</v>
      </c>
      <c r="F21" s="413">
        <f>SUM(F22:F46)-F24-F25-F35-F37-F40</f>
        <v>657296</v>
      </c>
      <c r="G21" s="413"/>
      <c r="H21" s="413"/>
      <c r="I21" s="413"/>
      <c r="J21" s="413"/>
      <c r="K21" s="414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AD21" s="413"/>
      <c r="AL21" s="405"/>
      <c r="AM21" s="405"/>
    </row>
    <row r="22" spans="1:36" ht="15" customHeight="1">
      <c r="A22" s="405" t="s">
        <v>34</v>
      </c>
      <c r="C22" s="405" t="s">
        <v>10</v>
      </c>
      <c r="D22" s="415">
        <v>251962</v>
      </c>
      <c r="E22" s="411">
        <f>240773+301</f>
        <v>241074</v>
      </c>
      <c r="F22" s="411">
        <f>+E22+1-2443</f>
        <v>238632</v>
      </c>
      <c r="Y22" s="411"/>
      <c r="Z22" s="411"/>
      <c r="AA22" s="411"/>
      <c r="AC22" s="411"/>
      <c r="AD22" s="411"/>
      <c r="AJ22" s="408"/>
    </row>
    <row r="23" spans="1:36" ht="15" customHeight="1">
      <c r="A23" s="405" t="s">
        <v>35</v>
      </c>
      <c r="C23" s="405" t="s">
        <v>539</v>
      </c>
      <c r="F23" s="411">
        <v>1248</v>
      </c>
      <c r="Y23" s="411"/>
      <c r="Z23" s="411"/>
      <c r="AA23" s="411"/>
      <c r="AC23" s="411"/>
      <c r="AD23" s="411"/>
      <c r="AJ23" s="408"/>
    </row>
    <row r="24" spans="1:36" ht="15" customHeight="1">
      <c r="A24" s="405" t="s">
        <v>36</v>
      </c>
      <c r="C24" s="441" t="s">
        <v>516</v>
      </c>
      <c r="F24" s="411">
        <f>+F25+F35</f>
        <v>18543</v>
      </c>
      <c r="Y24" s="411"/>
      <c r="Z24" s="411"/>
      <c r="AA24" s="411"/>
      <c r="AC24" s="411"/>
      <c r="AD24" s="411"/>
      <c r="AJ24" s="408"/>
    </row>
    <row r="25" spans="1:36" ht="15" customHeight="1">
      <c r="A25" s="405" t="s">
        <v>37</v>
      </c>
      <c r="C25" s="551" t="s">
        <v>508</v>
      </c>
      <c r="F25" s="411">
        <f>SUM(F26:F33)</f>
        <v>17743</v>
      </c>
      <c r="Y25" s="411"/>
      <c r="Z25" s="411"/>
      <c r="AA25" s="411"/>
      <c r="AC25" s="411"/>
      <c r="AD25" s="411"/>
      <c r="AJ25" s="408"/>
    </row>
    <row r="26" spans="1:36" ht="15" customHeight="1">
      <c r="A26" s="405" t="s">
        <v>40</v>
      </c>
      <c r="C26" s="405" t="s">
        <v>517</v>
      </c>
      <c r="F26" s="411">
        <f>426+639+791+687+5</f>
        <v>2548</v>
      </c>
      <c r="Y26" s="411"/>
      <c r="Z26" s="411"/>
      <c r="AA26" s="411"/>
      <c r="AC26" s="411"/>
      <c r="AD26" s="411"/>
      <c r="AJ26" s="408"/>
    </row>
    <row r="27" spans="1:36" ht="15" customHeight="1">
      <c r="A27" s="405" t="s">
        <v>42</v>
      </c>
      <c r="C27" s="405" t="s">
        <v>466</v>
      </c>
      <c r="F27" s="411">
        <f>959+1401+890+1542+634</f>
        <v>5426</v>
      </c>
      <c r="Y27" s="411"/>
      <c r="Z27" s="411"/>
      <c r="AA27" s="411"/>
      <c r="AC27" s="411"/>
      <c r="AD27" s="411"/>
      <c r="AJ27" s="408"/>
    </row>
    <row r="28" spans="1:36" ht="15" customHeight="1">
      <c r="A28" s="405" t="s">
        <v>43</v>
      </c>
      <c r="C28" s="405" t="s">
        <v>511</v>
      </c>
      <c r="F28" s="405">
        <v>281</v>
      </c>
      <c r="Y28" s="411"/>
      <c r="Z28" s="411"/>
      <c r="AA28" s="411"/>
      <c r="AC28" s="411"/>
      <c r="AD28" s="411"/>
      <c r="AJ28" s="408"/>
    </row>
    <row r="29" spans="1:36" ht="15" customHeight="1">
      <c r="A29" s="405" t="s">
        <v>44</v>
      </c>
      <c r="C29" s="405" t="s">
        <v>512</v>
      </c>
      <c r="F29" s="405">
        <v>338</v>
      </c>
      <c r="Y29" s="411"/>
      <c r="Z29" s="411"/>
      <c r="AA29" s="411"/>
      <c r="AC29" s="411"/>
      <c r="AD29" s="411"/>
      <c r="AJ29" s="408"/>
    </row>
    <row r="30" spans="1:36" ht="15" customHeight="1">
      <c r="A30" s="405" t="s">
        <v>45</v>
      </c>
      <c r="C30" s="405" t="s">
        <v>513</v>
      </c>
      <c r="F30" s="405">
        <v>1010</v>
      </c>
      <c r="Y30" s="411"/>
      <c r="Z30" s="411"/>
      <c r="AA30" s="411"/>
      <c r="AC30" s="411"/>
      <c r="AD30" s="411"/>
      <c r="AJ30" s="408"/>
    </row>
    <row r="31" spans="1:36" ht="15" customHeight="1">
      <c r="A31" s="405" t="s">
        <v>46</v>
      </c>
      <c r="C31" s="405" t="s">
        <v>514</v>
      </c>
      <c r="F31" s="405">
        <v>885</v>
      </c>
      <c r="Y31" s="411"/>
      <c r="Z31" s="411"/>
      <c r="AA31" s="411"/>
      <c r="AC31" s="411"/>
      <c r="AD31" s="411"/>
      <c r="AJ31" s="408"/>
    </row>
    <row r="32" spans="1:36" ht="15" customHeight="1">
      <c r="A32" s="405" t="s">
        <v>47</v>
      </c>
      <c r="C32" s="405" t="s">
        <v>510</v>
      </c>
      <c r="F32" s="405">
        <f>800-800</f>
        <v>0</v>
      </c>
      <c r="Y32" s="411"/>
      <c r="Z32" s="411"/>
      <c r="AA32" s="411"/>
      <c r="AC32" s="411"/>
      <c r="AD32" s="411"/>
      <c r="AJ32" s="408"/>
    </row>
    <row r="33" spans="1:36" ht="15" customHeight="1">
      <c r="A33" s="405" t="s">
        <v>48</v>
      </c>
      <c r="C33" s="405" t="s">
        <v>515</v>
      </c>
      <c r="F33" s="405">
        <f>7175+1+79</f>
        <v>7255</v>
      </c>
      <c r="Y33" s="411"/>
      <c r="Z33" s="411"/>
      <c r="AA33" s="411"/>
      <c r="AC33" s="411"/>
      <c r="AD33" s="411"/>
      <c r="AJ33" s="408"/>
    </row>
    <row r="34" spans="1:36" ht="15" customHeight="1">
      <c r="A34" s="405" t="s">
        <v>49</v>
      </c>
      <c r="C34" s="405" t="s">
        <v>569</v>
      </c>
      <c r="F34" s="411">
        <v>520</v>
      </c>
      <c r="Y34" s="411"/>
      <c r="Z34" s="411"/>
      <c r="AA34" s="411"/>
      <c r="AC34" s="411"/>
      <c r="AD34" s="411"/>
      <c r="AJ34" s="408"/>
    </row>
    <row r="35" spans="1:36" ht="15" customHeight="1">
      <c r="A35" s="405" t="s">
        <v>50</v>
      </c>
      <c r="C35" s="551" t="s">
        <v>509</v>
      </c>
      <c r="F35" s="405">
        <f>+F36</f>
        <v>800</v>
      </c>
      <c r="Y35" s="411"/>
      <c r="Z35" s="411"/>
      <c r="AA35" s="411"/>
      <c r="AC35" s="411"/>
      <c r="AD35" s="411"/>
      <c r="AJ35" s="408"/>
    </row>
    <row r="36" spans="1:36" ht="15" customHeight="1">
      <c r="A36" s="405" t="s">
        <v>51</v>
      </c>
      <c r="C36" s="405" t="s">
        <v>510</v>
      </c>
      <c r="F36" s="405">
        <v>800</v>
      </c>
      <c r="G36" s="453" t="s">
        <v>567</v>
      </c>
      <c r="H36" s="454" t="s">
        <v>568</v>
      </c>
      <c r="Y36" s="411"/>
      <c r="Z36" s="411"/>
      <c r="AA36" s="411"/>
      <c r="AC36" s="411"/>
      <c r="AD36" s="411"/>
      <c r="AJ36" s="408"/>
    </row>
    <row r="37" spans="1:36" ht="15" customHeight="1">
      <c r="A37" s="405" t="s">
        <v>52</v>
      </c>
      <c r="C37" s="552" t="s">
        <v>536</v>
      </c>
      <c r="F37" s="411">
        <f>+F38+F39</f>
        <v>8812</v>
      </c>
      <c r="Y37" s="411"/>
      <c r="Z37" s="411"/>
      <c r="AA37" s="411"/>
      <c r="AC37" s="411"/>
      <c r="AD37" s="411"/>
      <c r="AJ37" s="408"/>
    </row>
    <row r="38" spans="1:36" ht="15" customHeight="1">
      <c r="A38" s="405" t="s">
        <v>471</v>
      </c>
      <c r="C38" s="405" t="s">
        <v>535</v>
      </c>
      <c r="F38" s="411">
        <f>2871-2871</f>
        <v>0</v>
      </c>
      <c r="Y38" s="411"/>
      <c r="Z38" s="411"/>
      <c r="AA38" s="411"/>
      <c r="AC38" s="411"/>
      <c r="AD38" s="411"/>
      <c r="AJ38" s="408"/>
    </row>
    <row r="39" spans="1:36" ht="15" customHeight="1">
      <c r="A39" s="405" t="s">
        <v>472</v>
      </c>
      <c r="C39" s="405" t="s">
        <v>545</v>
      </c>
      <c r="F39" s="411">
        <v>8812</v>
      </c>
      <c r="Y39" s="411"/>
      <c r="Z39" s="411"/>
      <c r="AA39" s="411"/>
      <c r="AC39" s="411"/>
      <c r="AD39" s="411"/>
      <c r="AJ39" s="408"/>
    </row>
    <row r="40" spans="1:36" ht="15" customHeight="1">
      <c r="A40" s="405" t="s">
        <v>473</v>
      </c>
      <c r="C40" s="441" t="s">
        <v>541</v>
      </c>
      <c r="D40" s="553"/>
      <c r="E40" s="554"/>
      <c r="F40" s="554">
        <f>+F41+F42</f>
        <v>244524</v>
      </c>
      <c r="Y40" s="411"/>
      <c r="Z40" s="411"/>
      <c r="AA40" s="411"/>
      <c r="AC40" s="411"/>
      <c r="AD40" s="411"/>
      <c r="AJ40" s="408"/>
    </row>
    <row r="41" spans="1:36" ht="15" customHeight="1">
      <c r="A41" s="405" t="s">
        <v>474</v>
      </c>
      <c r="C41" s="405" t="s">
        <v>540</v>
      </c>
      <c r="F41" s="411">
        <f>244436-8812</f>
        <v>235624</v>
      </c>
      <c r="Y41" s="411"/>
      <c r="Z41" s="411"/>
      <c r="AA41" s="411"/>
      <c r="AC41" s="411"/>
      <c r="AD41" s="411"/>
      <c r="AJ41" s="408"/>
    </row>
    <row r="42" spans="1:36" ht="15" customHeight="1">
      <c r="A42" s="405" t="s">
        <v>475</v>
      </c>
      <c r="C42" s="450" t="s">
        <v>537</v>
      </c>
      <c r="F42" s="411">
        <v>8900</v>
      </c>
      <c r="Y42" s="411"/>
      <c r="Z42" s="411"/>
      <c r="AA42" s="411"/>
      <c r="AC42" s="411"/>
      <c r="AD42" s="411"/>
      <c r="AJ42" s="408"/>
    </row>
    <row r="43" spans="1:36" ht="15" customHeight="1">
      <c r="A43" s="405" t="s">
        <v>570</v>
      </c>
      <c r="C43" s="405" t="s">
        <v>467</v>
      </c>
      <c r="F43" s="411">
        <f>24129+34879+17082+16881+10349</f>
        <v>103320</v>
      </c>
      <c r="Y43" s="411"/>
      <c r="Z43" s="411"/>
      <c r="AA43" s="411"/>
      <c r="AC43" s="411"/>
      <c r="AD43" s="411"/>
      <c r="AJ43" s="408"/>
    </row>
    <row r="44" spans="1:36" ht="15" customHeight="1">
      <c r="A44" s="405" t="s">
        <v>571</v>
      </c>
      <c r="C44" s="405" t="s">
        <v>89</v>
      </c>
      <c r="F44" s="411">
        <f>270+70</f>
        <v>340</v>
      </c>
      <c r="Y44" s="411"/>
      <c r="Z44" s="411"/>
      <c r="AA44" s="411"/>
      <c r="AC44" s="411"/>
      <c r="AD44" s="411"/>
      <c r="AJ44" s="408"/>
    </row>
    <row r="45" spans="1:36" ht="15" customHeight="1">
      <c r="A45" s="405" t="s">
        <v>572</v>
      </c>
      <c r="C45" s="405" t="s">
        <v>626</v>
      </c>
      <c r="F45" s="411">
        <v>41357</v>
      </c>
      <c r="Y45" s="411"/>
      <c r="Z45" s="411"/>
      <c r="AA45" s="411"/>
      <c r="AC45" s="411"/>
      <c r="AD45" s="411"/>
      <c r="AJ45" s="408"/>
    </row>
    <row r="46" spans="25:36" ht="15" customHeight="1">
      <c r="Y46" s="411"/>
      <c r="Z46" s="411"/>
      <c r="AA46" s="411"/>
      <c r="AC46" s="411"/>
      <c r="AD46" s="411"/>
      <c r="AJ46" s="408"/>
    </row>
    <row r="47" spans="25:36" ht="15.75">
      <c r="Y47" s="411"/>
      <c r="Z47" s="411"/>
      <c r="AA47" s="411"/>
      <c r="AC47" s="411"/>
      <c r="AD47" s="411"/>
      <c r="AJ47" s="408"/>
    </row>
    <row r="48" spans="1:30" ht="14.25" customHeight="1">
      <c r="A48" s="405" t="s">
        <v>573</v>
      </c>
      <c r="B48" s="404" t="s">
        <v>108</v>
      </c>
      <c r="C48" s="404"/>
      <c r="D48" s="413">
        <f>+D50</f>
        <v>198097</v>
      </c>
      <c r="E48" s="413">
        <f>+E50</f>
        <v>150344</v>
      </c>
      <c r="F48" s="413">
        <f>+F50+F97</f>
        <v>440332</v>
      </c>
      <c r="G48" s="413"/>
      <c r="H48" s="413"/>
      <c r="I48" s="413"/>
      <c r="J48" s="413"/>
      <c r="K48" s="414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8"/>
      <c r="Z48" s="404"/>
      <c r="AA48" s="404"/>
      <c r="AB48" s="404"/>
      <c r="AC48" s="404"/>
      <c r="AD48" s="404"/>
    </row>
    <row r="49" spans="2:30" ht="9" customHeight="1">
      <c r="B49" s="404"/>
      <c r="C49" s="404"/>
      <c r="D49" s="412"/>
      <c r="E49" s="413"/>
      <c r="F49" s="413"/>
      <c r="G49" s="413"/>
      <c r="H49" s="413"/>
      <c r="I49" s="413"/>
      <c r="J49" s="413"/>
      <c r="K49" s="414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8"/>
      <c r="Z49" s="404"/>
      <c r="AA49" s="404"/>
      <c r="AB49" s="404"/>
      <c r="AC49" s="404"/>
      <c r="AD49" s="404"/>
    </row>
    <row r="50" spans="1:30" ht="15" customHeight="1">
      <c r="A50" s="405" t="s">
        <v>574</v>
      </c>
      <c r="B50" s="404"/>
      <c r="C50" s="410" t="s">
        <v>109</v>
      </c>
      <c r="D50" s="419">
        <f>SUM(D51:D60)</f>
        <v>198097</v>
      </c>
      <c r="E50" s="419">
        <f>SUM(E51:E61)</f>
        <v>150344</v>
      </c>
      <c r="F50" s="419">
        <f>SUM(F51:F96)-F64</f>
        <v>403147</v>
      </c>
      <c r="G50" s="419"/>
      <c r="H50" s="419"/>
      <c r="I50" s="419"/>
      <c r="J50" s="419"/>
      <c r="K50" s="420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21"/>
    </row>
    <row r="51" spans="1:29" ht="15" customHeight="1">
      <c r="A51" s="405" t="s">
        <v>575</v>
      </c>
      <c r="C51" s="405" t="s">
        <v>110</v>
      </c>
      <c r="D51" s="415">
        <v>34000</v>
      </c>
      <c r="E51" s="411">
        <f>+'Bev.intézményenként'!F12</f>
        <v>32500</v>
      </c>
      <c r="F51" s="411">
        <f>+E51+9639</f>
        <v>42139</v>
      </c>
      <c r="AC51" s="411"/>
    </row>
    <row r="52" spans="1:28" ht="15" customHeight="1">
      <c r="A52" s="405" t="s">
        <v>576</v>
      </c>
      <c r="C52" s="405" t="s">
        <v>111</v>
      </c>
      <c r="D52" s="415">
        <v>146826</v>
      </c>
      <c r="E52" s="411">
        <v>94553</v>
      </c>
      <c r="F52" s="411">
        <f>+E52-24129-34879-17082-16881-1582</f>
        <v>0</v>
      </c>
      <c r="R52" s="422"/>
      <c r="Y52" s="411"/>
      <c r="Z52" s="411"/>
      <c r="AA52" s="411"/>
      <c r="AB52" s="411"/>
    </row>
    <row r="53" spans="1:35" ht="0.75" customHeight="1">
      <c r="A53" s="405" t="s">
        <v>577</v>
      </c>
      <c r="C53" s="404"/>
      <c r="D53" s="412" t="s">
        <v>407</v>
      </c>
      <c r="E53" s="406" t="s">
        <v>365</v>
      </c>
      <c r="F53" s="406" t="s">
        <v>365</v>
      </c>
      <c r="G53" s="406"/>
      <c r="H53" s="406"/>
      <c r="I53" s="406"/>
      <c r="J53" s="406"/>
      <c r="K53" s="407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</row>
    <row r="54" spans="1:36" ht="2.25" customHeight="1" hidden="1">
      <c r="A54" s="405" t="s">
        <v>578</v>
      </c>
      <c r="C54" s="433"/>
      <c r="D54" s="412" t="s">
        <v>68</v>
      </c>
      <c r="E54" s="406" t="s">
        <v>68</v>
      </c>
      <c r="F54" s="406" t="s">
        <v>454</v>
      </c>
      <c r="G54" s="406"/>
      <c r="H54" s="406"/>
      <c r="I54" s="406"/>
      <c r="J54" s="406"/>
      <c r="K54" s="407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</row>
    <row r="55" spans="1:36" ht="9" customHeight="1" hidden="1">
      <c r="A55" s="405" t="s">
        <v>579</v>
      </c>
      <c r="C55" s="433"/>
      <c r="D55" s="412"/>
      <c r="E55" s="406"/>
      <c r="F55" s="406"/>
      <c r="G55" s="406"/>
      <c r="H55" s="406"/>
      <c r="I55" s="406"/>
      <c r="J55" s="406"/>
      <c r="K55" s="407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</row>
    <row r="56" spans="1:36" s="409" customFormat="1" ht="0.75" customHeight="1" hidden="1">
      <c r="A56" s="405" t="s">
        <v>580</v>
      </c>
      <c r="B56" s="408" t="s">
        <v>12</v>
      </c>
      <c r="C56" s="408" t="s">
        <v>13</v>
      </c>
      <c r="D56" s="406" t="s">
        <v>14</v>
      </c>
      <c r="E56" s="406" t="s">
        <v>14</v>
      </c>
      <c r="F56" s="406" t="s">
        <v>15</v>
      </c>
      <c r="G56" s="406"/>
      <c r="H56" s="406"/>
      <c r="I56" s="406"/>
      <c r="J56" s="406"/>
      <c r="K56" s="407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</row>
    <row r="57" spans="1:6" ht="15" customHeight="1">
      <c r="A57" s="405" t="s">
        <v>577</v>
      </c>
      <c r="C57" s="405" t="s">
        <v>112</v>
      </c>
      <c r="D57" s="415">
        <v>600</v>
      </c>
      <c r="E57" s="411">
        <v>600</v>
      </c>
      <c r="F57" s="411">
        <f>+E57+360</f>
        <v>960</v>
      </c>
    </row>
    <row r="58" spans="1:6" ht="15" customHeight="1">
      <c r="A58" s="405" t="s">
        <v>578</v>
      </c>
      <c r="C58" s="405" t="s">
        <v>113</v>
      </c>
      <c r="D58" s="415">
        <v>3000</v>
      </c>
      <c r="E58" s="411">
        <v>4500</v>
      </c>
      <c r="F58" s="411">
        <f>+E58-519</f>
        <v>3981</v>
      </c>
    </row>
    <row r="59" spans="1:6" ht="15" customHeight="1">
      <c r="A59" s="405" t="s">
        <v>579</v>
      </c>
      <c r="C59" s="405" t="s">
        <v>114</v>
      </c>
      <c r="D59" s="415">
        <v>8000</v>
      </c>
      <c r="E59" s="411">
        <v>8000</v>
      </c>
      <c r="F59" s="411">
        <f>+E59</f>
        <v>8000</v>
      </c>
    </row>
    <row r="60" spans="1:6" ht="15" customHeight="1">
      <c r="A60" s="405" t="s">
        <v>580</v>
      </c>
      <c r="C60" s="405" t="s">
        <v>223</v>
      </c>
      <c r="D60" s="415">
        <v>5671</v>
      </c>
      <c r="E60" s="411">
        <f>6900-655</f>
        <v>6245</v>
      </c>
      <c r="F60" s="411">
        <f>+E60</f>
        <v>6245</v>
      </c>
    </row>
    <row r="61" spans="1:6" ht="15" customHeight="1">
      <c r="A61" s="405" t="s">
        <v>581</v>
      </c>
      <c r="C61" s="405" t="s">
        <v>429</v>
      </c>
      <c r="E61" s="411">
        <f>3592+655-301</f>
        <v>3946</v>
      </c>
      <c r="F61" s="411">
        <f>3946-3946</f>
        <v>0</v>
      </c>
    </row>
    <row r="62" spans="1:6" ht="15" customHeight="1">
      <c r="A62" s="405" t="s">
        <v>582</v>
      </c>
      <c r="C62" s="405" t="s">
        <v>220</v>
      </c>
      <c r="F62" s="411">
        <f>39316+18901+20787+12055+111453+80467</f>
        <v>282979</v>
      </c>
    </row>
    <row r="63" spans="1:6" ht="15" customHeight="1">
      <c r="A63" s="405" t="s">
        <v>583</v>
      </c>
      <c r="C63" s="405" t="s">
        <v>470</v>
      </c>
      <c r="F63" s="411">
        <f>973+122</f>
        <v>1095</v>
      </c>
    </row>
    <row r="64" spans="1:6" ht="15" customHeight="1">
      <c r="A64" s="405" t="s">
        <v>584</v>
      </c>
      <c r="C64" s="423" t="s">
        <v>503</v>
      </c>
      <c r="F64" s="424">
        <f>SUM(F65:F67)</f>
        <v>35189</v>
      </c>
    </row>
    <row r="65" spans="1:6" ht="15" customHeight="1">
      <c r="A65" s="405" t="s">
        <v>585</v>
      </c>
      <c r="C65" s="425" t="s">
        <v>327</v>
      </c>
      <c r="F65" s="426">
        <v>5343</v>
      </c>
    </row>
    <row r="66" spans="1:6" ht="15" customHeight="1">
      <c r="A66" s="405" t="s">
        <v>586</v>
      </c>
      <c r="C66" s="425" t="s">
        <v>226</v>
      </c>
      <c r="F66" s="426">
        <v>2356</v>
      </c>
    </row>
    <row r="67" spans="1:6" ht="15" customHeight="1">
      <c r="A67" s="405" t="s">
        <v>587</v>
      </c>
      <c r="C67" s="425" t="s">
        <v>266</v>
      </c>
      <c r="F67" s="426">
        <v>27490</v>
      </c>
    </row>
    <row r="68" spans="1:35" ht="15" customHeight="1">
      <c r="A68" s="405" t="s">
        <v>259</v>
      </c>
      <c r="C68" s="404"/>
      <c r="D68" s="412" t="s">
        <v>407</v>
      </c>
      <c r="E68" s="406" t="s">
        <v>365</v>
      </c>
      <c r="F68" s="406" t="s">
        <v>365</v>
      </c>
      <c r="G68" s="406"/>
      <c r="H68" s="406"/>
      <c r="I68" s="406"/>
      <c r="J68" s="406"/>
      <c r="K68" s="407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</row>
    <row r="69" spans="1:36" ht="15" customHeight="1">
      <c r="A69" s="441" t="s">
        <v>169</v>
      </c>
      <c r="C69" s="433"/>
      <c r="D69" s="412" t="s">
        <v>68</v>
      </c>
      <c r="E69" s="406" t="s">
        <v>68</v>
      </c>
      <c r="F69" s="406" t="s">
        <v>454</v>
      </c>
      <c r="G69" s="406"/>
      <c r="H69" s="406"/>
      <c r="I69" s="406"/>
      <c r="J69" s="406"/>
      <c r="K69" s="407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8"/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</row>
    <row r="70" spans="3:6" ht="15" customHeight="1">
      <c r="C70" s="425"/>
      <c r="F70" s="426"/>
    </row>
    <row r="71" spans="1:6" ht="15" customHeight="1">
      <c r="A71" s="408" t="s">
        <v>11</v>
      </c>
      <c r="B71" s="408" t="s">
        <v>12</v>
      </c>
      <c r="C71" s="408" t="s">
        <v>13</v>
      </c>
      <c r="D71" s="406" t="s">
        <v>14</v>
      </c>
      <c r="E71" s="406" t="s">
        <v>14</v>
      </c>
      <c r="F71" s="406" t="s">
        <v>15</v>
      </c>
    </row>
    <row r="72" spans="1:6" ht="15" customHeight="1">
      <c r="A72" s="405" t="s">
        <v>588</v>
      </c>
      <c r="C72" s="427" t="s">
        <v>504</v>
      </c>
      <c r="F72" s="424">
        <f>1248-1248</f>
        <v>0</v>
      </c>
    </row>
    <row r="73" spans="1:6" ht="15" customHeight="1">
      <c r="A73" s="405" t="s">
        <v>589</v>
      </c>
      <c r="C73" s="427" t="s">
        <v>507</v>
      </c>
      <c r="F73" s="424">
        <v>998</v>
      </c>
    </row>
    <row r="74" spans="1:8" ht="31.5">
      <c r="A74" s="405" t="s">
        <v>590</v>
      </c>
      <c r="C74" s="423" t="s">
        <v>561</v>
      </c>
      <c r="F74" s="405">
        <f>280+282</f>
        <v>562</v>
      </c>
      <c r="H74" s="411">
        <f>F63+F73+F84</f>
        <v>3242</v>
      </c>
    </row>
    <row r="75" spans="1:6" ht="15.75">
      <c r="A75" s="405" t="s">
        <v>591</v>
      </c>
      <c r="C75" s="423" t="s">
        <v>519</v>
      </c>
      <c r="F75" s="405">
        <f>39+20+519</f>
        <v>578</v>
      </c>
    </row>
    <row r="76" spans="1:6" ht="15.75">
      <c r="A76" s="405" t="s">
        <v>592</v>
      </c>
      <c r="C76" s="423" t="s">
        <v>520</v>
      </c>
      <c r="F76" s="405">
        <v>1000</v>
      </c>
    </row>
    <row r="77" spans="1:6" ht="15.75">
      <c r="A77" s="405" t="s">
        <v>593</v>
      </c>
      <c r="C77" s="423" t="s">
        <v>520</v>
      </c>
      <c r="F77" s="405">
        <v>800</v>
      </c>
    </row>
    <row r="78" spans="1:6" ht="15.75">
      <c r="A78" s="405" t="s">
        <v>594</v>
      </c>
      <c r="C78" s="423" t="s">
        <v>520</v>
      </c>
      <c r="F78" s="405">
        <v>54</v>
      </c>
    </row>
    <row r="79" spans="1:8" ht="31.5">
      <c r="A79" s="405" t="s">
        <v>595</v>
      </c>
      <c r="C79" s="423" t="s">
        <v>522</v>
      </c>
      <c r="F79" s="405">
        <v>400</v>
      </c>
      <c r="H79" s="411">
        <f>F52+F57+F58+F59+F60+F61+F62+F75+F82+F83</f>
        <v>305259</v>
      </c>
    </row>
    <row r="80" spans="1:6" ht="31.5">
      <c r="A80" s="405" t="s">
        <v>596</v>
      </c>
      <c r="C80" s="423" t="s">
        <v>524</v>
      </c>
      <c r="F80" s="405">
        <v>305</v>
      </c>
    </row>
    <row r="81" spans="1:6" ht="31.5">
      <c r="A81" s="405" t="s">
        <v>597</v>
      </c>
      <c r="C81" s="423" t="s">
        <v>527</v>
      </c>
      <c r="F81" s="405">
        <v>460</v>
      </c>
    </row>
    <row r="82" spans="1:6" ht="31.5">
      <c r="A82" s="405" t="s">
        <v>598</v>
      </c>
      <c r="C82" s="423" t="s">
        <v>560</v>
      </c>
      <c r="F82" s="405">
        <f>454+562</f>
        <v>1016</v>
      </c>
    </row>
    <row r="83" spans="1:6" ht="15.75">
      <c r="A83" s="405" t="s">
        <v>599</v>
      </c>
      <c r="C83" s="423" t="s">
        <v>538</v>
      </c>
      <c r="F83" s="405">
        <v>1500</v>
      </c>
    </row>
    <row r="84" spans="1:6" ht="15.75">
      <c r="A84" s="405" t="s">
        <v>600</v>
      </c>
      <c r="C84" s="423" t="s">
        <v>548</v>
      </c>
      <c r="F84" s="405">
        <f>1034+115</f>
        <v>1149</v>
      </c>
    </row>
    <row r="85" spans="1:6" ht="31.5">
      <c r="A85" s="405" t="s">
        <v>601</v>
      </c>
      <c r="C85" s="403" t="s">
        <v>554</v>
      </c>
      <c r="F85" s="405">
        <f>406+365</f>
        <v>771</v>
      </c>
    </row>
    <row r="86" spans="1:7" ht="31.5">
      <c r="A86" s="405" t="s">
        <v>602</v>
      </c>
      <c r="C86" s="403" t="s">
        <v>555</v>
      </c>
      <c r="F86" s="405">
        <v>247</v>
      </c>
      <c r="G86" s="411">
        <f>SUM(F85:F86)</f>
        <v>1018</v>
      </c>
    </row>
    <row r="87" spans="1:9" ht="31.5">
      <c r="A87" s="405" t="s">
        <v>603</v>
      </c>
      <c r="C87" s="403" t="s">
        <v>556</v>
      </c>
      <c r="F87" s="405">
        <f>90+232</f>
        <v>322</v>
      </c>
      <c r="I87" s="411">
        <f>F81+F80+F79+F74+F91+F92</f>
        <v>3257</v>
      </c>
    </row>
    <row r="88" spans="1:6" ht="31.5">
      <c r="A88" s="405" t="s">
        <v>604</v>
      </c>
      <c r="C88" s="403" t="s">
        <v>557</v>
      </c>
      <c r="F88" s="405">
        <f>515+27</f>
        <v>542</v>
      </c>
    </row>
    <row r="89" spans="1:6" ht="31.5">
      <c r="A89" s="405" t="s">
        <v>605</v>
      </c>
      <c r="C89" s="403" t="s">
        <v>558</v>
      </c>
      <c r="F89" s="405">
        <v>1800</v>
      </c>
    </row>
    <row r="90" spans="1:7" ht="31.5">
      <c r="A90" s="405" t="s">
        <v>606</v>
      </c>
      <c r="C90" s="403" t="s">
        <v>559</v>
      </c>
      <c r="F90" s="405">
        <v>669</v>
      </c>
      <c r="G90" s="411">
        <f>SUM(F87:F90)</f>
        <v>3333</v>
      </c>
    </row>
    <row r="91" spans="1:6" ht="31.5">
      <c r="A91" s="405" t="s">
        <v>607</v>
      </c>
      <c r="C91" s="555" t="s">
        <v>564</v>
      </c>
      <c r="F91" s="405">
        <v>911</v>
      </c>
    </row>
    <row r="92" spans="1:6" ht="15.75">
      <c r="A92" s="405" t="s">
        <v>608</v>
      </c>
      <c r="C92" s="424" t="s">
        <v>565</v>
      </c>
      <c r="F92" s="405">
        <v>619</v>
      </c>
    </row>
    <row r="93" spans="1:9" ht="31.5">
      <c r="A93" s="405" t="s">
        <v>609</v>
      </c>
      <c r="C93" s="403" t="s">
        <v>563</v>
      </c>
      <c r="F93" s="405">
        <f>671+232+321</f>
        <v>1224</v>
      </c>
      <c r="I93" s="411">
        <f>F93+F84+F73+F63</f>
        <v>4466</v>
      </c>
    </row>
    <row r="94" spans="1:6" ht="15.75">
      <c r="A94" s="405" t="s">
        <v>610</v>
      </c>
      <c r="C94" s="405" t="s">
        <v>535</v>
      </c>
      <c r="F94" s="405">
        <f>2871-46+2784</f>
        <v>5609</v>
      </c>
    </row>
    <row r="95" spans="1:6" ht="15.75">
      <c r="A95" s="405" t="s">
        <v>611</v>
      </c>
      <c r="C95" s="405" t="s">
        <v>628</v>
      </c>
      <c r="F95" s="405">
        <v>1023</v>
      </c>
    </row>
    <row r="96" spans="3:6" ht="15" customHeight="1">
      <c r="C96" s="423"/>
      <c r="F96" s="405"/>
    </row>
    <row r="97" spans="1:6" ht="15" customHeight="1">
      <c r="A97" s="405" t="s">
        <v>612</v>
      </c>
      <c r="C97" s="410" t="s">
        <v>459</v>
      </c>
      <c r="F97" s="406">
        <f>SUM(F98:F103)</f>
        <v>37185</v>
      </c>
    </row>
    <row r="98" spans="1:6" ht="15" customHeight="1">
      <c r="A98" s="405" t="s">
        <v>613</v>
      </c>
      <c r="C98" s="405" t="s">
        <v>458</v>
      </c>
      <c r="F98" s="411">
        <f>26212-26212</f>
        <v>0</v>
      </c>
    </row>
    <row r="99" spans="1:6" ht="15" customHeight="1">
      <c r="A99" s="405" t="s">
        <v>614</v>
      </c>
      <c r="C99" s="405" t="s">
        <v>220</v>
      </c>
      <c r="F99" s="411">
        <v>6094</v>
      </c>
    </row>
    <row r="100" spans="1:6" ht="31.5">
      <c r="A100" s="405" t="s">
        <v>615</v>
      </c>
      <c r="C100" s="423" t="s">
        <v>505</v>
      </c>
      <c r="F100" s="411">
        <v>1000</v>
      </c>
    </row>
    <row r="101" spans="1:6" ht="31.5">
      <c r="A101" s="405" t="s">
        <v>616</v>
      </c>
      <c r="C101" s="423" t="s">
        <v>522</v>
      </c>
      <c r="F101" s="411">
        <v>1100</v>
      </c>
    </row>
    <row r="102" spans="1:6" ht="31.5">
      <c r="A102" s="405" t="s">
        <v>617</v>
      </c>
      <c r="C102" s="403" t="s">
        <v>562</v>
      </c>
      <c r="F102" s="411">
        <v>1162</v>
      </c>
    </row>
    <row r="103" spans="1:6" ht="15.75">
      <c r="A103" s="405" t="s">
        <v>618</v>
      </c>
      <c r="C103" s="403" t="s">
        <v>643</v>
      </c>
      <c r="F103" s="411">
        <v>27829</v>
      </c>
    </row>
    <row r="104" ht="19.5" customHeight="1">
      <c r="C104" s="423"/>
    </row>
    <row r="105" spans="1:37" ht="15" customHeight="1">
      <c r="A105" s="405" t="s">
        <v>619</v>
      </c>
      <c r="B105" s="404" t="s">
        <v>129</v>
      </c>
      <c r="C105" s="404" t="s">
        <v>463</v>
      </c>
      <c r="D105" s="406">
        <f>SUM(D106:D106)</f>
        <v>150</v>
      </c>
      <c r="E105" s="406">
        <f>SUM(E106:E106)</f>
        <v>150</v>
      </c>
      <c r="F105" s="406">
        <f>SUM(F106:F106)</f>
        <v>195</v>
      </c>
      <c r="G105" s="406"/>
      <c r="H105" s="406"/>
      <c r="I105" s="406"/>
      <c r="J105" s="406"/>
      <c r="K105" s="407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/>
      <c r="AJ105" s="408"/>
      <c r="AK105" s="404"/>
    </row>
    <row r="106" spans="1:37" ht="15" customHeight="1">
      <c r="A106" s="405" t="s">
        <v>620</v>
      </c>
      <c r="B106" s="404"/>
      <c r="C106" s="405" t="s">
        <v>115</v>
      </c>
      <c r="D106" s="415">
        <v>150</v>
      </c>
      <c r="E106" s="411">
        <v>150</v>
      </c>
      <c r="F106" s="411">
        <f>+E106+45</f>
        <v>195</v>
      </c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4"/>
    </row>
    <row r="107" spans="2:37" ht="15" customHeight="1">
      <c r="B107" s="404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04"/>
    </row>
    <row r="108" spans="1:37" ht="15" customHeight="1">
      <c r="A108" s="405" t="s">
        <v>621</v>
      </c>
      <c r="B108" s="404" t="s">
        <v>130</v>
      </c>
      <c r="C108" s="404" t="s">
        <v>630</v>
      </c>
      <c r="F108" s="406">
        <f>SUM(F109:F111)</f>
        <v>224475</v>
      </c>
      <c r="G108" s="411">
        <f>F113-F108</f>
        <v>1426629</v>
      </c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04"/>
    </row>
    <row r="109" spans="1:37" ht="15" customHeight="1">
      <c r="A109" s="405" t="s">
        <v>622</v>
      </c>
      <c r="B109" s="404"/>
      <c r="C109" s="405" t="s">
        <v>543</v>
      </c>
      <c r="F109" s="411">
        <f>7892-885+1689+280-39+2580+325+88+80-454+1650+110-90-5-48-20+282+84-1435+2443-360+134000+1414-8437-10566+388-15796+765+10242-4914-1169+20830-6924</f>
        <v>134000</v>
      </c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4"/>
    </row>
    <row r="110" spans="1:37" ht="15" customHeight="1">
      <c r="A110" s="405" t="s">
        <v>623</v>
      </c>
      <c r="B110" s="404"/>
      <c r="C110" s="405" t="s">
        <v>506</v>
      </c>
      <c r="F110" s="411">
        <f>+'Bev.intézményenként'!E33</f>
        <v>79909</v>
      </c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4"/>
    </row>
    <row r="111" spans="1:37" ht="15" customHeight="1">
      <c r="A111" s="405" t="s">
        <v>624</v>
      </c>
      <c r="B111" s="404"/>
      <c r="C111" s="405" t="s">
        <v>631</v>
      </c>
      <c r="F111" s="411">
        <v>10566</v>
      </c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4"/>
    </row>
    <row r="112" spans="2:37" ht="15" customHeight="1">
      <c r="B112" s="404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4"/>
    </row>
    <row r="113" spans="1:37" ht="15" customHeight="1">
      <c r="A113" s="405" t="s">
        <v>637</v>
      </c>
      <c r="B113" s="404" t="s">
        <v>116</v>
      </c>
      <c r="D113" s="406" t="e">
        <f>+D105+D48+D21+D17+D6</f>
        <v>#REF!</v>
      </c>
      <c r="E113" s="406">
        <f>+E105+E48+E21+E17+E6</f>
        <v>697731</v>
      </c>
      <c r="F113" s="406">
        <f>+F105+F48+F21+F17+F6+F108</f>
        <v>1651104</v>
      </c>
      <c r="G113" s="411">
        <f>1372106+520</f>
        <v>1372626</v>
      </c>
      <c r="H113" s="411">
        <f>G113-F113</f>
        <v>-278478</v>
      </c>
      <c r="I113" s="411">
        <v>1358756</v>
      </c>
      <c r="J113" s="411">
        <f>G113-I113</f>
        <v>13870</v>
      </c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4"/>
    </row>
    <row r="114" spans="1:6" ht="15" customHeight="1">
      <c r="A114" s="405" t="s">
        <v>638</v>
      </c>
      <c r="B114" s="404" t="s">
        <v>117</v>
      </c>
      <c r="D114" s="415" t="e">
        <f>+Kiadás!#REF!</f>
        <v>#REF!</v>
      </c>
      <c r="E114" s="406">
        <f>Kiadás!E31</f>
        <v>697731</v>
      </c>
      <c r="F114" s="406">
        <f>Kiadás!F31</f>
        <v>1651104</v>
      </c>
    </row>
    <row r="115" spans="1:36" s="404" customFormat="1" ht="15" customHeight="1">
      <c r="A115" s="405"/>
      <c r="B115" s="405"/>
      <c r="C115" s="405"/>
      <c r="D115" s="415"/>
      <c r="E115" s="418"/>
      <c r="F115" s="418"/>
      <c r="G115" s="418"/>
      <c r="H115" s="418"/>
      <c r="I115" s="418"/>
      <c r="J115" s="418"/>
      <c r="K115" s="42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05"/>
      <c r="Z115" s="405"/>
      <c r="AA115" s="405"/>
      <c r="AB115" s="405"/>
      <c r="AC115" s="405"/>
      <c r="AD115" s="405"/>
      <c r="AE115" s="405"/>
      <c r="AF115" s="405"/>
      <c r="AG115" s="409"/>
      <c r="AH115" s="409"/>
      <c r="AI115" s="409"/>
      <c r="AJ115" s="409"/>
    </row>
    <row r="116" spans="4:36" ht="15" customHeight="1">
      <c r="D116" s="411" t="e">
        <f>+#REF!-D114</f>
        <v>#REF!</v>
      </c>
      <c r="X116" s="413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</row>
    <row r="117" ht="15" customHeight="1">
      <c r="E117" s="411">
        <v>697731</v>
      </c>
    </row>
    <row r="118" spans="2:36" ht="15" customHeight="1">
      <c r="B118" s="404"/>
      <c r="X118" s="418"/>
      <c r="Y118" s="405"/>
      <c r="Z118" s="405"/>
      <c r="AA118" s="405"/>
      <c r="AB118" s="405"/>
      <c r="AC118" s="405"/>
      <c r="AD118" s="405"/>
      <c r="AE118" s="405"/>
      <c r="AF118" s="405"/>
      <c r="AG118" s="405"/>
      <c r="AH118" s="405"/>
      <c r="AI118" s="405"/>
      <c r="AJ118" s="405"/>
    </row>
    <row r="119" spans="5:35" ht="15" customHeight="1">
      <c r="E119" s="429"/>
      <c r="F119" s="429"/>
      <c r="G119" s="429"/>
      <c r="H119" s="429"/>
      <c r="I119" s="429"/>
      <c r="J119" s="429"/>
      <c r="K119" s="430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31"/>
      <c r="Z119" s="431"/>
      <c r="AA119" s="431"/>
      <c r="AB119" s="431"/>
      <c r="AC119" s="405"/>
      <c r="AD119" s="405"/>
      <c r="AE119" s="405"/>
      <c r="AF119" s="405"/>
      <c r="AG119" s="431"/>
      <c r="AH119" s="431"/>
      <c r="AI119" s="431"/>
    </row>
    <row r="120" spans="5:35" ht="15" customHeight="1">
      <c r="E120" s="418"/>
      <c r="F120" s="418"/>
      <c r="G120" s="418"/>
      <c r="H120" s="418"/>
      <c r="I120" s="418"/>
      <c r="J120" s="418"/>
      <c r="K120" s="42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05"/>
      <c r="Z120" s="405"/>
      <c r="AA120" s="405"/>
      <c r="AB120" s="405"/>
      <c r="AC120" s="405"/>
      <c r="AD120" s="405"/>
      <c r="AE120" s="405"/>
      <c r="AF120" s="405"/>
      <c r="AG120" s="431"/>
      <c r="AH120" s="431"/>
      <c r="AI120" s="431"/>
    </row>
    <row r="121" spans="5:32" ht="15" customHeight="1">
      <c r="E121" s="429"/>
      <c r="F121" s="429"/>
      <c r="G121" s="429"/>
      <c r="H121" s="429"/>
      <c r="I121" s="429"/>
      <c r="J121" s="429"/>
      <c r="K121" s="430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31"/>
      <c r="Z121" s="431"/>
      <c r="AA121" s="431"/>
      <c r="AB121" s="431"/>
      <c r="AC121" s="431"/>
      <c r="AD121" s="431"/>
      <c r="AE121" s="431"/>
      <c r="AF121" s="431"/>
    </row>
    <row r="122" ht="15" customHeight="1">
      <c r="B122" s="431"/>
    </row>
    <row r="123" spans="2:36" ht="15" customHeight="1">
      <c r="B123" s="431"/>
      <c r="Y123" s="432"/>
      <c r="Z123" s="432"/>
      <c r="AA123" s="432"/>
      <c r="AB123" s="432"/>
      <c r="AC123" s="432"/>
      <c r="AD123" s="432"/>
      <c r="AE123" s="432"/>
      <c r="AF123" s="432"/>
      <c r="AG123" s="432"/>
      <c r="AH123" s="432"/>
      <c r="AI123" s="432"/>
      <c r="AJ123" s="432"/>
    </row>
    <row r="124" spans="25:36" ht="15" customHeight="1">
      <c r="Y124" s="416"/>
      <c r="Z124" s="432"/>
      <c r="AA124" s="432"/>
      <c r="AB124" s="432"/>
      <c r="AC124" s="432"/>
      <c r="AD124" s="432"/>
      <c r="AE124" s="432"/>
      <c r="AF124" s="432"/>
      <c r="AG124" s="432"/>
      <c r="AH124" s="432"/>
      <c r="AI124" s="432"/>
      <c r="AJ124" s="432"/>
    </row>
    <row r="125" ht="15" customHeight="1">
      <c r="AL125" s="404"/>
    </row>
    <row r="126" spans="25:36" ht="15" customHeight="1">
      <c r="Y126" s="416"/>
      <c r="Z126" s="416"/>
      <c r="AA126" s="416"/>
      <c r="AB126" s="416"/>
      <c r="AC126" s="416"/>
      <c r="AD126" s="416"/>
      <c r="AE126" s="416"/>
      <c r="AF126" s="416"/>
      <c r="AG126" s="432"/>
      <c r="AH126" s="432"/>
      <c r="AI126" s="432"/>
      <c r="AJ126" s="432"/>
    </row>
    <row r="129" spans="25:35" ht="15" customHeight="1">
      <c r="Y129" s="432"/>
      <c r="Z129" s="432"/>
      <c r="AA129" s="432"/>
      <c r="AB129" s="432"/>
      <c r="AC129" s="432"/>
      <c r="AD129" s="432"/>
      <c r="AE129" s="432"/>
      <c r="AF129" s="432"/>
      <c r="AG129" s="432"/>
      <c r="AH129" s="432"/>
      <c r="AI129" s="432"/>
    </row>
    <row r="143" ht="15" customHeight="1">
      <c r="C143" s="431" t="s">
        <v>118</v>
      </c>
    </row>
    <row r="144" ht="15" customHeight="1">
      <c r="C144" s="431"/>
    </row>
    <row r="148" ht="15" customHeight="1">
      <c r="C148" s="409"/>
    </row>
    <row r="149" ht="15" customHeight="1">
      <c r="C149" s="409"/>
    </row>
    <row r="150" ht="15" customHeight="1">
      <c r="C150" s="409"/>
    </row>
  </sheetData>
  <sheetProtection/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68" r:id="rId1"/>
  <headerFooter alignWithMargins="0">
    <oddHeader>&amp;L1. melléklet a 2015. évi   2/2015.(II.25.) Önkormányzati költségvetési rendelethez&amp;R2015.02.25
</oddHeader>
    <oddFooter>&amp;R&amp;F</oddFooter>
  </headerFooter>
  <rowBreaks count="1" manualBreakCount="1">
    <brk id="6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view="pageLayout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32.57421875" style="0" customWidth="1"/>
    <col min="3" max="3" width="11.8515625" style="0" customWidth="1"/>
    <col min="4" max="4" width="12.7109375" style="0" customWidth="1"/>
    <col min="5" max="5" width="31.7109375" style="0" customWidth="1"/>
    <col min="6" max="6" width="19.57421875" style="0" customWidth="1"/>
    <col min="7" max="7" width="9.421875" style="0" bestFit="1" customWidth="1"/>
    <col min="8" max="8" width="9.28125" style="0" bestFit="1" customWidth="1"/>
  </cols>
  <sheetData>
    <row r="1" spans="1:8" ht="15.75">
      <c r="A1" s="709" t="s">
        <v>368</v>
      </c>
      <c r="B1" s="709"/>
      <c r="C1" s="709"/>
      <c r="D1" s="709"/>
      <c r="E1" s="709"/>
      <c r="F1" s="709"/>
      <c r="G1" s="709"/>
      <c r="H1" s="48"/>
    </row>
    <row r="2" spans="1:8" ht="15.75">
      <c r="A2" s="568" t="s">
        <v>11</v>
      </c>
      <c r="B2" s="561" t="s">
        <v>348</v>
      </c>
      <c r="C2" s="561" t="s">
        <v>13</v>
      </c>
      <c r="D2" s="561" t="s">
        <v>14</v>
      </c>
      <c r="E2" s="561" t="s">
        <v>367</v>
      </c>
      <c r="F2" s="561" t="s">
        <v>16</v>
      </c>
      <c r="G2" s="561" t="s">
        <v>17</v>
      </c>
      <c r="H2" s="48"/>
    </row>
    <row r="3" spans="1:8" ht="16.5" thickBot="1">
      <c r="A3" s="424"/>
      <c r="B3" s="563" t="s">
        <v>147</v>
      </c>
      <c r="C3" s="563"/>
      <c r="D3" s="563"/>
      <c r="E3" s="563" t="s">
        <v>148</v>
      </c>
      <c r="F3" s="569"/>
      <c r="G3" s="569"/>
      <c r="H3" s="48"/>
    </row>
    <row r="4" spans="1:8" ht="15.75">
      <c r="A4" s="424"/>
      <c r="B4" s="404" t="s">
        <v>149</v>
      </c>
      <c r="C4" s="408" t="s">
        <v>365</v>
      </c>
      <c r="D4" s="408" t="s">
        <v>365</v>
      </c>
      <c r="E4" s="564" t="s">
        <v>149</v>
      </c>
      <c r="F4" s="570" t="s">
        <v>365</v>
      </c>
      <c r="G4" s="408" t="s">
        <v>365</v>
      </c>
      <c r="H4" s="48"/>
    </row>
    <row r="5" spans="1:8" ht="15.75">
      <c r="A5" s="424"/>
      <c r="B5" s="408"/>
      <c r="C5" s="408" t="s">
        <v>68</v>
      </c>
      <c r="D5" s="408" t="s">
        <v>454</v>
      </c>
      <c r="E5" s="564"/>
      <c r="F5" s="408" t="s">
        <v>68</v>
      </c>
      <c r="G5" s="408" t="s">
        <v>454</v>
      </c>
      <c r="H5" s="48"/>
    </row>
    <row r="6" spans="1:8" ht="15.75">
      <c r="A6" s="424"/>
      <c r="B6" s="405"/>
      <c r="C6" s="405"/>
      <c r="D6" s="405"/>
      <c r="E6" s="565"/>
      <c r="F6" s="424"/>
      <c r="G6" s="424"/>
      <c r="H6" s="48"/>
    </row>
    <row r="7" spans="1:8" ht="15.75">
      <c r="A7" s="424" t="s">
        <v>20</v>
      </c>
      <c r="B7" s="88" t="s">
        <v>145</v>
      </c>
      <c r="C7" s="418">
        <v>150</v>
      </c>
      <c r="D7" s="413">
        <v>195</v>
      </c>
      <c r="E7" s="565" t="s">
        <v>150</v>
      </c>
      <c r="F7" s="560">
        <f>+Kiadás!E22</f>
        <v>22241</v>
      </c>
      <c r="G7" s="571">
        <f>+Kiadás!F22</f>
        <v>59528</v>
      </c>
      <c r="H7" s="48"/>
    </row>
    <row r="8" spans="1:8" ht="15.75">
      <c r="A8" s="424" t="s">
        <v>21</v>
      </c>
      <c r="B8" s="405" t="s">
        <v>143</v>
      </c>
      <c r="C8" s="418">
        <v>51450</v>
      </c>
      <c r="D8" s="413">
        <v>25561</v>
      </c>
      <c r="E8" s="565" t="s">
        <v>151</v>
      </c>
      <c r="F8" s="424">
        <f>+Kiadás!E23</f>
        <v>13637</v>
      </c>
      <c r="G8" s="571">
        <f>+Kiadás!F23</f>
        <v>20082</v>
      </c>
      <c r="H8" s="48"/>
    </row>
    <row r="9" spans="1:8" ht="15.75">
      <c r="A9" s="424" t="s">
        <v>22</v>
      </c>
      <c r="B9" s="405" t="s">
        <v>646</v>
      </c>
      <c r="C9" s="418"/>
      <c r="D9" s="413">
        <v>9700</v>
      </c>
      <c r="E9" s="565"/>
      <c r="F9" s="424"/>
      <c r="G9" s="568"/>
      <c r="H9" s="48"/>
    </row>
    <row r="10" spans="1:8" ht="15.75">
      <c r="A10" s="424" t="s">
        <v>23</v>
      </c>
      <c r="B10" s="405" t="s">
        <v>645</v>
      </c>
      <c r="C10" s="418"/>
      <c r="D10" s="413">
        <v>37185</v>
      </c>
      <c r="E10" s="565" t="s">
        <v>70</v>
      </c>
      <c r="F10" s="560">
        <f>+Kiadás!E19</f>
        <v>3000</v>
      </c>
      <c r="G10" s="571">
        <f>+Kiadás!F19</f>
        <v>4000</v>
      </c>
      <c r="H10" s="48"/>
    </row>
    <row r="11" spans="1:8" ht="15.75">
      <c r="A11" s="424"/>
      <c r="B11" s="405"/>
      <c r="C11" s="418"/>
      <c r="D11" s="418"/>
      <c r="E11" s="565"/>
      <c r="F11" s="424"/>
      <c r="G11" s="568"/>
      <c r="H11" s="48"/>
    </row>
    <row r="12" spans="1:8" ht="15.75">
      <c r="A12" s="424"/>
      <c r="B12" s="405"/>
      <c r="C12" s="418"/>
      <c r="D12" s="418"/>
      <c r="E12" s="565"/>
      <c r="F12" s="424"/>
      <c r="G12" s="568"/>
      <c r="H12" s="48"/>
    </row>
    <row r="13" spans="1:8" ht="15.75">
      <c r="A13" s="424" t="s">
        <v>24</v>
      </c>
      <c r="B13" s="405" t="s">
        <v>636</v>
      </c>
      <c r="C13" s="418"/>
      <c r="D13" s="413">
        <v>23806</v>
      </c>
      <c r="E13" s="565" t="s">
        <v>328</v>
      </c>
      <c r="F13" s="560">
        <v>1200</v>
      </c>
      <c r="G13" s="571">
        <f>+'Több éves kihatású köt.váll.'!K20</f>
        <v>1023</v>
      </c>
      <c r="H13" s="48"/>
    </row>
    <row r="14" spans="1:8" ht="15.75">
      <c r="A14" s="424" t="s">
        <v>25</v>
      </c>
      <c r="B14" s="405"/>
      <c r="C14" s="418"/>
      <c r="D14" s="413"/>
      <c r="E14" s="565" t="s">
        <v>152</v>
      </c>
      <c r="F14" s="560">
        <v>1867</v>
      </c>
      <c r="G14" s="571">
        <f>+'Több éves kihatású köt.váll.'!K18</f>
        <v>2196</v>
      </c>
      <c r="H14" s="48"/>
    </row>
    <row r="15" spans="1:8" ht="15.75">
      <c r="A15" s="424" t="s">
        <v>26</v>
      </c>
      <c r="B15" s="405" t="s">
        <v>540</v>
      </c>
      <c r="C15" s="418"/>
      <c r="D15" s="413">
        <v>235624</v>
      </c>
      <c r="E15" s="565" t="s">
        <v>436</v>
      </c>
      <c r="F15" s="424">
        <v>9450</v>
      </c>
      <c r="G15" s="571">
        <v>0</v>
      </c>
      <c r="H15" s="48"/>
    </row>
    <row r="16" spans="1:8" ht="15.75">
      <c r="A16" s="424" t="s">
        <v>27</v>
      </c>
      <c r="B16" s="405"/>
      <c r="C16" s="418"/>
      <c r="D16" s="418"/>
      <c r="E16" s="565" t="str">
        <f>+Kiadás!C27</f>
        <v>Felhalmozási c. hitel törlesztése</v>
      </c>
      <c r="F16" s="560"/>
      <c r="G16" s="571">
        <v>70000</v>
      </c>
      <c r="H16" s="48"/>
    </row>
    <row r="17" spans="1:8" ht="15.75">
      <c r="A17" s="424" t="s">
        <v>28</v>
      </c>
      <c r="B17" s="405"/>
      <c r="C17" s="418"/>
      <c r="D17" s="418"/>
      <c r="E17" s="565" t="str">
        <f>+Kiadás!C28</f>
        <v>Felhalmozási c. kötvény végtörlesztés</v>
      </c>
      <c r="F17" s="424"/>
      <c r="G17" s="571">
        <f>+Kiadás!F28</f>
        <v>162405</v>
      </c>
      <c r="H17" s="47">
        <f>SUM(G16:G17)</f>
        <v>232405</v>
      </c>
    </row>
    <row r="18" spans="1:8" ht="15.75">
      <c r="A18" s="424"/>
      <c r="B18" s="405"/>
      <c r="C18" s="418"/>
      <c r="D18" s="418"/>
      <c r="E18" s="565"/>
      <c r="F18" s="560"/>
      <c r="G18" s="424"/>
      <c r="H18" s="48"/>
    </row>
    <row r="19" spans="1:8" ht="15.75">
      <c r="A19" s="424"/>
      <c r="B19" s="405"/>
      <c r="C19" s="418"/>
      <c r="D19" s="418"/>
      <c r="E19" s="566"/>
      <c r="F19" s="424"/>
      <c r="G19" s="424"/>
      <c r="H19" s="48"/>
    </row>
    <row r="20" spans="1:8" ht="15.75">
      <c r="A20" s="424"/>
      <c r="B20" s="405"/>
      <c r="C20" s="418"/>
      <c r="D20" s="418"/>
      <c r="E20" s="566"/>
      <c r="F20" s="424"/>
      <c r="G20" s="424"/>
      <c r="H20" s="48"/>
    </row>
    <row r="21" spans="1:8" ht="15.75">
      <c r="A21" s="424"/>
      <c r="B21" s="405"/>
      <c r="C21" s="418"/>
      <c r="D21" s="418"/>
      <c r="E21" s="566"/>
      <c r="F21" s="424"/>
      <c r="G21" s="424"/>
      <c r="H21" s="48"/>
    </row>
    <row r="22" spans="1:8" ht="15.75">
      <c r="A22" s="424"/>
      <c r="B22" s="405"/>
      <c r="C22" s="418"/>
      <c r="D22" s="418"/>
      <c r="E22" s="566"/>
      <c r="F22" s="424"/>
      <c r="G22" s="424"/>
      <c r="H22" s="48"/>
    </row>
    <row r="23" spans="1:8" ht="15.75">
      <c r="A23" s="424" t="s">
        <v>29</v>
      </c>
      <c r="B23" s="404" t="s">
        <v>146</v>
      </c>
      <c r="C23" s="418">
        <f>SUM(C7:C22)</f>
        <v>51600</v>
      </c>
      <c r="D23" s="413">
        <f>SUM(D7:D22)</f>
        <v>332071</v>
      </c>
      <c r="E23" s="567" t="s">
        <v>153</v>
      </c>
      <c r="F23" s="411">
        <f>SUM(F7:F22)</f>
        <v>51395</v>
      </c>
      <c r="G23" s="406">
        <f>SUM(G7:G22)</f>
        <v>319234</v>
      </c>
      <c r="H23" s="48"/>
    </row>
    <row r="24" spans="1:8" ht="15.75">
      <c r="A24" s="424" t="s">
        <v>30</v>
      </c>
      <c r="B24" s="568" t="s">
        <v>154</v>
      </c>
      <c r="C24" s="418">
        <f>+C23-F23</f>
        <v>205</v>
      </c>
      <c r="D24" s="413">
        <f>+D23-G23</f>
        <v>12837</v>
      </c>
      <c r="E24" s="567"/>
      <c r="F24" s="424"/>
      <c r="G24" s="424"/>
      <c r="H24" s="48"/>
    </row>
    <row r="25" spans="1:8" ht="15.75">
      <c r="A25" s="424"/>
      <c r="B25" s="424"/>
      <c r="C25" s="424"/>
      <c r="D25" s="424"/>
      <c r="E25" s="424"/>
      <c r="F25" s="424"/>
      <c r="G25" s="424"/>
      <c r="H25" s="48"/>
    </row>
    <row r="26" spans="1:8" ht="12.75">
      <c r="A26" s="562"/>
      <c r="B26" s="562"/>
      <c r="C26" s="562"/>
      <c r="D26" s="562"/>
      <c r="E26" s="562"/>
      <c r="F26" s="562"/>
      <c r="G26" s="562"/>
      <c r="H26" s="48"/>
    </row>
    <row r="27" spans="1:8" ht="12.75">
      <c r="A27" s="48"/>
      <c r="B27" s="48"/>
      <c r="C27" s="48"/>
      <c r="D27" s="48"/>
      <c r="E27" s="48"/>
      <c r="F27" s="48"/>
      <c r="G27" s="48"/>
      <c r="H27" s="48"/>
    </row>
    <row r="28" ht="12.75">
      <c r="D28">
        <v>8900</v>
      </c>
    </row>
    <row r="29" ht="12.75">
      <c r="D29">
        <v>800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&amp;L9. melléklet a 2015. évi   2/2015.(II.25.) Önkormányzati költségvetési rendelethez&amp;R2015.02.25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H31" sqref="H31"/>
    </sheetView>
  </sheetViews>
  <sheetFormatPr defaultColWidth="9.140625" defaultRowHeight="12.75"/>
  <cols>
    <col min="1" max="1" width="91.28125" style="0" customWidth="1"/>
    <col min="2" max="2" width="8.8515625" style="0" customWidth="1"/>
    <col min="3" max="3" width="7.00390625" style="0" customWidth="1"/>
    <col min="4" max="4" width="15.8515625" style="82" bestFit="1" customWidth="1"/>
  </cols>
  <sheetData>
    <row r="1" ht="12.75" customHeight="1">
      <c r="D1" s="355" t="s">
        <v>364</v>
      </c>
    </row>
    <row r="2" spans="1:4" ht="12.75" customHeight="1">
      <c r="A2" t="s">
        <v>442</v>
      </c>
      <c r="B2" t="s">
        <v>61</v>
      </c>
      <c r="D2" s="83"/>
    </row>
    <row r="3" spans="1:4" ht="12.75">
      <c r="A3" t="s">
        <v>144</v>
      </c>
      <c r="B3" s="81" t="s">
        <v>409</v>
      </c>
      <c r="C3" t="s">
        <v>371</v>
      </c>
      <c r="D3" s="83">
        <f>+D7+D8+D18+D20+D24+D25+D37+D38</f>
        <v>241073596</v>
      </c>
    </row>
    <row r="4" ht="12.75" customHeight="1">
      <c r="A4" t="s">
        <v>372</v>
      </c>
    </row>
    <row r="5" ht="12.75" customHeight="1">
      <c r="A5" t="s">
        <v>373</v>
      </c>
    </row>
    <row r="6" spans="1:4" ht="12.75" customHeight="1">
      <c r="A6" t="s">
        <v>374</v>
      </c>
      <c r="B6" t="s">
        <v>121</v>
      </c>
      <c r="C6" s="295">
        <v>20.41</v>
      </c>
      <c r="D6" s="82">
        <v>93477800</v>
      </c>
    </row>
    <row r="7" spans="1:4" ht="12.75" customHeight="1">
      <c r="A7" t="s">
        <v>375</v>
      </c>
      <c r="B7" t="s">
        <v>121</v>
      </c>
      <c r="C7" s="82">
        <v>0</v>
      </c>
      <c r="D7" s="311">
        <v>93477800</v>
      </c>
    </row>
    <row r="8" spans="1:4" ht="12.75" customHeight="1">
      <c r="A8" t="s">
        <v>376</v>
      </c>
      <c r="B8" t="s">
        <v>121</v>
      </c>
      <c r="C8" s="82">
        <v>0</v>
      </c>
      <c r="D8" s="311">
        <v>55853688</v>
      </c>
    </row>
    <row r="9" spans="1:4" ht="12.75" customHeight="1">
      <c r="A9" t="s">
        <v>377</v>
      </c>
      <c r="B9" t="s">
        <v>121</v>
      </c>
      <c r="C9" s="82">
        <v>0</v>
      </c>
      <c r="D9" s="82">
        <v>55853688</v>
      </c>
    </row>
    <row r="10" spans="1:4" ht="12.75" customHeight="1">
      <c r="A10" t="s">
        <v>378</v>
      </c>
      <c r="B10" t="s">
        <v>121</v>
      </c>
      <c r="C10" s="82">
        <v>0</v>
      </c>
      <c r="D10" s="82">
        <v>18963920</v>
      </c>
    </row>
    <row r="11" spans="1:4" ht="12.75" customHeight="1">
      <c r="A11" t="s">
        <v>379</v>
      </c>
      <c r="B11" t="s">
        <v>121</v>
      </c>
      <c r="C11" s="82">
        <v>0</v>
      </c>
      <c r="D11" s="312">
        <v>18963920</v>
      </c>
    </row>
    <row r="12" spans="1:4" ht="12.75" customHeight="1">
      <c r="A12" t="s">
        <v>122</v>
      </c>
      <c r="B12" t="s">
        <v>121</v>
      </c>
      <c r="C12" s="82">
        <v>0</v>
      </c>
      <c r="D12" s="82">
        <v>20985120</v>
      </c>
    </row>
    <row r="13" spans="1:4" ht="12.75" customHeight="1">
      <c r="A13" t="s">
        <v>380</v>
      </c>
      <c r="B13" t="s">
        <v>121</v>
      </c>
      <c r="C13" s="82">
        <v>0</v>
      </c>
      <c r="D13" s="312">
        <v>20985120</v>
      </c>
    </row>
    <row r="14" spans="1:4" ht="12.75" customHeight="1">
      <c r="A14" t="s">
        <v>123</v>
      </c>
      <c r="B14" t="s">
        <v>121</v>
      </c>
      <c r="C14" s="82">
        <v>0</v>
      </c>
      <c r="D14" s="82">
        <v>100000</v>
      </c>
    </row>
    <row r="15" spans="1:4" ht="12.75" customHeight="1">
      <c r="A15" t="s">
        <v>381</v>
      </c>
      <c r="B15" t="s">
        <v>121</v>
      </c>
      <c r="C15" s="82">
        <v>0</v>
      </c>
      <c r="D15" s="312">
        <v>100000</v>
      </c>
    </row>
    <row r="16" spans="1:4" ht="12.75" customHeight="1">
      <c r="A16" t="s">
        <v>124</v>
      </c>
      <c r="B16" t="s">
        <v>121</v>
      </c>
      <c r="C16" s="82">
        <v>0</v>
      </c>
      <c r="D16" s="82">
        <v>15804648</v>
      </c>
    </row>
    <row r="17" spans="1:4" ht="12.75" customHeight="1">
      <c r="A17" t="s">
        <v>382</v>
      </c>
      <c r="B17" t="s">
        <v>121</v>
      </c>
      <c r="C17" s="82">
        <v>0</v>
      </c>
      <c r="D17" s="312">
        <v>15804648</v>
      </c>
    </row>
    <row r="18" spans="1:4" ht="12.75" customHeight="1">
      <c r="A18" t="s">
        <v>383</v>
      </c>
      <c r="B18" t="s">
        <v>121</v>
      </c>
      <c r="C18" s="82">
        <v>0</v>
      </c>
      <c r="D18" s="311">
        <v>16229700</v>
      </c>
    </row>
    <row r="19" spans="1:4" ht="12.75" customHeight="1">
      <c r="A19" t="s">
        <v>384</v>
      </c>
      <c r="B19" t="s">
        <v>121</v>
      </c>
      <c r="C19" s="82">
        <v>0</v>
      </c>
      <c r="D19" s="82">
        <v>16229700</v>
      </c>
    </row>
    <row r="20" spans="1:4" ht="12.75" customHeight="1">
      <c r="A20" t="s">
        <v>385</v>
      </c>
      <c r="B20" t="s">
        <v>386</v>
      </c>
      <c r="C20" s="82">
        <v>131</v>
      </c>
      <c r="D20" s="311">
        <v>13100</v>
      </c>
    </row>
    <row r="21" spans="1:4" ht="12.75" customHeight="1">
      <c r="A21" t="s">
        <v>387</v>
      </c>
      <c r="B21" t="s">
        <v>121</v>
      </c>
      <c r="C21" s="82">
        <v>0</v>
      </c>
      <c r="D21" s="82">
        <v>20651160</v>
      </c>
    </row>
    <row r="22" ht="12.75" customHeight="1">
      <c r="A22" t="s">
        <v>388</v>
      </c>
    </row>
    <row r="23" spans="1:4" ht="12.75" customHeight="1">
      <c r="A23" t="s">
        <v>389</v>
      </c>
      <c r="B23" t="s">
        <v>121</v>
      </c>
      <c r="C23" s="82">
        <v>0</v>
      </c>
      <c r="D23" s="82">
        <v>57411388</v>
      </c>
    </row>
    <row r="24" spans="1:4" ht="12.75" customHeight="1">
      <c r="A24" t="s">
        <v>390</v>
      </c>
      <c r="B24" t="s">
        <v>121</v>
      </c>
      <c r="C24" s="82">
        <v>0</v>
      </c>
      <c r="D24" s="311">
        <v>36760228</v>
      </c>
    </row>
    <row r="25" spans="1:4" ht="12.75" customHeight="1">
      <c r="A25" t="s">
        <v>391</v>
      </c>
      <c r="D25" s="311">
        <f>+D27+D29+D31+D32+D34+D36</f>
        <v>31607690</v>
      </c>
    </row>
    <row r="26" ht="12.75" customHeight="1">
      <c r="A26" t="s">
        <v>392</v>
      </c>
    </row>
    <row r="27" spans="1:4" ht="12.75" customHeight="1">
      <c r="A27" t="s">
        <v>393</v>
      </c>
      <c r="B27" t="s">
        <v>121</v>
      </c>
      <c r="C27" s="296">
        <v>1.2022</v>
      </c>
      <c r="D27" s="82">
        <v>2374345</v>
      </c>
    </row>
    <row r="28" ht="12.75" customHeight="1">
      <c r="A28" t="s">
        <v>394</v>
      </c>
    </row>
    <row r="29" spans="1:4" ht="12.75" customHeight="1">
      <c r="A29" t="s">
        <v>395</v>
      </c>
      <c r="B29" t="s">
        <v>121</v>
      </c>
      <c r="C29" s="296">
        <v>1.2022</v>
      </c>
      <c r="D29" s="82">
        <v>2374345</v>
      </c>
    </row>
    <row r="30" spans="1:4" ht="12.75" customHeight="1">
      <c r="A30" t="s">
        <v>396</v>
      </c>
      <c r="B30" t="s">
        <v>397</v>
      </c>
      <c r="C30" s="82">
        <v>0</v>
      </c>
      <c r="D30" s="82">
        <v>0</v>
      </c>
    </row>
    <row r="31" spans="1:4" ht="12.75" customHeight="1">
      <c r="A31" t="s">
        <v>398</v>
      </c>
      <c r="B31" t="s">
        <v>121</v>
      </c>
      <c r="C31" s="82">
        <v>75</v>
      </c>
      <c r="D31" s="82">
        <v>4152000</v>
      </c>
    </row>
    <row r="32" spans="1:4" ht="12.75" customHeight="1">
      <c r="A32" t="s">
        <v>399</v>
      </c>
      <c r="B32" t="s">
        <v>121</v>
      </c>
      <c r="C32" s="82">
        <v>39</v>
      </c>
      <c r="D32" s="82">
        <v>5655000</v>
      </c>
    </row>
    <row r="33" ht="12.75" customHeight="1">
      <c r="A33" t="s">
        <v>400</v>
      </c>
    </row>
    <row r="34" spans="1:4" ht="12.75" customHeight="1">
      <c r="A34" t="s">
        <v>401</v>
      </c>
      <c r="B34" t="s">
        <v>121</v>
      </c>
      <c r="C34" s="82">
        <v>28</v>
      </c>
      <c r="D34" s="82">
        <v>3052000</v>
      </c>
    </row>
    <row r="35" ht="12.75" customHeight="1">
      <c r="A35" t="s">
        <v>402</v>
      </c>
    </row>
    <row r="36" spans="1:4" ht="12.75" customHeight="1">
      <c r="A36" t="s">
        <v>403</v>
      </c>
      <c r="B36" t="s">
        <v>121</v>
      </c>
      <c r="C36" s="82">
        <v>28</v>
      </c>
      <c r="D36" s="82">
        <v>14000000</v>
      </c>
    </row>
    <row r="37" spans="1:4" ht="12.75">
      <c r="A37" t="s">
        <v>452</v>
      </c>
      <c r="B37">
        <v>1140</v>
      </c>
      <c r="C37">
        <v>6011</v>
      </c>
      <c r="D37" s="82">
        <f>+C37*B37</f>
        <v>6852540</v>
      </c>
    </row>
    <row r="38" spans="1:4" ht="12.75">
      <c r="A38" t="s">
        <v>453</v>
      </c>
      <c r="D38" s="82">
        <v>278850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&amp;L10. melléklet a 2015. évi   2/2015.(II.25.) Önkormányzati költségvetési rendelethez&amp;R2015.02.25</oddHeader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76" zoomScaleSheetLayoutView="76" zoomScalePageLayoutView="0" workbookViewId="0" topLeftCell="A1">
      <selection activeCell="A2" sqref="A2:L2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8.421875" style="0" customWidth="1"/>
    <col min="6" max="6" width="16.00390625" style="0" customWidth="1"/>
    <col min="7" max="7" width="11.00390625" style="0" customWidth="1"/>
    <col min="8" max="8" width="12.28125" style="0" customWidth="1"/>
    <col min="9" max="9" width="15.7109375" style="0" customWidth="1"/>
    <col min="10" max="10" width="14.28125" style="0" customWidth="1"/>
    <col min="11" max="11" width="16.00390625" style="0" customWidth="1"/>
    <col min="12" max="12" width="13.28125" style="0" bestFit="1" customWidth="1"/>
  </cols>
  <sheetData>
    <row r="1" spans="1:12" ht="18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customHeight="1">
      <c r="A2" s="710" t="s">
        <v>566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</row>
    <row r="3" spans="1:12" ht="18.75" customHeight="1">
      <c r="A3" s="48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401" t="s">
        <v>206</v>
      </c>
    </row>
    <row r="4" spans="1:12" ht="18.75" customHeight="1" thickBot="1">
      <c r="A4" s="48" t="s">
        <v>11</v>
      </c>
      <c r="B4" s="574" t="s">
        <v>12</v>
      </c>
      <c r="C4" s="574" t="s">
        <v>13</v>
      </c>
      <c r="D4" s="574" t="s">
        <v>14</v>
      </c>
      <c r="E4" s="574" t="s">
        <v>15</v>
      </c>
      <c r="F4" s="574" t="s">
        <v>16</v>
      </c>
      <c r="G4" s="574" t="s">
        <v>17</v>
      </c>
      <c r="H4" s="574" t="s">
        <v>18</v>
      </c>
      <c r="I4" s="574" t="s">
        <v>63</v>
      </c>
      <c r="J4" s="574" t="s">
        <v>19</v>
      </c>
      <c r="K4" s="639" t="s">
        <v>349</v>
      </c>
      <c r="L4" s="574" t="s">
        <v>350</v>
      </c>
    </row>
    <row r="5" spans="1:12" ht="18.75" customHeight="1">
      <c r="A5" s="48" t="s">
        <v>20</v>
      </c>
      <c r="B5" s="711" t="s">
        <v>207</v>
      </c>
      <c r="C5" s="711" t="s">
        <v>208</v>
      </c>
      <c r="D5" s="714" t="s">
        <v>209</v>
      </c>
      <c r="E5" s="711" t="s">
        <v>210</v>
      </c>
      <c r="F5" s="711" t="s">
        <v>211</v>
      </c>
      <c r="G5" s="717" t="s">
        <v>212</v>
      </c>
      <c r="H5" s="717"/>
      <c r="I5" s="717"/>
      <c r="J5" s="717"/>
      <c r="K5" s="718" t="s">
        <v>651</v>
      </c>
      <c r="L5" s="721" t="s">
        <v>5</v>
      </c>
    </row>
    <row r="6" spans="1:12" ht="18.75" customHeight="1">
      <c r="A6" s="48"/>
      <c r="B6" s="712"/>
      <c r="C6" s="712"/>
      <c r="D6" s="715"/>
      <c r="E6" s="712"/>
      <c r="F6" s="712"/>
      <c r="G6" s="702" t="s">
        <v>213</v>
      </c>
      <c r="H6" s="689" t="s">
        <v>214</v>
      </c>
      <c r="I6" s="689" t="s">
        <v>70</v>
      </c>
      <c r="J6" s="723" t="s">
        <v>215</v>
      </c>
      <c r="K6" s="719"/>
      <c r="L6" s="700"/>
    </row>
    <row r="7" spans="1:12" ht="57" customHeight="1" thickBot="1">
      <c r="A7" s="48"/>
      <c r="B7" s="713"/>
      <c r="C7" s="713"/>
      <c r="D7" s="716"/>
      <c r="E7" s="713"/>
      <c r="F7" s="713"/>
      <c r="G7" s="703"/>
      <c r="H7" s="722"/>
      <c r="I7" s="722"/>
      <c r="J7" s="724"/>
      <c r="K7" s="720"/>
      <c r="L7" s="701"/>
    </row>
    <row r="8" spans="1:12" ht="18.75" customHeight="1">
      <c r="A8" s="48" t="s">
        <v>21</v>
      </c>
      <c r="B8" s="575" t="s">
        <v>72</v>
      </c>
      <c r="C8" s="576"/>
      <c r="D8" s="577"/>
      <c r="E8" s="578"/>
      <c r="F8" s="576"/>
      <c r="G8" s="579"/>
      <c r="H8" s="580"/>
      <c r="I8" s="580"/>
      <c r="J8" s="581"/>
      <c r="K8" s="636"/>
      <c r="L8" s="629"/>
    </row>
    <row r="9" spans="1:12" ht="29.25" customHeight="1">
      <c r="A9" s="48" t="s">
        <v>22</v>
      </c>
      <c r="B9" s="582" t="s">
        <v>263</v>
      </c>
      <c r="C9" s="583">
        <f>100267+178+1283-600+121+225+253+671+71+713+171+1001</f>
        <v>104354</v>
      </c>
      <c r="D9" s="584">
        <f>26821+48+367-186+33+61+68+19+61+379</f>
        <v>27671</v>
      </c>
      <c r="E9" s="585">
        <f>41135-187-9050-282+2500+1010+5802-2841-1957</f>
        <v>36130</v>
      </c>
      <c r="F9" s="586">
        <f>5000+51</f>
        <v>5051</v>
      </c>
      <c r="G9" s="587">
        <f>+'Kiad.intézményenként'!I31</f>
        <v>136385</v>
      </c>
      <c r="H9" s="588">
        <f>366+47</f>
        <v>413</v>
      </c>
      <c r="I9" s="588"/>
      <c r="J9" s="589"/>
      <c r="K9" s="588"/>
      <c r="L9" s="630">
        <f>SUM(C9:J9)</f>
        <v>310004</v>
      </c>
    </row>
    <row r="10" spans="1:12" ht="29.25" customHeight="1">
      <c r="A10" s="48" t="s">
        <v>23</v>
      </c>
      <c r="B10" s="590" t="s">
        <v>470</v>
      </c>
      <c r="C10" s="583">
        <v>650</v>
      </c>
      <c r="D10" s="591">
        <f>13+186</f>
        <v>199</v>
      </c>
      <c r="E10" s="592">
        <f>59+187</f>
        <v>246</v>
      </c>
      <c r="F10" s="593"/>
      <c r="G10" s="594"/>
      <c r="H10" s="595"/>
      <c r="I10" s="595"/>
      <c r="J10" s="596"/>
      <c r="K10" s="588"/>
      <c r="L10" s="630">
        <f>SUM(C10:J10)</f>
        <v>1095</v>
      </c>
    </row>
    <row r="11" spans="1:12" ht="29.25" customHeight="1">
      <c r="A11" s="48" t="s">
        <v>24</v>
      </c>
      <c r="B11" s="590" t="s">
        <v>531</v>
      </c>
      <c r="C11" s="583">
        <v>757</v>
      </c>
      <c r="D11" s="591">
        <v>209</v>
      </c>
      <c r="E11" s="592">
        <v>32</v>
      </c>
      <c r="F11" s="593"/>
      <c r="G11" s="594"/>
      <c r="H11" s="595"/>
      <c r="I11" s="595"/>
      <c r="J11" s="596"/>
      <c r="K11" s="588"/>
      <c r="L11" s="630">
        <f>SUM(C11:J11)</f>
        <v>998</v>
      </c>
    </row>
    <row r="12" spans="1:12" ht="29.25" customHeight="1">
      <c r="A12" s="48"/>
      <c r="B12" s="590" t="s">
        <v>549</v>
      </c>
      <c r="C12" s="597">
        <f>695+90</f>
        <v>785</v>
      </c>
      <c r="D12" s="591">
        <f>188+25</f>
        <v>213</v>
      </c>
      <c r="E12" s="592">
        <v>151</v>
      </c>
      <c r="F12" s="593"/>
      <c r="G12" s="594"/>
      <c r="H12" s="595"/>
      <c r="I12" s="595"/>
      <c r="J12" s="596"/>
      <c r="K12" s="588"/>
      <c r="L12" s="630">
        <f>SUM(C12:J12)</f>
        <v>1149</v>
      </c>
    </row>
    <row r="13" spans="1:12" ht="18.75" customHeight="1" thickBot="1">
      <c r="A13" s="48" t="s">
        <v>25</v>
      </c>
      <c r="B13" s="590" t="s">
        <v>216</v>
      </c>
      <c r="C13" s="593">
        <f>1560+3364</f>
        <v>4924</v>
      </c>
      <c r="D13" s="598">
        <f>421+908</f>
        <v>1329</v>
      </c>
      <c r="E13" s="593"/>
      <c r="F13" s="599"/>
      <c r="G13" s="600"/>
      <c r="H13" s="601"/>
      <c r="I13" s="601"/>
      <c r="J13" s="596"/>
      <c r="K13" s="595"/>
      <c r="L13" s="631">
        <f>+J13+F13+E13+D13+C13</f>
        <v>6253</v>
      </c>
    </row>
    <row r="14" spans="1:13" ht="18.75" customHeight="1" thickBot="1">
      <c r="A14" s="48" t="s">
        <v>26</v>
      </c>
      <c r="B14" s="602" t="s">
        <v>217</v>
      </c>
      <c r="C14" s="603">
        <f>SUM(C9:C13)</f>
        <v>111470</v>
      </c>
      <c r="D14" s="603">
        <f aca="true" t="shared" si="0" ref="D14:J14">SUM(D9:D13)</f>
        <v>29621</v>
      </c>
      <c r="E14" s="603">
        <f t="shared" si="0"/>
        <v>36559</v>
      </c>
      <c r="F14" s="603">
        <f t="shared" si="0"/>
        <v>5051</v>
      </c>
      <c r="G14" s="603">
        <f t="shared" si="0"/>
        <v>136385</v>
      </c>
      <c r="H14" s="603">
        <f t="shared" si="0"/>
        <v>413</v>
      </c>
      <c r="I14" s="603">
        <f t="shared" si="0"/>
        <v>0</v>
      </c>
      <c r="J14" s="632">
        <f t="shared" si="0"/>
        <v>0</v>
      </c>
      <c r="K14" s="637"/>
      <c r="L14" s="633">
        <f>SUM(L9:L13)</f>
        <v>319499</v>
      </c>
      <c r="M14" s="452"/>
    </row>
    <row r="15" spans="1:12" ht="18.75" customHeight="1">
      <c r="A15" s="48" t="s">
        <v>27</v>
      </c>
      <c r="B15" s="604" t="s">
        <v>218</v>
      </c>
      <c r="C15" s="605"/>
      <c r="D15" s="606"/>
      <c r="E15" s="605"/>
      <c r="F15" s="607"/>
      <c r="G15" s="608"/>
      <c r="H15" s="609"/>
      <c r="I15" s="609"/>
      <c r="J15" s="610"/>
      <c r="K15" s="638"/>
      <c r="L15" s="634"/>
    </row>
    <row r="16" spans="1:12" ht="18.75" customHeight="1">
      <c r="A16" s="48" t="s">
        <v>28</v>
      </c>
      <c r="B16" s="582" t="s">
        <v>219</v>
      </c>
      <c r="C16" s="586">
        <f>1423+40+20+30+20+70</f>
        <v>1603</v>
      </c>
      <c r="D16" s="611">
        <f>383+11+5+8+5+18</f>
        <v>430</v>
      </c>
      <c r="E16" s="586">
        <f>2105+215</f>
        <v>2320</v>
      </c>
      <c r="F16" s="612"/>
      <c r="G16" s="613"/>
      <c r="H16" s="614"/>
      <c r="I16" s="614"/>
      <c r="J16" s="589"/>
      <c r="K16" s="588"/>
      <c r="L16" s="630">
        <f>SUM(C16:J16)</f>
        <v>4353</v>
      </c>
    </row>
    <row r="17" spans="1:12" ht="18.75" customHeight="1">
      <c r="A17" s="48" t="s">
        <v>29</v>
      </c>
      <c r="B17" s="582" t="s">
        <v>220</v>
      </c>
      <c r="C17" s="586">
        <f>44404+13877+15263+8858+98196+63668</f>
        <v>244266</v>
      </c>
      <c r="D17" s="611">
        <f>5994+1874+2060+1192+13257+9455</f>
        <v>33832</v>
      </c>
      <c r="E17" s="586">
        <f>15694-14254+3150+3464+2005+1689+11757-2002</f>
        <v>21503</v>
      </c>
      <c r="F17" s="586">
        <f>+'Felhalm.kiad.'!D11</f>
        <v>5423</v>
      </c>
      <c r="G17" s="587"/>
      <c r="H17" s="588">
        <v>693</v>
      </c>
      <c r="I17" s="588"/>
      <c r="J17" s="589"/>
      <c r="K17" s="588"/>
      <c r="L17" s="630">
        <f aca="true" t="shared" si="1" ref="L17:L27">SUM(C17:J17)</f>
        <v>305717</v>
      </c>
    </row>
    <row r="18" spans="1:12" ht="18.75" customHeight="1">
      <c r="A18" s="48" t="s">
        <v>30</v>
      </c>
      <c r="B18" s="582" t="s">
        <v>213</v>
      </c>
      <c r="C18" s="586"/>
      <c r="D18" s="611"/>
      <c r="E18" s="586"/>
      <c r="F18" s="586"/>
      <c r="G18" s="587">
        <f>+'Kiad.intézményenként'!I22</f>
        <v>19419</v>
      </c>
      <c r="H18" s="588"/>
      <c r="I18" s="588"/>
      <c r="J18" s="589"/>
      <c r="K18" s="588"/>
      <c r="L18" s="630">
        <f t="shared" si="1"/>
        <v>19419</v>
      </c>
    </row>
    <row r="19" spans="1:12" ht="15">
      <c r="A19" s="48" t="s">
        <v>31</v>
      </c>
      <c r="B19" s="582" t="s">
        <v>221</v>
      </c>
      <c r="C19" s="586"/>
      <c r="D19" s="611"/>
      <c r="E19" s="586"/>
      <c r="F19" s="612"/>
      <c r="G19" s="613"/>
      <c r="H19" s="588">
        <v>63121</v>
      </c>
      <c r="I19" s="588">
        <f>+'Kiad.intézményenként'!K22</f>
        <v>4000</v>
      </c>
      <c r="J19" s="589"/>
      <c r="K19" s="588"/>
      <c r="L19" s="630">
        <f t="shared" si="1"/>
        <v>67121</v>
      </c>
    </row>
    <row r="20" spans="1:12" ht="15">
      <c r="A20" s="48" t="s">
        <v>32</v>
      </c>
      <c r="B20" s="582" t="s">
        <v>264</v>
      </c>
      <c r="C20" s="586"/>
      <c r="D20" s="611"/>
      <c r="E20" s="586">
        <v>560</v>
      </c>
      <c r="F20" s="612"/>
      <c r="G20" s="613"/>
      <c r="H20" s="588"/>
      <c r="I20" s="588"/>
      <c r="J20" s="589"/>
      <c r="K20" s="588"/>
      <c r="L20" s="630">
        <f t="shared" si="1"/>
        <v>560</v>
      </c>
    </row>
    <row r="21" spans="1:12" ht="18.75" customHeight="1">
      <c r="A21" s="48" t="s">
        <v>33</v>
      </c>
      <c r="B21" s="582" t="s">
        <v>441</v>
      </c>
      <c r="C21" s="615">
        <f>1620+1919+123+709</f>
        <v>4371</v>
      </c>
      <c r="D21" s="616">
        <f>394+518+197-11</f>
        <v>1098</v>
      </c>
      <c r="E21" s="615"/>
      <c r="F21" s="615"/>
      <c r="G21" s="617"/>
      <c r="H21" s="618"/>
      <c r="I21" s="619"/>
      <c r="J21" s="620"/>
      <c r="K21" s="618"/>
      <c r="L21" s="630">
        <f t="shared" si="1"/>
        <v>5469</v>
      </c>
    </row>
    <row r="22" spans="1:12" ht="18.75" customHeight="1">
      <c r="A22" s="48" t="s">
        <v>34</v>
      </c>
      <c r="B22" s="582" t="s">
        <v>532</v>
      </c>
      <c r="C22" s="615"/>
      <c r="D22" s="616"/>
      <c r="E22" s="615">
        <v>14254</v>
      </c>
      <c r="F22" s="615"/>
      <c r="G22" s="617"/>
      <c r="H22" s="618"/>
      <c r="I22" s="619"/>
      <c r="J22" s="620"/>
      <c r="K22" s="618"/>
      <c r="L22" s="630">
        <f t="shared" si="1"/>
        <v>14254</v>
      </c>
    </row>
    <row r="23" spans="1:12" ht="18.75" customHeight="1">
      <c r="A23" s="48" t="s">
        <v>35</v>
      </c>
      <c r="B23" s="582" t="s">
        <v>547</v>
      </c>
      <c r="C23" s="615"/>
      <c r="D23" s="616"/>
      <c r="E23" s="615">
        <f>8812+2717+2911+1237+9090+3179+520+3672</f>
        <v>32138</v>
      </c>
      <c r="F23" s="615"/>
      <c r="G23" s="617"/>
      <c r="H23" s="618"/>
      <c r="I23" s="619"/>
      <c r="J23" s="620"/>
      <c r="K23" s="618"/>
      <c r="L23" s="630">
        <f t="shared" si="1"/>
        <v>32138</v>
      </c>
    </row>
    <row r="24" spans="1:12" ht="18.75" customHeight="1">
      <c r="A24" s="48" t="s">
        <v>36</v>
      </c>
      <c r="B24" s="582" t="s">
        <v>530</v>
      </c>
      <c r="C24" s="615"/>
      <c r="D24" s="616"/>
      <c r="E24" s="615">
        <v>1010</v>
      </c>
      <c r="F24" s="615"/>
      <c r="G24" s="617"/>
      <c r="H24" s="618"/>
      <c r="I24" s="619"/>
      <c r="J24" s="620"/>
      <c r="K24" s="618"/>
      <c r="L24" s="630">
        <f t="shared" si="1"/>
        <v>1010</v>
      </c>
    </row>
    <row r="25" spans="1:12" ht="18.75" customHeight="1">
      <c r="A25" s="48" t="s">
        <v>37</v>
      </c>
      <c r="B25" s="582" t="s">
        <v>449</v>
      </c>
      <c r="C25" s="615"/>
      <c r="D25" s="616"/>
      <c r="E25" s="615"/>
      <c r="F25" s="615">
        <v>60798</v>
      </c>
      <c r="G25" s="617"/>
      <c r="H25" s="618"/>
      <c r="I25" s="619"/>
      <c r="J25" s="620"/>
      <c r="K25" s="618"/>
      <c r="L25" s="630">
        <f t="shared" si="1"/>
        <v>60798</v>
      </c>
    </row>
    <row r="26" spans="1:12" ht="18.75" customHeight="1">
      <c r="A26" s="48" t="s">
        <v>40</v>
      </c>
      <c r="B26" s="582" t="s">
        <v>439</v>
      </c>
      <c r="C26" s="621"/>
      <c r="D26" s="622"/>
      <c r="E26" s="621"/>
      <c r="F26" s="621"/>
      <c r="G26" s="617"/>
      <c r="H26" s="618"/>
      <c r="I26" s="618"/>
      <c r="J26" s="620"/>
      <c r="K26" s="618"/>
      <c r="L26" s="630">
        <f t="shared" si="1"/>
        <v>0</v>
      </c>
    </row>
    <row r="27" spans="1:12" ht="18.75" customHeight="1">
      <c r="A27" s="48" t="s">
        <v>42</v>
      </c>
      <c r="B27" s="582" t="s">
        <v>440</v>
      </c>
      <c r="C27" s="586"/>
      <c r="D27" s="611"/>
      <c r="E27" s="586">
        <f>+'Felhalm.bev.és kiad.mérlege'!F14+'Felhalm.bev.és kiad.mérlege'!F13</f>
        <v>3067</v>
      </c>
      <c r="F27" s="586"/>
      <c r="G27" s="587"/>
      <c r="H27" s="588"/>
      <c r="I27" s="588"/>
      <c r="J27" s="589"/>
      <c r="K27" s="588"/>
      <c r="L27" s="630">
        <f t="shared" si="1"/>
        <v>3067</v>
      </c>
    </row>
    <row r="28" spans="1:12" ht="18.75" customHeight="1" thickBot="1">
      <c r="A28" s="48" t="s">
        <v>43</v>
      </c>
      <c r="B28" s="623" t="s">
        <v>650</v>
      </c>
      <c r="C28" s="624"/>
      <c r="D28" s="625"/>
      <c r="E28" s="624"/>
      <c r="F28" s="624"/>
      <c r="G28" s="626"/>
      <c r="H28" s="627"/>
      <c r="I28" s="627"/>
      <c r="J28" s="628">
        <f>+'Bev.intézményenként'!J33</f>
        <v>551579</v>
      </c>
      <c r="K28" s="595">
        <f>70000+162405+134000</f>
        <v>366405</v>
      </c>
      <c r="L28" s="635">
        <f>SUM(C28:K28)</f>
        <v>917984</v>
      </c>
    </row>
    <row r="29" spans="1:14" ht="18.75" customHeight="1" thickBot="1">
      <c r="A29" s="48" t="s">
        <v>44</v>
      </c>
      <c r="B29" s="602" t="s">
        <v>222</v>
      </c>
      <c r="C29" s="603">
        <f>SUM(C16:C28)</f>
        <v>250240</v>
      </c>
      <c r="D29" s="603">
        <f>SUM(D16:D28)</f>
        <v>35360</v>
      </c>
      <c r="E29" s="603">
        <f aca="true" t="shared" si="2" ref="E29:K29">SUM(E16:E28)</f>
        <v>74852</v>
      </c>
      <c r="F29" s="603">
        <f t="shared" si="2"/>
        <v>66221</v>
      </c>
      <c r="G29" s="603">
        <f t="shared" si="2"/>
        <v>19419</v>
      </c>
      <c r="H29" s="603">
        <f t="shared" si="2"/>
        <v>63814</v>
      </c>
      <c r="I29" s="603">
        <f t="shared" si="2"/>
        <v>4000</v>
      </c>
      <c r="J29" s="632">
        <f t="shared" si="2"/>
        <v>551579</v>
      </c>
      <c r="K29" s="640">
        <f t="shared" si="2"/>
        <v>366405</v>
      </c>
      <c r="L29" s="633">
        <f>SUM(L16:L28)</f>
        <v>1431890</v>
      </c>
      <c r="M29" s="442"/>
      <c r="N29" s="443"/>
    </row>
    <row r="30" spans="2:12" ht="18.75" customHeight="1">
      <c r="B30" s="139"/>
      <c r="C30" s="140"/>
      <c r="D30" s="140"/>
      <c r="E30" s="140">
        <f>SUM(C29:E29)</f>
        <v>360452</v>
      </c>
      <c r="F30" s="140"/>
      <c r="G30" s="140"/>
      <c r="H30" s="140"/>
      <c r="I30" s="140"/>
      <c r="J30" s="140"/>
      <c r="K30" s="140"/>
      <c r="L30" s="141">
        <f>SUM(C29:K29)</f>
        <v>1431890</v>
      </c>
    </row>
    <row r="31" spans="2:12" ht="18.75" customHeight="1"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>
        <f>L29-J29</f>
        <v>880311</v>
      </c>
    </row>
    <row r="32" spans="2:12" ht="30.75" customHeight="1"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2:12" ht="18.75" customHeight="1"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1"/>
    </row>
    <row r="34" spans="2:12" ht="18.75" customHeight="1"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2:12" ht="18.75" customHeight="1">
      <c r="B35" s="142"/>
      <c r="C35" s="143"/>
      <c r="D35" s="143"/>
      <c r="E35" s="140"/>
      <c r="F35" s="140"/>
      <c r="G35" s="140"/>
      <c r="H35" s="140"/>
      <c r="I35" s="140"/>
      <c r="J35" s="140"/>
      <c r="K35" s="140"/>
      <c r="L35" s="141"/>
    </row>
    <row r="36" spans="2:12" ht="18.75" customHeight="1">
      <c r="B36" s="142"/>
      <c r="C36" s="143"/>
      <c r="D36" s="143"/>
      <c r="E36" s="140"/>
      <c r="F36" s="140"/>
      <c r="G36" s="140"/>
      <c r="H36" s="140"/>
      <c r="I36" s="140"/>
      <c r="J36" s="140"/>
      <c r="K36" s="140"/>
      <c r="L36" s="141"/>
    </row>
    <row r="37" spans="2:12" ht="18.75" customHeight="1">
      <c r="B37" s="144"/>
      <c r="C37" s="140"/>
      <c r="D37" s="140"/>
      <c r="E37" s="140"/>
      <c r="F37" s="140"/>
      <c r="G37" s="140"/>
      <c r="H37" s="140"/>
      <c r="I37" s="140"/>
      <c r="J37" s="140"/>
      <c r="K37" s="140"/>
      <c r="L37" s="141"/>
    </row>
    <row r="38" spans="2:12" ht="18.75" customHeight="1"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1"/>
    </row>
    <row r="39" spans="2:12" ht="18.75" customHeight="1"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1"/>
    </row>
    <row r="40" spans="2:12" ht="18.75" customHeight="1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2:12" ht="18.75" customHeight="1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</row>
    <row r="55" spans="2:12" ht="18.75" customHeight="1"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</row>
    <row r="56" spans="2:12" ht="18.75" customHeight="1">
      <c r="B56" s="146"/>
      <c r="C56" s="137"/>
      <c r="D56" s="137"/>
      <c r="E56" s="137"/>
      <c r="F56" s="137"/>
      <c r="G56" s="137"/>
      <c r="H56" s="137"/>
      <c r="I56" s="137"/>
      <c r="J56" s="137"/>
      <c r="K56" s="137"/>
      <c r="L56" s="137"/>
    </row>
    <row r="57" spans="2:12" ht="18.75" customHeight="1">
      <c r="B57" s="146"/>
      <c r="C57" s="137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ht="18.75" customHeight="1">
      <c r="B58" s="146"/>
      <c r="C58" s="137"/>
      <c r="D58" s="137"/>
      <c r="E58" s="137"/>
      <c r="F58" s="137"/>
      <c r="G58" s="137"/>
      <c r="H58" s="137"/>
      <c r="I58" s="137"/>
      <c r="J58" s="137"/>
      <c r="K58" s="137"/>
      <c r="L58" s="137"/>
    </row>
    <row r="60" ht="18.75" customHeight="1">
      <c r="B60" s="145"/>
    </row>
    <row r="62" ht="18.75" customHeight="1">
      <c r="B62" s="145"/>
    </row>
    <row r="63" ht="18.75" customHeight="1">
      <c r="B63" s="145"/>
    </row>
  </sheetData>
  <sheetProtection/>
  <mergeCells count="14">
    <mergeCell ref="H6:H7"/>
    <mergeCell ref="I6:I7"/>
    <mergeCell ref="J6:J7"/>
    <mergeCell ref="B55:L55"/>
    <mergeCell ref="A2:L2"/>
    <mergeCell ref="B5:B7"/>
    <mergeCell ref="C5:C7"/>
    <mergeCell ref="D5:D7"/>
    <mergeCell ref="E5:E7"/>
    <mergeCell ref="F5:F7"/>
    <mergeCell ref="G5:J5"/>
    <mergeCell ref="K5:K7"/>
    <mergeCell ref="L5:L7"/>
    <mergeCell ref="G6:G7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77" r:id="rId1"/>
  <headerFooter alignWithMargins="0">
    <oddHeader>&amp;L11. melléklet a 2015. évi   2/2015.(II.25.) Önkormányzati költségvetési rendelethez&amp;R2015.02.25</oddHeader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D90"/>
  <sheetViews>
    <sheetView view="pageLayout" zoomScaleSheetLayoutView="100" workbookViewId="0" topLeftCell="I47">
      <selection activeCell="A29" sqref="A29:IV29"/>
    </sheetView>
  </sheetViews>
  <sheetFormatPr defaultColWidth="9.140625" defaultRowHeight="12.75"/>
  <cols>
    <col min="1" max="1" width="0.2890625" style="147" customWidth="1"/>
    <col min="2" max="2" width="19.28125" style="147" customWidth="1"/>
    <col min="3" max="3" width="9.7109375" style="147" bestFit="1" customWidth="1"/>
    <col min="4" max="4" width="10.140625" style="147" bestFit="1" customWidth="1"/>
    <col min="5" max="5" width="8.28125" style="147" bestFit="1" customWidth="1"/>
    <col min="6" max="6" width="9.57421875" style="147" bestFit="1" customWidth="1"/>
    <col min="7" max="7" width="9.7109375" style="147" customWidth="1"/>
    <col min="8" max="8" width="8.57421875" style="147" customWidth="1"/>
    <col min="9" max="9" width="8.140625" style="147" bestFit="1" customWidth="1"/>
    <col min="10" max="10" width="7.7109375" style="147" customWidth="1"/>
    <col min="11" max="11" width="8.421875" style="147" customWidth="1"/>
    <col min="12" max="12" width="9.57421875" style="147" customWidth="1"/>
    <col min="13" max="13" width="10.140625" style="147" bestFit="1" customWidth="1"/>
    <col min="14" max="14" width="7.8515625" style="147" customWidth="1"/>
    <col min="15" max="15" width="8.28125" style="147" customWidth="1"/>
    <col min="16" max="16" width="10.7109375" style="147" customWidth="1"/>
    <col min="17" max="17" width="10.140625" style="147" bestFit="1" customWidth="1"/>
    <col min="18" max="20" width="8.421875" style="147" customWidth="1"/>
    <col min="21" max="21" width="10.7109375" style="147" customWidth="1"/>
    <col min="22" max="22" width="9.00390625" style="147" customWidth="1"/>
    <col min="23" max="23" width="9.140625" style="147" customWidth="1"/>
    <col min="24" max="24" width="7.421875" style="147" customWidth="1"/>
    <col min="25" max="25" width="10.00390625" style="147" customWidth="1"/>
    <col min="26" max="26" width="9.7109375" style="147" customWidth="1"/>
    <col min="27" max="27" width="9.140625" style="147" hidden="1" customWidth="1"/>
    <col min="28" max="16384" width="9.140625" style="147" customWidth="1"/>
  </cols>
  <sheetData>
    <row r="2" spans="2:23" ht="12.75">
      <c r="B2" s="347" t="s">
        <v>433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W2" s="148">
        <f>SUM(Q22:Y22)</f>
        <v>92174</v>
      </c>
    </row>
    <row r="3" ht="13.5" thickBot="1"/>
    <row r="4" spans="2:26" ht="13.5" thickBot="1">
      <c r="B4" s="183" t="s">
        <v>285</v>
      </c>
      <c r="C4" s="726" t="s">
        <v>167</v>
      </c>
      <c r="D4" s="727"/>
      <c r="E4" s="727"/>
      <c r="F4" s="727"/>
      <c r="G4" s="727"/>
      <c r="H4" s="727"/>
      <c r="I4" s="727"/>
      <c r="J4" s="727"/>
      <c r="K4" s="727"/>
      <c r="L4" s="727"/>
      <c r="M4" s="727" t="s">
        <v>286</v>
      </c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8"/>
    </row>
    <row r="5" spans="2:26" ht="13.5" thickBot="1">
      <c r="B5" s="225"/>
      <c r="C5" s="458"/>
      <c r="D5" s="458"/>
      <c r="E5" s="458"/>
      <c r="F5" s="458"/>
      <c r="G5" s="458"/>
      <c r="H5" s="458"/>
      <c r="I5" s="458"/>
      <c r="J5" s="458"/>
      <c r="K5" s="458"/>
      <c r="L5" s="459"/>
      <c r="M5" s="460"/>
      <c r="N5" s="460"/>
      <c r="O5" s="460"/>
      <c r="P5" s="461"/>
      <c r="Q5" s="729" t="s">
        <v>272</v>
      </c>
      <c r="R5" s="730"/>
      <c r="S5" s="730"/>
      <c r="T5" s="730"/>
      <c r="U5" s="730"/>
      <c r="V5" s="730"/>
      <c r="W5" s="730"/>
      <c r="X5" s="730"/>
      <c r="Y5" s="731"/>
      <c r="Z5" s="462"/>
    </row>
    <row r="6" spans="2:26" s="178" customFormat="1" ht="51.75" thickBot="1">
      <c r="B6" s="232" t="s">
        <v>226</v>
      </c>
      <c r="C6" s="456" t="s">
        <v>56</v>
      </c>
      <c r="D6" s="457" t="s">
        <v>227</v>
      </c>
      <c r="E6" s="457" t="s">
        <v>228</v>
      </c>
      <c r="F6" s="457" t="s">
        <v>61</v>
      </c>
      <c r="G6" s="463" t="s">
        <v>652</v>
      </c>
      <c r="H6" s="463" t="s">
        <v>653</v>
      </c>
      <c r="I6" s="463" t="s">
        <v>62</v>
      </c>
      <c r="J6" s="463" t="s">
        <v>9</v>
      </c>
      <c r="K6" s="507" t="s">
        <v>654</v>
      </c>
      <c r="L6" s="507" t="s">
        <v>270</v>
      </c>
      <c r="M6" s="457" t="s">
        <v>243</v>
      </c>
      <c r="N6" s="457" t="s">
        <v>242</v>
      </c>
      <c r="O6" s="463" t="s">
        <v>464</v>
      </c>
      <c r="P6" s="463" t="s">
        <v>241</v>
      </c>
      <c r="Q6" s="456" t="s">
        <v>258</v>
      </c>
      <c r="R6" s="465" t="s">
        <v>434</v>
      </c>
      <c r="S6" s="466" t="s">
        <v>280</v>
      </c>
      <c r="T6" s="465" t="s">
        <v>281</v>
      </c>
      <c r="U6" s="466" t="s">
        <v>282</v>
      </c>
      <c r="V6" s="465" t="s">
        <v>283</v>
      </c>
      <c r="W6" s="465" t="s">
        <v>476</v>
      </c>
      <c r="X6" s="465" t="s">
        <v>8</v>
      </c>
      <c r="Y6" s="467" t="s">
        <v>655</v>
      </c>
      <c r="Z6" s="232" t="s">
        <v>284</v>
      </c>
    </row>
    <row r="7" spans="2:27" s="178" customFormat="1" ht="12.75">
      <c r="B7" s="226" t="s">
        <v>468</v>
      </c>
      <c r="C7" s="468"/>
      <c r="D7" s="468"/>
      <c r="E7" s="469"/>
      <c r="F7" s="150">
        <f>SUM(C7:E7)</f>
        <v>0</v>
      </c>
      <c r="G7" s="470"/>
      <c r="H7" s="470"/>
      <c r="I7" s="470"/>
      <c r="J7" s="470"/>
      <c r="K7" s="470"/>
      <c r="L7" s="471">
        <f>SUM(F7:J7)</f>
        <v>0</v>
      </c>
      <c r="M7" s="469"/>
      <c r="N7" s="469"/>
      <c r="O7" s="469"/>
      <c r="P7" s="470"/>
      <c r="Q7" s="472"/>
      <c r="R7" s="473"/>
      <c r="S7" s="473"/>
      <c r="T7" s="473"/>
      <c r="U7" s="473"/>
      <c r="V7" s="473"/>
      <c r="W7" s="473"/>
      <c r="X7" s="473"/>
      <c r="Y7" s="474"/>
      <c r="Z7" s="475">
        <f>SUM(M7:Y7)</f>
        <v>0</v>
      </c>
      <c r="AA7" s="445">
        <f>+Z7-L7</f>
        <v>0</v>
      </c>
    </row>
    <row r="8" spans="2:28" ht="12.75">
      <c r="B8" s="227" t="s">
        <v>273</v>
      </c>
      <c r="C8" s="224">
        <v>3820</v>
      </c>
      <c r="D8" s="224">
        <v>981</v>
      </c>
      <c r="E8" s="224">
        <v>13223</v>
      </c>
      <c r="F8" s="150">
        <f>SUM(C8:E8)</f>
        <v>18024</v>
      </c>
      <c r="G8" s="150"/>
      <c r="H8" s="150"/>
      <c r="I8" s="150"/>
      <c r="J8" s="150"/>
      <c r="K8" s="150"/>
      <c r="L8" s="475">
        <f>SUM(F8:J8)</f>
        <v>18024</v>
      </c>
      <c r="M8" s="476">
        <v>6467</v>
      </c>
      <c r="N8" s="223"/>
      <c r="O8" s="223"/>
      <c r="P8" s="223"/>
      <c r="Q8" s="477">
        <v>3709</v>
      </c>
      <c r="R8" s="223"/>
      <c r="S8" s="223">
        <f>6676+1172</f>
        <v>7848</v>
      </c>
      <c r="T8" s="223"/>
      <c r="U8" s="223"/>
      <c r="V8" s="223"/>
      <c r="W8" s="223"/>
      <c r="X8" s="223"/>
      <c r="Y8" s="478"/>
      <c r="Z8" s="475">
        <f>SUM(M8:Y8)</f>
        <v>18024</v>
      </c>
      <c r="AA8" s="445">
        <f aca="true" t="shared" si="0" ref="AA8:AA22">+Z8-L8</f>
        <v>0</v>
      </c>
      <c r="AB8" s="148">
        <f>L8-Z8</f>
        <v>0</v>
      </c>
    </row>
    <row r="9" spans="2:28" ht="12.75">
      <c r="B9" s="227" t="s">
        <v>229</v>
      </c>
      <c r="C9" s="224">
        <v>3274</v>
      </c>
      <c r="D9" s="224">
        <v>900</v>
      </c>
      <c r="E9" s="224">
        <v>2726</v>
      </c>
      <c r="F9" s="150">
        <f>SUM(C9:E9)</f>
        <v>6900</v>
      </c>
      <c r="G9" s="150"/>
      <c r="H9" s="150"/>
      <c r="I9" s="150"/>
      <c r="J9" s="150"/>
      <c r="K9" s="150"/>
      <c r="L9" s="475">
        <f aca="true" t="shared" si="1" ref="L9:L21">SUM(F9:J9)</f>
        <v>6900</v>
      </c>
      <c r="M9" s="223"/>
      <c r="N9" s="223"/>
      <c r="O9" s="223"/>
      <c r="P9" s="224"/>
      <c r="Q9" s="479">
        <v>6245</v>
      </c>
      <c r="R9" s="223"/>
      <c r="S9" s="223">
        <v>655</v>
      </c>
      <c r="T9" s="223"/>
      <c r="U9" s="223"/>
      <c r="V9" s="223"/>
      <c r="W9" s="223"/>
      <c r="X9" s="223"/>
      <c r="Y9" s="478"/>
      <c r="Z9" s="475">
        <f aca="true" t="shared" si="2" ref="Z9:Z21">SUM(M9:Y9)</f>
        <v>6900</v>
      </c>
      <c r="AA9" s="445">
        <f t="shared" si="0"/>
        <v>0</v>
      </c>
      <c r="AB9" s="148">
        <f aca="true" t="shared" si="3" ref="AB9:AB22">L9-Z9</f>
        <v>0</v>
      </c>
    </row>
    <row r="10" spans="2:28" ht="12.75">
      <c r="B10" s="227" t="s">
        <v>230</v>
      </c>
      <c r="C10" s="224">
        <v>5280</v>
      </c>
      <c r="D10" s="224">
        <v>1180</v>
      </c>
      <c r="E10" s="224">
        <v>1777</v>
      </c>
      <c r="F10" s="150">
        <f aca="true" t="shared" si="4" ref="F10:F21">SUM(C10:E10)</f>
        <v>8237</v>
      </c>
      <c r="G10" s="150"/>
      <c r="H10" s="150"/>
      <c r="I10" s="150"/>
      <c r="J10" s="150"/>
      <c r="K10" s="150"/>
      <c r="L10" s="475">
        <f t="shared" si="1"/>
        <v>8237</v>
      </c>
      <c r="M10" s="223"/>
      <c r="N10" s="223"/>
      <c r="O10" s="223"/>
      <c r="P10" s="480"/>
      <c r="Q10" s="479">
        <v>8000</v>
      </c>
      <c r="R10" s="223"/>
      <c r="S10" s="223">
        <v>237</v>
      </c>
      <c r="T10" s="223"/>
      <c r="U10" s="223"/>
      <c r="V10" s="223"/>
      <c r="W10" s="223"/>
      <c r="X10" s="223"/>
      <c r="Y10" s="478"/>
      <c r="Z10" s="475">
        <f t="shared" si="2"/>
        <v>8237</v>
      </c>
      <c r="AA10" s="445">
        <f t="shared" si="0"/>
        <v>0</v>
      </c>
      <c r="AB10" s="148">
        <f t="shared" si="3"/>
        <v>0</v>
      </c>
    </row>
    <row r="11" spans="2:28" ht="12.75">
      <c r="B11" s="227" t="s">
        <v>231</v>
      </c>
      <c r="C11" s="224">
        <v>3731</v>
      </c>
      <c r="D11" s="224">
        <v>1189</v>
      </c>
      <c r="E11" s="224">
        <v>3333</v>
      </c>
      <c r="F11" s="150">
        <f t="shared" si="4"/>
        <v>8253</v>
      </c>
      <c r="G11" s="150"/>
      <c r="H11" s="150"/>
      <c r="I11" s="150"/>
      <c r="J11" s="150"/>
      <c r="K11" s="150"/>
      <c r="L11" s="475">
        <f t="shared" si="1"/>
        <v>8253</v>
      </c>
      <c r="M11" s="224">
        <v>1823</v>
      </c>
      <c r="N11" s="223"/>
      <c r="O11" s="223"/>
      <c r="P11" s="480"/>
      <c r="Q11" s="477">
        <v>3052</v>
      </c>
      <c r="R11" s="223"/>
      <c r="S11" s="223">
        <v>1899</v>
      </c>
      <c r="T11" s="223"/>
      <c r="U11" s="223"/>
      <c r="V11" s="223"/>
      <c r="W11" s="223">
        <v>1479</v>
      </c>
      <c r="X11" s="223"/>
      <c r="Y11" s="478"/>
      <c r="Z11" s="475">
        <f t="shared" si="2"/>
        <v>8253</v>
      </c>
      <c r="AA11" s="445">
        <f t="shared" si="0"/>
        <v>0</v>
      </c>
      <c r="AB11" s="148">
        <f t="shared" si="3"/>
        <v>0</v>
      </c>
    </row>
    <row r="12" spans="2:28" ht="12.75">
      <c r="B12" s="227" t="s">
        <v>232</v>
      </c>
      <c r="C12" s="224">
        <v>11313</v>
      </c>
      <c r="D12" s="224">
        <v>2859</v>
      </c>
      <c r="E12" s="224">
        <v>1791</v>
      </c>
      <c r="F12" s="150">
        <f>SUM(C12:E12)</f>
        <v>15963</v>
      </c>
      <c r="G12" s="150"/>
      <c r="H12" s="150"/>
      <c r="I12" s="150"/>
      <c r="J12" s="150"/>
      <c r="K12" s="150"/>
      <c r="L12" s="475">
        <f t="shared" si="1"/>
        <v>15963</v>
      </c>
      <c r="M12" s="224">
        <v>1374</v>
      </c>
      <c r="N12" s="223"/>
      <c r="O12" s="223"/>
      <c r="P12" s="480"/>
      <c r="Q12" s="477">
        <v>12000</v>
      </c>
      <c r="R12" s="223"/>
      <c r="S12" s="223">
        <v>2589</v>
      </c>
      <c r="T12" s="223"/>
      <c r="U12" s="223"/>
      <c r="V12" s="223"/>
      <c r="W12" s="223"/>
      <c r="X12" s="223"/>
      <c r="Y12" s="478"/>
      <c r="Z12" s="475">
        <f t="shared" si="2"/>
        <v>15963</v>
      </c>
      <c r="AA12" s="445">
        <f t="shared" si="0"/>
        <v>0</v>
      </c>
      <c r="AB12" s="148">
        <f t="shared" si="3"/>
        <v>0</v>
      </c>
    </row>
    <row r="13" spans="2:28" ht="12.75">
      <c r="B13" s="227" t="s">
        <v>233</v>
      </c>
      <c r="C13" s="224">
        <v>3550</v>
      </c>
      <c r="D13" s="224">
        <v>914</v>
      </c>
      <c r="E13" s="224">
        <v>676</v>
      </c>
      <c r="F13" s="150">
        <f t="shared" si="4"/>
        <v>5140</v>
      </c>
      <c r="G13" s="150"/>
      <c r="H13" s="150"/>
      <c r="I13" s="150"/>
      <c r="J13" s="150"/>
      <c r="K13" s="150"/>
      <c r="L13" s="475">
        <f t="shared" si="1"/>
        <v>5140</v>
      </c>
      <c r="M13" s="223">
        <v>1</v>
      </c>
      <c r="N13" s="223"/>
      <c r="O13" s="223"/>
      <c r="P13" s="480"/>
      <c r="Q13" s="477">
        <f>2374</f>
        <v>2374</v>
      </c>
      <c r="R13" s="223"/>
      <c r="S13" s="223">
        <v>2765</v>
      </c>
      <c r="T13" s="223"/>
      <c r="U13" s="223"/>
      <c r="V13" s="223"/>
      <c r="W13" s="223"/>
      <c r="X13" s="223"/>
      <c r="Y13" s="478"/>
      <c r="Z13" s="475">
        <f t="shared" si="2"/>
        <v>5140</v>
      </c>
      <c r="AA13" s="445">
        <f t="shared" si="0"/>
        <v>0</v>
      </c>
      <c r="AB13" s="148">
        <f t="shared" si="3"/>
        <v>0</v>
      </c>
    </row>
    <row r="14" spans="2:28" ht="12.75">
      <c r="B14" s="227" t="s">
        <v>234</v>
      </c>
      <c r="C14" s="224">
        <v>12683</v>
      </c>
      <c r="D14" s="224">
        <v>2958</v>
      </c>
      <c r="E14" s="224">
        <v>7563</v>
      </c>
      <c r="F14" s="150">
        <f t="shared" si="4"/>
        <v>23204</v>
      </c>
      <c r="G14" s="150"/>
      <c r="H14" s="150"/>
      <c r="I14" s="150"/>
      <c r="J14" s="150"/>
      <c r="K14" s="150"/>
      <c r="L14" s="475">
        <f t="shared" si="1"/>
        <v>23204</v>
      </c>
      <c r="M14" s="223">
        <v>347</v>
      </c>
      <c r="N14" s="223"/>
      <c r="O14" s="223"/>
      <c r="P14" s="223">
        <v>7543</v>
      </c>
      <c r="Q14" s="477">
        <v>2374</v>
      </c>
      <c r="R14" s="223"/>
      <c r="S14" s="223">
        <v>2930</v>
      </c>
      <c r="T14" s="223"/>
      <c r="U14" s="223">
        <v>9110</v>
      </c>
      <c r="V14" s="223"/>
      <c r="W14" s="223"/>
      <c r="X14" s="223">
        <v>900</v>
      </c>
      <c r="Y14" s="478"/>
      <c r="Z14" s="475">
        <f t="shared" si="2"/>
        <v>23204</v>
      </c>
      <c r="AA14" s="445">
        <f t="shared" si="0"/>
        <v>0</v>
      </c>
      <c r="AB14" s="148">
        <f t="shared" si="3"/>
        <v>0</v>
      </c>
    </row>
    <row r="15" spans="2:28" ht="12.75">
      <c r="B15" s="227" t="s">
        <v>235</v>
      </c>
      <c r="C15" s="224">
        <v>9015</v>
      </c>
      <c r="D15" s="224">
        <v>2891</v>
      </c>
      <c r="E15" s="224">
        <v>1340</v>
      </c>
      <c r="F15" s="150">
        <f>SUM(C15:E15)</f>
        <v>13246</v>
      </c>
      <c r="G15" s="150"/>
      <c r="H15" s="150"/>
      <c r="I15" s="150"/>
      <c r="J15" s="150"/>
      <c r="K15" s="150"/>
      <c r="L15" s="475">
        <f t="shared" si="1"/>
        <v>13246</v>
      </c>
      <c r="M15" s="224">
        <v>77</v>
      </c>
      <c r="N15" s="223"/>
      <c r="O15" s="223"/>
      <c r="P15" s="480"/>
      <c r="Q15" s="477">
        <v>5655</v>
      </c>
      <c r="R15" s="223"/>
      <c r="S15" s="223">
        <v>7514</v>
      </c>
      <c r="T15" s="223"/>
      <c r="U15" s="223"/>
      <c r="V15" s="223"/>
      <c r="W15" s="223"/>
      <c r="X15" s="223"/>
      <c r="Y15" s="478"/>
      <c r="Z15" s="475">
        <f t="shared" si="2"/>
        <v>13246</v>
      </c>
      <c r="AA15" s="445">
        <f t="shared" si="0"/>
        <v>0</v>
      </c>
      <c r="AB15" s="148">
        <f t="shared" si="3"/>
        <v>0</v>
      </c>
    </row>
    <row r="16" spans="2:28" ht="12.75">
      <c r="B16" s="227" t="s">
        <v>236</v>
      </c>
      <c r="C16" s="224">
        <v>8207</v>
      </c>
      <c r="D16" s="224">
        <v>2219</v>
      </c>
      <c r="E16" s="224">
        <v>3837</v>
      </c>
      <c r="F16" s="150">
        <f t="shared" si="4"/>
        <v>14263</v>
      </c>
      <c r="G16" s="150"/>
      <c r="H16" s="150"/>
      <c r="I16" s="150"/>
      <c r="J16" s="150">
        <f>+'[6]7_mell'!D14</f>
        <v>2650</v>
      </c>
      <c r="K16" s="150"/>
      <c r="L16" s="475">
        <f t="shared" si="1"/>
        <v>16913</v>
      </c>
      <c r="M16" s="223"/>
      <c r="N16" s="224">
        <v>13824</v>
      </c>
      <c r="O16" s="224"/>
      <c r="P16" s="480"/>
      <c r="Q16" s="479"/>
      <c r="R16" s="223"/>
      <c r="S16" s="223">
        <v>439</v>
      </c>
      <c r="T16" s="223"/>
      <c r="U16" s="223"/>
      <c r="V16" s="223"/>
      <c r="W16" s="223">
        <v>2650</v>
      </c>
      <c r="X16" s="223"/>
      <c r="Y16" s="478"/>
      <c r="Z16" s="475">
        <f t="shared" si="2"/>
        <v>16913</v>
      </c>
      <c r="AA16" s="445">
        <f t="shared" si="0"/>
        <v>0</v>
      </c>
      <c r="AB16" s="148">
        <f t="shared" si="3"/>
        <v>0</v>
      </c>
    </row>
    <row r="17" spans="2:28" ht="12.75">
      <c r="B17" s="227" t="s">
        <v>237</v>
      </c>
      <c r="C17" s="224">
        <v>9559</v>
      </c>
      <c r="D17" s="224">
        <v>2445</v>
      </c>
      <c r="E17" s="224">
        <v>1674</v>
      </c>
      <c r="F17" s="150">
        <f t="shared" si="4"/>
        <v>13678</v>
      </c>
      <c r="G17" s="150"/>
      <c r="H17" s="150"/>
      <c r="I17" s="150"/>
      <c r="J17" s="150"/>
      <c r="K17" s="150"/>
      <c r="L17" s="475">
        <f t="shared" si="1"/>
        <v>13678</v>
      </c>
      <c r="M17" s="223"/>
      <c r="N17" s="224">
        <v>13673</v>
      </c>
      <c r="O17" s="224"/>
      <c r="P17" s="480"/>
      <c r="Q17" s="479"/>
      <c r="R17" s="223"/>
      <c r="S17" s="223">
        <v>5</v>
      </c>
      <c r="T17" s="223"/>
      <c r="U17" s="223"/>
      <c r="V17" s="223"/>
      <c r="W17" s="223"/>
      <c r="X17" s="223"/>
      <c r="Y17" s="478"/>
      <c r="Z17" s="475">
        <f t="shared" si="2"/>
        <v>13678</v>
      </c>
      <c r="AA17" s="445">
        <f t="shared" si="0"/>
        <v>0</v>
      </c>
      <c r="AB17" s="148">
        <f t="shared" si="3"/>
        <v>0</v>
      </c>
    </row>
    <row r="18" spans="2:28" ht="12.75">
      <c r="B18" s="227" t="s">
        <v>238</v>
      </c>
      <c r="C18" s="224">
        <v>240</v>
      </c>
      <c r="D18" s="224">
        <v>65</v>
      </c>
      <c r="E18" s="224">
        <v>200</v>
      </c>
      <c r="F18" s="150">
        <f t="shared" si="4"/>
        <v>505</v>
      </c>
      <c r="G18" s="150"/>
      <c r="H18" s="150"/>
      <c r="I18" s="150"/>
      <c r="J18" s="150"/>
      <c r="K18" s="150"/>
      <c r="L18" s="475">
        <f t="shared" si="1"/>
        <v>505</v>
      </c>
      <c r="M18" s="223"/>
      <c r="N18" s="224">
        <v>489</v>
      </c>
      <c r="O18" s="224"/>
      <c r="P18" s="480"/>
      <c r="Q18" s="479"/>
      <c r="R18" s="223"/>
      <c r="S18" s="223">
        <v>16</v>
      </c>
      <c r="T18" s="223"/>
      <c r="U18" s="223"/>
      <c r="V18" s="223"/>
      <c r="W18" s="223"/>
      <c r="X18" s="223"/>
      <c r="Y18" s="478"/>
      <c r="Z18" s="475">
        <f t="shared" si="2"/>
        <v>505</v>
      </c>
      <c r="AA18" s="445">
        <f t="shared" si="0"/>
        <v>0</v>
      </c>
      <c r="AB18" s="148">
        <f t="shared" si="3"/>
        <v>0</v>
      </c>
    </row>
    <row r="19" spans="2:28" ht="12.75">
      <c r="B19" s="227" t="s">
        <v>239</v>
      </c>
      <c r="C19" s="224">
        <v>1752</v>
      </c>
      <c r="D19" s="224">
        <v>470</v>
      </c>
      <c r="E19" s="224">
        <v>891</v>
      </c>
      <c r="F19" s="150">
        <f>SUM(C19:E19)</f>
        <v>3113</v>
      </c>
      <c r="G19" s="150"/>
      <c r="H19" s="150"/>
      <c r="I19" s="150"/>
      <c r="J19" s="150"/>
      <c r="K19" s="150"/>
      <c r="L19" s="475">
        <f t="shared" si="1"/>
        <v>3113</v>
      </c>
      <c r="M19" s="223"/>
      <c r="N19" s="224">
        <v>3106</v>
      </c>
      <c r="O19" s="224"/>
      <c r="P19" s="480"/>
      <c r="Q19" s="479"/>
      <c r="R19" s="223"/>
      <c r="S19" s="223">
        <v>7</v>
      </c>
      <c r="T19" s="223"/>
      <c r="U19" s="223"/>
      <c r="V19" s="223"/>
      <c r="W19" s="223"/>
      <c r="X19" s="223"/>
      <c r="Y19" s="478"/>
      <c r="Z19" s="475">
        <f t="shared" si="2"/>
        <v>3113</v>
      </c>
      <c r="AA19" s="445">
        <f t="shared" si="0"/>
        <v>0</v>
      </c>
      <c r="AB19" s="148">
        <f t="shared" si="3"/>
        <v>0</v>
      </c>
    </row>
    <row r="20" spans="2:28" ht="12.75">
      <c r="B20" s="227" t="s">
        <v>343</v>
      </c>
      <c r="C20" s="224">
        <v>2684</v>
      </c>
      <c r="D20" s="224">
        <v>725</v>
      </c>
      <c r="E20" s="224">
        <v>2570</v>
      </c>
      <c r="F20" s="150">
        <f t="shared" si="4"/>
        <v>5979</v>
      </c>
      <c r="G20" s="150"/>
      <c r="H20" s="150"/>
      <c r="I20" s="150"/>
      <c r="J20" s="150"/>
      <c r="K20" s="150"/>
      <c r="L20" s="475">
        <f t="shared" si="1"/>
        <v>5979</v>
      </c>
      <c r="M20" s="223"/>
      <c r="N20" s="224">
        <v>2995</v>
      </c>
      <c r="O20" s="224"/>
      <c r="P20" s="480"/>
      <c r="Q20" s="479"/>
      <c r="R20" s="223"/>
      <c r="S20" s="223">
        <v>2984</v>
      </c>
      <c r="T20" s="223"/>
      <c r="U20" s="223"/>
      <c r="V20" s="223"/>
      <c r="W20" s="223"/>
      <c r="X20" s="223"/>
      <c r="Y20" s="478"/>
      <c r="Z20" s="475">
        <f t="shared" si="2"/>
        <v>5979</v>
      </c>
      <c r="AA20" s="445">
        <f t="shared" si="0"/>
        <v>0</v>
      </c>
      <c r="AB20" s="148">
        <f t="shared" si="3"/>
        <v>0</v>
      </c>
    </row>
    <row r="21" spans="2:28" ht="12.75">
      <c r="B21" s="227" t="s">
        <v>240</v>
      </c>
      <c r="C21" s="224">
        <v>5588</v>
      </c>
      <c r="D21" s="224">
        <v>1509</v>
      </c>
      <c r="E21" s="224">
        <v>6145</v>
      </c>
      <c r="F21" s="150">
        <f t="shared" si="4"/>
        <v>13242</v>
      </c>
      <c r="G21" s="150"/>
      <c r="H21" s="150"/>
      <c r="I21" s="150"/>
      <c r="J21" s="150"/>
      <c r="K21" s="150"/>
      <c r="L21" s="475">
        <f t="shared" si="1"/>
        <v>13242</v>
      </c>
      <c r="M21" s="223">
        <v>452</v>
      </c>
      <c r="N21" s="224">
        <v>8052</v>
      </c>
      <c r="O21" s="224"/>
      <c r="P21" s="480"/>
      <c r="Q21" s="479"/>
      <c r="R21" s="223"/>
      <c r="S21" s="223">
        <v>4738</v>
      </c>
      <c r="T21" s="223"/>
      <c r="U21" s="223"/>
      <c r="V21" s="223"/>
      <c r="W21" s="223"/>
      <c r="X21" s="223"/>
      <c r="Y21" s="478"/>
      <c r="Z21" s="475">
        <f t="shared" si="2"/>
        <v>13242</v>
      </c>
      <c r="AA21" s="445">
        <f t="shared" si="0"/>
        <v>0</v>
      </c>
      <c r="AB21" s="148">
        <f t="shared" si="3"/>
        <v>0</v>
      </c>
    </row>
    <row r="22" spans="2:29" s="178" customFormat="1" ht="12.75">
      <c r="B22" s="228" t="s">
        <v>265</v>
      </c>
      <c r="C22" s="481">
        <v>80696</v>
      </c>
      <c r="D22" s="481">
        <v>21305</v>
      </c>
      <c r="E22" s="481">
        <v>47746</v>
      </c>
      <c r="F22" s="481">
        <v>149747</v>
      </c>
      <c r="G22" s="481">
        <f>SUM(G8:G21)</f>
        <v>0</v>
      </c>
      <c r="H22" s="481">
        <f>SUM(H8:H21)</f>
        <v>0</v>
      </c>
      <c r="I22" s="481">
        <f>SUM(I8:I21)</f>
        <v>0</v>
      </c>
      <c r="J22" s="481">
        <f>SUM(J8:J21)</f>
        <v>2650</v>
      </c>
      <c r="K22" s="481"/>
      <c r="L22" s="482">
        <f>SUM(L8:L21)</f>
        <v>152397</v>
      </c>
      <c r="M22" s="481">
        <f aca="true" t="shared" si="5" ref="M22:Y22">SUM(M7:M21)</f>
        <v>10541</v>
      </c>
      <c r="N22" s="481">
        <f>SUM(N7:N21)</f>
        <v>42139</v>
      </c>
      <c r="O22" s="481">
        <f t="shared" si="5"/>
        <v>0</v>
      </c>
      <c r="P22" s="481">
        <f t="shared" si="5"/>
        <v>7543</v>
      </c>
      <c r="Q22" s="483">
        <f>SUM(Q7:Q21)</f>
        <v>43409</v>
      </c>
      <c r="R22" s="481">
        <f t="shared" si="5"/>
        <v>0</v>
      </c>
      <c r="S22" s="481">
        <f t="shared" si="5"/>
        <v>34626</v>
      </c>
      <c r="T22" s="481">
        <f t="shared" si="5"/>
        <v>0</v>
      </c>
      <c r="U22" s="481">
        <f t="shared" si="5"/>
        <v>9110</v>
      </c>
      <c r="V22" s="481">
        <f t="shared" si="5"/>
        <v>0</v>
      </c>
      <c r="W22" s="481">
        <f t="shared" si="5"/>
        <v>4129</v>
      </c>
      <c r="X22" s="481">
        <f t="shared" si="5"/>
        <v>900</v>
      </c>
      <c r="Y22" s="481">
        <f t="shared" si="5"/>
        <v>0</v>
      </c>
      <c r="Z22" s="482">
        <f>SUM(Z7:Z21)</f>
        <v>152397</v>
      </c>
      <c r="AA22" s="445">
        <f t="shared" si="0"/>
        <v>0</v>
      </c>
      <c r="AB22" s="148">
        <f t="shared" si="3"/>
        <v>0</v>
      </c>
      <c r="AC22" s="445">
        <f>SUM(Q22:Y22)-900</f>
        <v>91274</v>
      </c>
    </row>
    <row r="23" spans="2:26" ht="1.5" customHeight="1">
      <c r="B23" s="227"/>
      <c r="C23" s="224">
        <f>+'[6]4_mell'!D12</f>
        <v>71263</v>
      </c>
      <c r="D23" s="224">
        <f>+'[6]4_mell'!E12</f>
        <v>19077</v>
      </c>
      <c r="E23" s="224">
        <f>+'[6]4_mell'!F12</f>
        <v>47580</v>
      </c>
      <c r="F23" s="224"/>
      <c r="G23" s="224"/>
      <c r="H23" s="224"/>
      <c r="I23" s="224"/>
      <c r="J23" s="224"/>
      <c r="K23" s="224"/>
      <c r="L23" s="484">
        <f>+'[6]4_mell'!M12</f>
        <v>140570</v>
      </c>
      <c r="M23" s="224">
        <f>+'[6]3_mell'!D13</f>
        <v>8903</v>
      </c>
      <c r="N23" s="224">
        <f>+'[6]1_mell'!E52</f>
        <v>32500</v>
      </c>
      <c r="O23" s="224">
        <f>+'[6]3_mell'!H13</f>
        <v>0</v>
      </c>
      <c r="P23" s="224"/>
      <c r="Q23" s="479"/>
      <c r="R23" s="480"/>
      <c r="S23" s="480"/>
      <c r="T23" s="480"/>
      <c r="U23" s="223"/>
      <c r="V23" s="223"/>
      <c r="W23" s="223"/>
      <c r="X23" s="223"/>
      <c r="Y23" s="478"/>
      <c r="Z23" s="227"/>
    </row>
    <row r="24" spans="2:26" ht="12.75" hidden="1">
      <c r="B24" s="227"/>
      <c r="C24" s="224">
        <f>+C23-C22</f>
        <v>-9433</v>
      </c>
      <c r="D24" s="224">
        <f>+D23-D22</f>
        <v>-2228</v>
      </c>
      <c r="E24" s="224">
        <f>+E23-E22</f>
        <v>-166</v>
      </c>
      <c r="F24" s="224"/>
      <c r="G24" s="224"/>
      <c r="H24" s="224"/>
      <c r="I24" s="224"/>
      <c r="J24" s="224"/>
      <c r="K24" s="224"/>
      <c r="L24" s="484">
        <f>+L23-L22</f>
        <v>-11827</v>
      </c>
      <c r="M24" s="224"/>
      <c r="N24" s="224">
        <f>+N22+P22</f>
        <v>49682</v>
      </c>
      <c r="O24" s="224">
        <f>+'[6]3_mell'!F13+'[6]3_mell'!G13</f>
        <v>36710</v>
      </c>
      <c r="P24" s="224"/>
      <c r="Q24" s="479"/>
      <c r="R24" s="480"/>
      <c r="S24" s="480"/>
      <c r="T24" s="480"/>
      <c r="U24" s="223"/>
      <c r="V24" s="223"/>
      <c r="W24" s="223"/>
      <c r="X24" s="223"/>
      <c r="Y24" s="478"/>
      <c r="Z24" s="227"/>
    </row>
    <row r="25" spans="2:26" ht="38.25" customHeight="1">
      <c r="B25" s="229" t="str">
        <f>+'[6]4_mell'!B16</f>
        <v>Városi Művelődési Központ és Könyvtár</v>
      </c>
      <c r="C25" s="469"/>
      <c r="D25" s="469"/>
      <c r="E25" s="469"/>
      <c r="F25" s="469"/>
      <c r="G25" s="470"/>
      <c r="H25" s="470"/>
      <c r="I25" s="470"/>
      <c r="J25" s="470"/>
      <c r="K25" s="470"/>
      <c r="L25" s="485"/>
      <c r="M25" s="469"/>
      <c r="N25" s="469"/>
      <c r="O25" s="469"/>
      <c r="P25" s="470"/>
      <c r="Q25" s="486"/>
      <c r="R25" s="473"/>
      <c r="S25" s="473"/>
      <c r="T25" s="473"/>
      <c r="U25" s="473"/>
      <c r="V25" s="473"/>
      <c r="W25" s="473"/>
      <c r="X25" s="473"/>
      <c r="Y25" s="474"/>
      <c r="Z25" s="234"/>
    </row>
    <row r="26" spans="2:30" ht="12.75">
      <c r="B26" s="238" t="s">
        <v>362</v>
      </c>
      <c r="C26" s="550">
        <v>302</v>
      </c>
      <c r="D26" s="550">
        <v>76</v>
      </c>
      <c r="E26" s="550">
        <v>1160</v>
      </c>
      <c r="F26" s="487">
        <f aca="true" t="shared" si="6" ref="F26:F31">SUM(C26:E26)</f>
        <v>1538</v>
      </c>
      <c r="G26" s="549">
        <f>454+562</f>
        <v>1016</v>
      </c>
      <c r="H26" s="470"/>
      <c r="I26" s="470"/>
      <c r="J26" s="549">
        <v>1162</v>
      </c>
      <c r="K26" s="470"/>
      <c r="L26" s="484">
        <f aca="true" t="shared" si="7" ref="L26:L31">SUM(F26:J26)</f>
        <v>3716</v>
      </c>
      <c r="M26" s="469"/>
      <c r="N26" s="469"/>
      <c r="O26" s="550">
        <v>1162</v>
      </c>
      <c r="P26" s="549">
        <f>460+280+282+1530</f>
        <v>2552</v>
      </c>
      <c r="Q26" s="486"/>
      <c r="R26" s="473"/>
      <c r="S26" s="473"/>
      <c r="T26" s="473"/>
      <c r="U26" s="473"/>
      <c r="V26" s="473"/>
      <c r="W26" s="473"/>
      <c r="X26" s="473"/>
      <c r="Y26" s="474">
        <v>2</v>
      </c>
      <c r="Z26" s="475">
        <f aca="true" t="shared" si="8" ref="Z26:Z31">SUM(M26:Y26)</f>
        <v>3716</v>
      </c>
      <c r="AA26" s="148">
        <f aca="true" t="shared" si="9" ref="AA26:AA32">+L26-Z26</f>
        <v>0</v>
      </c>
      <c r="AD26" s="148">
        <f>SUM(Q32:S32)</f>
        <v>21798</v>
      </c>
    </row>
    <row r="27" spans="2:27" ht="12.75">
      <c r="B27" s="230" t="s">
        <v>275</v>
      </c>
      <c r="C27" s="223">
        <f>4033+46+594+31+51-118</f>
        <v>4637</v>
      </c>
      <c r="D27" s="223">
        <f>1089+13+124+8+14-49</f>
        <v>1199</v>
      </c>
      <c r="E27" s="223">
        <f>1990+281+1772-2485</f>
        <v>1558</v>
      </c>
      <c r="F27" s="487">
        <f t="shared" si="6"/>
        <v>7394</v>
      </c>
      <c r="G27" s="224"/>
      <c r="H27" s="224"/>
      <c r="I27" s="224"/>
      <c r="J27" s="224">
        <v>566</v>
      </c>
      <c r="K27" s="224"/>
      <c r="L27" s="484">
        <f t="shared" si="7"/>
        <v>7960</v>
      </c>
      <c r="M27" s="224">
        <f>1500+1435+704</f>
        <v>3639</v>
      </c>
      <c r="N27" s="224"/>
      <c r="O27" s="224"/>
      <c r="P27" s="224"/>
      <c r="Q27" s="477">
        <v>281</v>
      </c>
      <c r="R27" s="480"/>
      <c r="S27" s="480">
        <v>4040</v>
      </c>
      <c r="T27" s="480"/>
      <c r="U27" s="223"/>
      <c r="V27" s="223"/>
      <c r="W27" s="223"/>
      <c r="X27" s="223"/>
      <c r="Y27" s="478"/>
      <c r="Z27" s="475">
        <f t="shared" si="8"/>
        <v>7960</v>
      </c>
      <c r="AA27" s="148">
        <f t="shared" si="9"/>
        <v>0</v>
      </c>
    </row>
    <row r="28" spans="2:27" ht="12.75">
      <c r="B28" s="230" t="s">
        <v>276</v>
      </c>
      <c r="C28" s="223"/>
      <c r="D28" s="223"/>
      <c r="E28" s="223">
        <f>786+800-800+733</f>
        <v>1519</v>
      </c>
      <c r="F28" s="487">
        <f t="shared" si="6"/>
        <v>1519</v>
      </c>
      <c r="G28" s="224"/>
      <c r="H28" s="224"/>
      <c r="I28" s="224"/>
      <c r="J28" s="224">
        <v>937</v>
      </c>
      <c r="K28" s="224"/>
      <c r="L28" s="484">
        <f t="shared" si="7"/>
        <v>2456</v>
      </c>
      <c r="M28" s="224"/>
      <c r="N28" s="224"/>
      <c r="O28" s="224">
        <v>1000</v>
      </c>
      <c r="P28" s="224"/>
      <c r="Q28" s="479">
        <v>800</v>
      </c>
      <c r="R28" s="480"/>
      <c r="S28" s="480"/>
      <c r="T28" s="480"/>
      <c r="U28" s="223"/>
      <c r="V28" s="223"/>
      <c r="W28" s="223"/>
      <c r="X28" s="223"/>
      <c r="Y28" s="478">
        <v>-77</v>
      </c>
      <c r="Z28" s="475">
        <f t="shared" si="8"/>
        <v>1723</v>
      </c>
      <c r="AA28" s="148">
        <f t="shared" si="9"/>
        <v>733</v>
      </c>
    </row>
    <row r="29" spans="2:27" ht="12.75">
      <c r="B29" s="230" t="s">
        <v>277</v>
      </c>
      <c r="C29" s="223">
        <v>2150</v>
      </c>
      <c r="D29" s="223">
        <v>644</v>
      </c>
      <c r="E29" s="223">
        <v>786</v>
      </c>
      <c r="F29" s="487">
        <f t="shared" si="6"/>
        <v>3580</v>
      </c>
      <c r="G29" s="224"/>
      <c r="H29" s="224"/>
      <c r="I29" s="224"/>
      <c r="J29" s="224"/>
      <c r="K29" s="224"/>
      <c r="L29" s="484">
        <f t="shared" si="7"/>
        <v>3580</v>
      </c>
      <c r="M29" s="224"/>
      <c r="N29" s="224"/>
      <c r="O29" s="224"/>
      <c r="P29" s="224"/>
      <c r="Q29" s="477">
        <v>338</v>
      </c>
      <c r="R29" s="480"/>
      <c r="S29" s="480">
        <v>3975</v>
      </c>
      <c r="T29" s="480"/>
      <c r="U29" s="223"/>
      <c r="V29" s="223"/>
      <c r="W29" s="223"/>
      <c r="X29" s="223"/>
      <c r="Y29" s="478"/>
      <c r="Z29" s="475">
        <f t="shared" si="8"/>
        <v>4313</v>
      </c>
      <c r="AA29" s="148">
        <f t="shared" si="9"/>
        <v>-733</v>
      </c>
    </row>
    <row r="30" spans="2:27" ht="12.75">
      <c r="B30" s="230" t="s">
        <v>278</v>
      </c>
      <c r="C30" s="223">
        <v>1721</v>
      </c>
      <c r="D30" s="223">
        <v>465</v>
      </c>
      <c r="E30" s="223"/>
      <c r="F30" s="487">
        <f t="shared" si="6"/>
        <v>2186</v>
      </c>
      <c r="G30" s="224"/>
      <c r="H30" s="224"/>
      <c r="I30" s="224"/>
      <c r="J30" s="224"/>
      <c r="K30" s="224"/>
      <c r="L30" s="484">
        <f t="shared" si="7"/>
        <v>2186</v>
      </c>
      <c r="M30" s="224"/>
      <c r="N30" s="224"/>
      <c r="O30" s="224"/>
      <c r="P30" s="224"/>
      <c r="Q30" s="479"/>
      <c r="R30" s="480"/>
      <c r="S30" s="480">
        <v>2186</v>
      </c>
      <c r="T30" s="480"/>
      <c r="U30" s="223"/>
      <c r="V30" s="223"/>
      <c r="W30" s="223"/>
      <c r="X30" s="223"/>
      <c r="Y30" s="478"/>
      <c r="Z30" s="475">
        <f t="shared" si="8"/>
        <v>2186</v>
      </c>
      <c r="AA30" s="148">
        <f t="shared" si="9"/>
        <v>0</v>
      </c>
    </row>
    <row r="31" spans="2:27" ht="13.5" thickBot="1">
      <c r="B31" s="230" t="s">
        <v>279</v>
      </c>
      <c r="C31" s="223">
        <v>1963</v>
      </c>
      <c r="D31" s="223">
        <v>510</v>
      </c>
      <c r="E31" s="223">
        <v>8873</v>
      </c>
      <c r="F31" s="487">
        <f t="shared" si="6"/>
        <v>11346</v>
      </c>
      <c r="G31" s="224"/>
      <c r="H31" s="224"/>
      <c r="I31" s="224"/>
      <c r="J31" s="224">
        <v>1171</v>
      </c>
      <c r="K31" s="224"/>
      <c r="L31" s="484">
        <f t="shared" si="7"/>
        <v>12517</v>
      </c>
      <c r="M31" s="224">
        <v>264</v>
      </c>
      <c r="N31" s="224"/>
      <c r="O31" s="224">
        <v>1100</v>
      </c>
      <c r="P31" s="224">
        <v>705</v>
      </c>
      <c r="Q31" s="479">
        <v>6853</v>
      </c>
      <c r="R31" s="480"/>
      <c r="S31" s="480">
        <v>3325</v>
      </c>
      <c r="T31" s="480"/>
      <c r="U31" s="223"/>
      <c r="V31" s="223"/>
      <c r="W31" s="223"/>
      <c r="X31" s="223">
        <v>270</v>
      </c>
      <c r="Y31" s="478"/>
      <c r="Z31" s="475">
        <f t="shared" si="8"/>
        <v>12517</v>
      </c>
      <c r="AA31" s="148">
        <f t="shared" si="9"/>
        <v>0</v>
      </c>
    </row>
    <row r="32" spans="2:29" s="179" customFormat="1" ht="13.5" thickBot="1">
      <c r="B32" s="235" t="s">
        <v>265</v>
      </c>
      <c r="C32" s="488">
        <f aca="true" t="shared" si="10" ref="C32:I32">SUM(C26:C31)</f>
        <v>10773</v>
      </c>
      <c r="D32" s="488">
        <f t="shared" si="10"/>
        <v>2894</v>
      </c>
      <c r="E32" s="488">
        <f>SUM(E26:E31)</f>
        <v>13896</v>
      </c>
      <c r="F32" s="488">
        <f t="shared" si="10"/>
        <v>27563</v>
      </c>
      <c r="G32" s="488">
        <f t="shared" si="10"/>
        <v>1016</v>
      </c>
      <c r="H32" s="488">
        <f t="shared" si="10"/>
        <v>0</v>
      </c>
      <c r="I32" s="488">
        <f t="shared" si="10"/>
        <v>0</v>
      </c>
      <c r="J32" s="488">
        <f aca="true" t="shared" si="11" ref="J32:R32">SUM(J26:J31)</f>
        <v>3836</v>
      </c>
      <c r="K32" s="488"/>
      <c r="L32" s="531">
        <f t="shared" si="11"/>
        <v>32415</v>
      </c>
      <c r="M32" s="489">
        <f t="shared" si="11"/>
        <v>3903</v>
      </c>
      <c r="N32" s="489">
        <f t="shared" si="11"/>
        <v>0</v>
      </c>
      <c r="O32" s="489">
        <f t="shared" si="11"/>
        <v>3262</v>
      </c>
      <c r="P32" s="489">
        <f>SUM(P26:P31)</f>
        <v>3257</v>
      </c>
      <c r="Q32" s="490">
        <f t="shared" si="11"/>
        <v>8272</v>
      </c>
      <c r="R32" s="489">
        <f t="shared" si="11"/>
        <v>0</v>
      </c>
      <c r="S32" s="489">
        <f aca="true" t="shared" si="12" ref="S32:Y32">SUM(S26:S31)</f>
        <v>13526</v>
      </c>
      <c r="T32" s="489">
        <f t="shared" si="12"/>
        <v>0</v>
      </c>
      <c r="U32" s="489">
        <f t="shared" si="12"/>
        <v>0</v>
      </c>
      <c r="V32" s="489">
        <f t="shared" si="12"/>
        <v>0</v>
      </c>
      <c r="W32" s="489">
        <f t="shared" si="12"/>
        <v>0</v>
      </c>
      <c r="X32" s="489">
        <f t="shared" si="12"/>
        <v>270</v>
      </c>
      <c r="Y32" s="489">
        <f t="shared" si="12"/>
        <v>-75</v>
      </c>
      <c r="Z32" s="531">
        <f>SUM(Z26:Z31)</f>
        <v>32415</v>
      </c>
      <c r="AA32" s="148">
        <f t="shared" si="9"/>
        <v>0</v>
      </c>
      <c r="AB32" s="491">
        <f>SUM(M32:Y32)</f>
        <v>32415</v>
      </c>
      <c r="AC32" s="491">
        <f>SUM(Q32:Y32)-270</f>
        <v>21723</v>
      </c>
    </row>
    <row r="33" spans="3:27" ht="0.75" customHeight="1" thickBot="1">
      <c r="C33" s="147">
        <f>+'[6]4_mell'!D17</f>
        <v>10162</v>
      </c>
      <c r="D33" s="147">
        <f>+'[6]4_mell'!E17</f>
        <v>2707</v>
      </c>
      <c r="E33" s="147">
        <f>+'[6]4_mell'!F17</f>
        <v>12529</v>
      </c>
      <c r="F33" s="148">
        <f>+'[6]4_mell'!G17</f>
        <v>25398</v>
      </c>
      <c r="G33" s="148">
        <f>+'[6]4_mell'!H17</f>
        <v>454</v>
      </c>
      <c r="H33" s="148"/>
      <c r="I33" s="148"/>
      <c r="J33" s="148">
        <f>+'[6]4_mell'!L17</f>
        <v>2900</v>
      </c>
      <c r="K33" s="148"/>
      <c r="L33" s="148">
        <f>+'[6]4_mell'!M17</f>
        <v>28752</v>
      </c>
      <c r="M33" s="148">
        <f>+'[6]3_mell'!D18</f>
        <v>2200</v>
      </c>
      <c r="N33" s="148"/>
      <c r="O33" s="148">
        <f>+'[6]3_mell'!H18</f>
        <v>1100</v>
      </c>
      <c r="P33" s="148">
        <f>+'[6]3_mell'!F18+'[6]3_mell'!G18</f>
        <v>2727</v>
      </c>
      <c r="R33" s="492"/>
      <c r="S33" s="492"/>
      <c r="T33" s="492"/>
      <c r="X33" s="147">
        <f>+'[6]3_mell'!E18</f>
        <v>268</v>
      </c>
      <c r="Z33" s="475">
        <f>+'[6]3_mell'!L18</f>
        <v>28752</v>
      </c>
      <c r="AA33" s="148"/>
    </row>
    <row r="34" spans="3:26" ht="13.5" hidden="1" thickBot="1">
      <c r="C34" s="147">
        <f>+C33-C32</f>
        <v>-611</v>
      </c>
      <c r="D34" s="147">
        <f aca="true" t="shared" si="13" ref="D34:Z34">+D33-D32</f>
        <v>-187</v>
      </c>
      <c r="E34" s="147">
        <f t="shared" si="13"/>
        <v>-1367</v>
      </c>
      <c r="F34" s="147">
        <f t="shared" si="13"/>
        <v>-2165</v>
      </c>
      <c r="G34" s="147">
        <f t="shared" si="13"/>
        <v>-562</v>
      </c>
      <c r="H34" s="147">
        <f t="shared" si="13"/>
        <v>0</v>
      </c>
      <c r="I34" s="147">
        <f t="shared" si="13"/>
        <v>0</v>
      </c>
      <c r="J34" s="147">
        <f t="shared" si="13"/>
        <v>-936</v>
      </c>
      <c r="L34" s="147">
        <f t="shared" si="13"/>
        <v>-3663</v>
      </c>
      <c r="M34" s="147">
        <f t="shared" si="13"/>
        <v>-1703</v>
      </c>
      <c r="N34" s="147">
        <f t="shared" si="13"/>
        <v>0</v>
      </c>
      <c r="O34" s="147">
        <f t="shared" si="13"/>
        <v>-2162</v>
      </c>
      <c r="P34" s="147">
        <f t="shared" si="13"/>
        <v>-530</v>
      </c>
      <c r="Q34" s="147">
        <f t="shared" si="13"/>
        <v>-8272</v>
      </c>
      <c r="R34" s="147">
        <f t="shared" si="13"/>
        <v>0</v>
      </c>
      <c r="S34" s="147">
        <f t="shared" si="13"/>
        <v>-13526</v>
      </c>
      <c r="T34" s="147">
        <f t="shared" si="13"/>
        <v>0</v>
      </c>
      <c r="U34" s="147">
        <f t="shared" si="13"/>
        <v>0</v>
      </c>
      <c r="V34" s="147">
        <f t="shared" si="13"/>
        <v>0</v>
      </c>
      <c r="W34" s="147">
        <f t="shared" si="13"/>
        <v>0</v>
      </c>
      <c r="X34" s="147">
        <f t="shared" si="13"/>
        <v>-2</v>
      </c>
      <c r="Y34" s="147">
        <f t="shared" si="13"/>
        <v>75</v>
      </c>
      <c r="Z34" s="147">
        <f t="shared" si="13"/>
        <v>-3663</v>
      </c>
    </row>
    <row r="35" spans="2:26" ht="13.5" thickBot="1">
      <c r="B35" s="183" t="s">
        <v>285</v>
      </c>
      <c r="C35" s="726" t="s">
        <v>167</v>
      </c>
      <c r="D35" s="727"/>
      <c r="E35" s="727"/>
      <c r="F35" s="727"/>
      <c r="G35" s="727"/>
      <c r="H35" s="727"/>
      <c r="I35" s="727"/>
      <c r="J35" s="727"/>
      <c r="K35" s="727"/>
      <c r="L35" s="727"/>
      <c r="M35" s="727" t="s">
        <v>286</v>
      </c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8"/>
    </row>
    <row r="36" spans="2:26" ht="13.5" thickBot="1">
      <c r="B36" s="225"/>
      <c r="C36" s="458"/>
      <c r="D36" s="458"/>
      <c r="E36" s="458"/>
      <c r="F36" s="458"/>
      <c r="G36" s="458"/>
      <c r="H36" s="458"/>
      <c r="I36" s="458"/>
      <c r="J36" s="458"/>
      <c r="K36" s="458"/>
      <c r="L36" s="493"/>
      <c r="M36" s="458"/>
      <c r="N36" s="458"/>
      <c r="O36" s="458"/>
      <c r="P36" s="494"/>
      <c r="Q36" s="732" t="s">
        <v>272</v>
      </c>
      <c r="R36" s="733"/>
      <c r="S36" s="733"/>
      <c r="T36" s="733"/>
      <c r="U36" s="733"/>
      <c r="V36" s="733"/>
      <c r="W36" s="733"/>
      <c r="X36" s="733"/>
      <c r="Y36" s="734"/>
      <c r="Z36" s="495"/>
    </row>
    <row r="37" spans="2:26" s="178" customFormat="1" ht="51.75" thickBot="1">
      <c r="B37" s="231" t="s">
        <v>266</v>
      </c>
      <c r="C37" s="456" t="s">
        <v>56</v>
      </c>
      <c r="D37" s="457" t="s">
        <v>227</v>
      </c>
      <c r="E37" s="457" t="s">
        <v>228</v>
      </c>
      <c r="F37" s="457" t="s">
        <v>61</v>
      </c>
      <c r="G37" s="463" t="s">
        <v>652</v>
      </c>
      <c r="H37" s="463" t="s">
        <v>653</v>
      </c>
      <c r="I37" s="463" t="s">
        <v>62</v>
      </c>
      <c r="J37" s="463" t="s">
        <v>9</v>
      </c>
      <c r="K37" s="507" t="s">
        <v>654</v>
      </c>
      <c r="L37" s="642" t="s">
        <v>270</v>
      </c>
      <c r="M37" s="457" t="s">
        <v>243</v>
      </c>
      <c r="N37" s="457" t="s">
        <v>242</v>
      </c>
      <c r="O37" s="463" t="s">
        <v>464</v>
      </c>
      <c r="P37" s="463" t="s">
        <v>241</v>
      </c>
      <c r="Q37" s="456" t="s">
        <v>258</v>
      </c>
      <c r="R37" s="465" t="s">
        <v>434</v>
      </c>
      <c r="S37" s="466" t="s">
        <v>280</v>
      </c>
      <c r="T37" s="465" t="s">
        <v>281</v>
      </c>
      <c r="U37" s="466" t="s">
        <v>282</v>
      </c>
      <c r="V37" s="465" t="s">
        <v>283</v>
      </c>
      <c r="W37" s="465" t="s">
        <v>476</v>
      </c>
      <c r="X37" s="465" t="s">
        <v>8</v>
      </c>
      <c r="Y37" s="467" t="s">
        <v>655</v>
      </c>
      <c r="Z37" s="496" t="s">
        <v>284</v>
      </c>
    </row>
    <row r="38" spans="2:27" s="178" customFormat="1" ht="12" customHeight="1">
      <c r="B38" s="234"/>
      <c r="C38" s="469"/>
      <c r="D38" s="469"/>
      <c r="E38" s="469"/>
      <c r="F38" s="497">
        <f>SUM(C38:E38)</f>
        <v>0</v>
      </c>
      <c r="G38" s="470"/>
      <c r="H38" s="470"/>
      <c r="I38" s="470"/>
      <c r="J38" s="470"/>
      <c r="K38" s="470"/>
      <c r="L38" s="498">
        <f>SUM(F38:J38)</f>
        <v>0</v>
      </c>
      <c r="M38" s="486"/>
      <c r="N38" s="469"/>
      <c r="O38" s="469"/>
      <c r="P38" s="530"/>
      <c r="Q38" s="472"/>
      <c r="R38" s="473"/>
      <c r="S38" s="473"/>
      <c r="T38" s="473"/>
      <c r="U38" s="473"/>
      <c r="V38" s="473"/>
      <c r="W38" s="473"/>
      <c r="X38" s="473"/>
      <c r="Y38" s="474"/>
      <c r="Z38" s="499">
        <f>SUM(M38:Y38)</f>
        <v>0</v>
      </c>
      <c r="AA38" s="445">
        <f>+L38-Z38</f>
        <v>0</v>
      </c>
    </row>
    <row r="39" spans="2:28" ht="25.5">
      <c r="B39" s="348" t="s">
        <v>246</v>
      </c>
      <c r="C39" s="500"/>
      <c r="D39" s="500"/>
      <c r="E39" s="500">
        <v>898</v>
      </c>
      <c r="F39" s="497">
        <f>SUM(C39:E39)</f>
        <v>898</v>
      </c>
      <c r="G39" s="497"/>
      <c r="H39" s="497"/>
      <c r="I39" s="497"/>
      <c r="J39" s="497"/>
      <c r="K39" s="497"/>
      <c r="L39" s="501">
        <f>SUM(F39:J39)</f>
        <v>898</v>
      </c>
      <c r="M39" s="479"/>
      <c r="N39" s="223"/>
      <c r="O39" s="223"/>
      <c r="P39" s="223"/>
      <c r="Q39" s="479"/>
      <c r="R39" s="223"/>
      <c r="S39" s="223">
        <v>898</v>
      </c>
      <c r="T39" s="223"/>
      <c r="U39" s="223"/>
      <c r="V39" s="223"/>
      <c r="W39" s="223"/>
      <c r="X39" s="223"/>
      <c r="Y39" s="478">
        <v>0</v>
      </c>
      <c r="Z39" s="499">
        <f>SUM(M39:Y39)</f>
        <v>898</v>
      </c>
      <c r="AA39" s="445">
        <f aca="true" t="shared" si="14" ref="AA39:AA50">+L39-Z39</f>
        <v>0</v>
      </c>
      <c r="AB39" s="149">
        <f aca="true" t="shared" si="15" ref="AB39:AB47">L34-Z34</f>
        <v>0</v>
      </c>
    </row>
    <row r="40" spans="2:28" ht="51">
      <c r="B40" s="349" t="s">
        <v>247</v>
      </c>
      <c r="C40" s="500"/>
      <c r="D40" s="500"/>
      <c r="E40" s="500"/>
      <c r="F40" s="497"/>
      <c r="G40" s="497"/>
      <c r="H40" s="497"/>
      <c r="I40" s="497"/>
      <c r="J40" s="497"/>
      <c r="K40" s="497"/>
      <c r="L40" s="501">
        <f aca="true" t="shared" si="16" ref="L40:L50">SUM(F40:J40)</f>
        <v>0</v>
      </c>
      <c r="M40" s="479"/>
      <c r="N40" s="223"/>
      <c r="O40" s="223"/>
      <c r="P40" s="223"/>
      <c r="Q40" s="479"/>
      <c r="R40" s="223"/>
      <c r="S40" s="223"/>
      <c r="T40" s="223"/>
      <c r="U40" s="223"/>
      <c r="V40" s="223"/>
      <c r="W40" s="223"/>
      <c r="X40" s="223"/>
      <c r="Y40" s="478">
        <v>0</v>
      </c>
      <c r="Z40" s="499">
        <f aca="true" t="shared" si="17" ref="Z40:Z50">SUM(M40:Y40)</f>
        <v>0</v>
      </c>
      <c r="AA40" s="445">
        <f t="shared" si="14"/>
        <v>0</v>
      </c>
      <c r="AB40" s="149">
        <f t="shared" si="15"/>
        <v>0</v>
      </c>
    </row>
    <row r="41" spans="2:28" ht="51">
      <c r="B41" s="350" t="s">
        <v>248</v>
      </c>
      <c r="C41" s="500"/>
      <c r="D41" s="500"/>
      <c r="E41" s="500"/>
      <c r="F41" s="497"/>
      <c r="G41" s="497"/>
      <c r="H41" s="497"/>
      <c r="I41" s="497"/>
      <c r="J41" s="497"/>
      <c r="K41" s="497"/>
      <c r="L41" s="501">
        <f t="shared" si="16"/>
        <v>0</v>
      </c>
      <c r="M41" s="479"/>
      <c r="N41" s="223"/>
      <c r="O41" s="223"/>
      <c r="P41" s="223"/>
      <c r="Q41" s="477"/>
      <c r="R41" s="223"/>
      <c r="S41" s="223"/>
      <c r="T41" s="223"/>
      <c r="U41" s="223"/>
      <c r="V41" s="223"/>
      <c r="W41" s="223"/>
      <c r="X41" s="223"/>
      <c r="Y41" s="478"/>
      <c r="Z41" s="499">
        <f t="shared" si="17"/>
        <v>0</v>
      </c>
      <c r="AA41" s="445">
        <f t="shared" si="14"/>
        <v>0</v>
      </c>
      <c r="AB41" s="149">
        <f t="shared" si="15"/>
        <v>0</v>
      </c>
    </row>
    <row r="42" spans="2:28" ht="19.5" customHeight="1">
      <c r="B42" s="236" t="s">
        <v>249</v>
      </c>
      <c r="C42" s="500">
        <f>16044-454</f>
        <v>15590</v>
      </c>
      <c r="D42" s="500">
        <f>4332-272</f>
        <v>4060</v>
      </c>
      <c r="E42" s="500">
        <f>64350+110+7175-1333+11524</f>
        <v>81826</v>
      </c>
      <c r="F42" s="497">
        <f aca="true" t="shared" si="18" ref="F42:F49">SUM(C42:E42)</f>
        <v>101476</v>
      </c>
      <c r="G42" s="497"/>
      <c r="H42" s="497"/>
      <c r="I42" s="497"/>
      <c r="J42" s="497">
        <f>519+1333-1078</f>
        <v>774</v>
      </c>
      <c r="K42" s="497"/>
      <c r="L42" s="501">
        <f t="shared" si="16"/>
        <v>102250</v>
      </c>
      <c r="M42" s="502">
        <f>68271+7175+3714</f>
        <v>79160</v>
      </c>
      <c r="N42" s="223"/>
      <c r="O42" s="223"/>
      <c r="P42" s="223"/>
      <c r="Q42" s="479"/>
      <c r="R42" s="223"/>
      <c r="S42" s="223">
        <v>23090</v>
      </c>
      <c r="T42" s="223"/>
      <c r="U42" s="223"/>
      <c r="V42" s="223"/>
      <c r="W42" s="223"/>
      <c r="X42" s="223"/>
      <c r="Y42" s="478"/>
      <c r="Z42" s="499">
        <f t="shared" si="17"/>
        <v>102250</v>
      </c>
      <c r="AA42" s="445">
        <f t="shared" si="14"/>
        <v>0</v>
      </c>
      <c r="AB42" s="149">
        <f>L42-Z42</f>
        <v>0</v>
      </c>
    </row>
    <row r="43" spans="2:28" ht="38.25">
      <c r="B43" s="349" t="s">
        <v>250</v>
      </c>
      <c r="C43" s="500"/>
      <c r="D43" s="500"/>
      <c r="E43" s="500">
        <f>2807-2135</f>
        <v>672</v>
      </c>
      <c r="F43" s="497">
        <f t="shared" si="18"/>
        <v>672</v>
      </c>
      <c r="G43" s="497"/>
      <c r="H43" s="497"/>
      <c r="I43" s="497"/>
      <c r="J43" s="497"/>
      <c r="K43" s="497"/>
      <c r="L43" s="501">
        <f t="shared" si="16"/>
        <v>672</v>
      </c>
      <c r="M43" s="479">
        <f>4210-917</f>
        <v>3293</v>
      </c>
      <c r="N43" s="223"/>
      <c r="O43" s="223"/>
      <c r="P43" s="223"/>
      <c r="Q43" s="479"/>
      <c r="R43" s="223"/>
      <c r="S43" s="223">
        <v>966</v>
      </c>
      <c r="T43" s="223"/>
      <c r="U43" s="223"/>
      <c r="V43" s="223"/>
      <c r="W43" s="223"/>
      <c r="X43" s="223"/>
      <c r="Y43" s="478">
        <v>-3587</v>
      </c>
      <c r="Z43" s="499">
        <f t="shared" si="17"/>
        <v>672</v>
      </c>
      <c r="AA43" s="445">
        <f t="shared" si="14"/>
        <v>0</v>
      </c>
      <c r="AB43" s="149">
        <f t="shared" si="15"/>
        <v>0</v>
      </c>
    </row>
    <row r="44" spans="2:28" ht="38.25">
      <c r="B44" s="350" t="s">
        <v>251</v>
      </c>
      <c r="C44" s="500"/>
      <c r="D44" s="500"/>
      <c r="E44" s="500">
        <f>2713+27209</f>
        <v>29922</v>
      </c>
      <c r="F44" s="497">
        <f t="shared" si="18"/>
        <v>29922</v>
      </c>
      <c r="G44" s="497"/>
      <c r="H44" s="497"/>
      <c r="I44" s="497"/>
      <c r="J44" s="497"/>
      <c r="K44" s="497"/>
      <c r="L44" s="501">
        <f t="shared" si="16"/>
        <v>29922</v>
      </c>
      <c r="M44" s="479">
        <f>10747+2801</f>
        <v>13548</v>
      </c>
      <c r="N44" s="223"/>
      <c r="O44" s="223"/>
      <c r="P44" s="223"/>
      <c r="Q44" s="479">
        <v>15804</v>
      </c>
      <c r="R44" s="223"/>
      <c r="S44" s="223">
        <v>570</v>
      </c>
      <c r="T44" s="223"/>
      <c r="U44" s="223"/>
      <c r="V44" s="223"/>
      <c r="W44" s="223"/>
      <c r="X44" s="223"/>
      <c r="Y44" s="478"/>
      <c r="Z44" s="499">
        <f t="shared" si="17"/>
        <v>29922</v>
      </c>
      <c r="AA44" s="445">
        <f t="shared" si="14"/>
        <v>0</v>
      </c>
      <c r="AB44" s="149">
        <f t="shared" si="15"/>
        <v>0</v>
      </c>
    </row>
    <row r="45" spans="2:28" ht="25.5">
      <c r="B45" s="350" t="s">
        <v>252</v>
      </c>
      <c r="C45" s="500"/>
      <c r="D45" s="500"/>
      <c r="E45" s="500"/>
      <c r="F45" s="497"/>
      <c r="G45" s="497"/>
      <c r="H45" s="497"/>
      <c r="I45" s="497"/>
      <c r="J45" s="497"/>
      <c r="K45" s="497"/>
      <c r="L45" s="501">
        <f t="shared" si="16"/>
        <v>0</v>
      </c>
      <c r="M45" s="479"/>
      <c r="N45" s="223"/>
      <c r="O45" s="223"/>
      <c r="P45" s="223"/>
      <c r="Q45" s="479"/>
      <c r="R45" s="223"/>
      <c r="S45" s="223"/>
      <c r="T45" s="223"/>
      <c r="U45" s="223"/>
      <c r="V45" s="223"/>
      <c r="W45" s="223"/>
      <c r="X45" s="223"/>
      <c r="Y45" s="478"/>
      <c r="Z45" s="499">
        <f t="shared" si="17"/>
        <v>0</v>
      </c>
      <c r="AA45" s="445">
        <f t="shared" si="14"/>
        <v>0</v>
      </c>
      <c r="AB45" s="149">
        <f t="shared" si="15"/>
        <v>0</v>
      </c>
    </row>
    <row r="46" spans="2:28" ht="38.25">
      <c r="B46" s="350" t="s">
        <v>253</v>
      </c>
      <c r="C46" s="500">
        <f>22976+4403</f>
        <v>27379</v>
      </c>
      <c r="D46" s="500">
        <f>6219+1909</f>
        <v>8128</v>
      </c>
      <c r="E46" s="500">
        <f>15794+15589</f>
        <v>31383</v>
      </c>
      <c r="F46" s="497">
        <f t="shared" si="18"/>
        <v>66890</v>
      </c>
      <c r="G46" s="497"/>
      <c r="H46" s="497"/>
      <c r="I46" s="497"/>
      <c r="J46" s="497">
        <v>1078</v>
      </c>
      <c r="K46" s="497"/>
      <c r="L46" s="501">
        <f t="shared" si="16"/>
        <v>67968</v>
      </c>
      <c r="M46" s="479">
        <v>797</v>
      </c>
      <c r="N46" s="223"/>
      <c r="O46" s="223"/>
      <c r="P46" s="223">
        <v>28508</v>
      </c>
      <c r="Q46" s="477">
        <f>55854-36902+16243</f>
        <v>35195</v>
      </c>
      <c r="R46" s="223"/>
      <c r="S46" s="223">
        <v>2103</v>
      </c>
      <c r="T46" s="223"/>
      <c r="U46" s="223"/>
      <c r="V46" s="223"/>
      <c r="W46" s="223"/>
      <c r="X46" s="223">
        <v>1365</v>
      </c>
      <c r="Y46" s="478"/>
      <c r="Z46" s="499">
        <f t="shared" si="17"/>
        <v>67968</v>
      </c>
      <c r="AA46" s="445">
        <f t="shared" si="14"/>
        <v>0</v>
      </c>
      <c r="AB46" s="149">
        <f t="shared" si="15"/>
        <v>0</v>
      </c>
    </row>
    <row r="47" spans="2:28" ht="12.75">
      <c r="B47" s="236" t="s">
        <v>254</v>
      </c>
      <c r="C47" s="500"/>
      <c r="D47" s="500"/>
      <c r="E47" s="500">
        <f>31284+22942</f>
        <v>54226</v>
      </c>
      <c r="F47" s="497">
        <f t="shared" si="18"/>
        <v>54226</v>
      </c>
      <c r="G47" s="497"/>
      <c r="H47" s="497"/>
      <c r="I47" s="497"/>
      <c r="J47" s="497"/>
      <c r="K47" s="497"/>
      <c r="L47" s="501">
        <f t="shared" si="16"/>
        <v>54226</v>
      </c>
      <c r="M47" s="479"/>
      <c r="N47" s="223"/>
      <c r="O47" s="223"/>
      <c r="P47" s="223"/>
      <c r="Q47" s="477">
        <v>20985</v>
      </c>
      <c r="R47" s="223"/>
      <c r="S47" s="223">
        <v>27557</v>
      </c>
      <c r="T47" s="223"/>
      <c r="U47" s="503"/>
      <c r="V47" s="223"/>
      <c r="W47" s="223"/>
      <c r="X47" s="223"/>
      <c r="Y47" s="478">
        <v>5684</v>
      </c>
      <c r="Z47" s="499">
        <f t="shared" si="17"/>
        <v>54226</v>
      </c>
      <c r="AA47" s="445">
        <f t="shared" si="14"/>
        <v>0</v>
      </c>
      <c r="AB47" s="149">
        <f t="shared" si="15"/>
        <v>0</v>
      </c>
    </row>
    <row r="48" spans="2:28" ht="38.25">
      <c r="B48" s="350" t="s">
        <v>255</v>
      </c>
      <c r="C48" s="500"/>
      <c r="D48" s="500"/>
      <c r="E48" s="500">
        <v>1016</v>
      </c>
      <c r="F48" s="497">
        <f t="shared" si="18"/>
        <v>1016</v>
      </c>
      <c r="G48" s="497"/>
      <c r="H48" s="497"/>
      <c r="I48" s="497"/>
      <c r="J48" s="497"/>
      <c r="K48" s="497"/>
      <c r="L48" s="501">
        <f t="shared" si="16"/>
        <v>1016</v>
      </c>
      <c r="M48" s="502">
        <f>2159+246</f>
        <v>2405</v>
      </c>
      <c r="N48" s="223"/>
      <c r="O48" s="223"/>
      <c r="P48" s="223"/>
      <c r="Q48" s="479">
        <v>1125</v>
      </c>
      <c r="R48" s="223"/>
      <c r="S48" s="223">
        <v>2514</v>
      </c>
      <c r="T48" s="223"/>
      <c r="U48" s="223"/>
      <c r="V48" s="223"/>
      <c r="W48" s="223"/>
      <c r="X48" s="223"/>
      <c r="Y48" s="478">
        <v>-5028</v>
      </c>
      <c r="Z48" s="499">
        <f t="shared" si="17"/>
        <v>1016</v>
      </c>
      <c r="AA48" s="445">
        <f t="shared" si="14"/>
        <v>0</v>
      </c>
      <c r="AB48" s="149">
        <f>L48-Z48</f>
        <v>0</v>
      </c>
    </row>
    <row r="49" spans="2:29" ht="38.25">
      <c r="B49" s="350" t="s">
        <v>256</v>
      </c>
      <c r="C49" s="500">
        <f>3077+92</f>
        <v>3169</v>
      </c>
      <c r="D49" s="500">
        <f>825+31</f>
        <v>856</v>
      </c>
      <c r="E49" s="500">
        <f>4389+1116</f>
        <v>5505</v>
      </c>
      <c r="F49" s="497">
        <f t="shared" si="18"/>
        <v>9530</v>
      </c>
      <c r="G49" s="497"/>
      <c r="H49" s="497"/>
      <c r="I49" s="497"/>
      <c r="J49" s="497"/>
      <c r="K49" s="497"/>
      <c r="L49" s="501">
        <f t="shared" si="16"/>
        <v>9530</v>
      </c>
      <c r="M49" s="479"/>
      <c r="N49" s="223"/>
      <c r="O49" s="223"/>
      <c r="P49" s="223"/>
      <c r="Q49" s="479"/>
      <c r="R49" s="223"/>
      <c r="S49" s="223">
        <v>9530</v>
      </c>
      <c r="T49" s="223"/>
      <c r="U49" s="223"/>
      <c r="V49" s="223"/>
      <c r="W49" s="223"/>
      <c r="X49" s="223"/>
      <c r="Y49" s="478"/>
      <c r="Z49" s="499">
        <f t="shared" si="17"/>
        <v>9530</v>
      </c>
      <c r="AA49" s="445">
        <f t="shared" si="14"/>
        <v>0</v>
      </c>
      <c r="AC49" s="148">
        <f>SUM(Z38:Z50)</f>
        <v>266482</v>
      </c>
    </row>
    <row r="50" spans="2:27" ht="26.25" thickBot="1">
      <c r="B50" s="350" t="s">
        <v>257</v>
      </c>
      <c r="C50" s="500"/>
      <c r="D50" s="500"/>
      <c r="E50" s="500"/>
      <c r="F50" s="497"/>
      <c r="G50" s="497"/>
      <c r="H50" s="497"/>
      <c r="I50" s="497"/>
      <c r="J50" s="497"/>
      <c r="K50" s="497"/>
      <c r="L50" s="501">
        <f t="shared" si="16"/>
        <v>0</v>
      </c>
      <c r="M50" s="479">
        <f>381+68</f>
        <v>449</v>
      </c>
      <c r="N50" s="223"/>
      <c r="O50" s="223"/>
      <c r="P50" s="223"/>
      <c r="Q50" s="477">
        <v>100</v>
      </c>
      <c r="R50" s="223"/>
      <c r="S50" s="223"/>
      <c r="T50" s="223"/>
      <c r="U50" s="223"/>
      <c r="V50" s="223"/>
      <c r="W50" s="223"/>
      <c r="X50" s="223"/>
      <c r="Y50" s="478">
        <v>-549</v>
      </c>
      <c r="Z50" s="499">
        <f t="shared" si="17"/>
        <v>0</v>
      </c>
      <c r="AA50" s="445">
        <f t="shared" si="14"/>
        <v>0</v>
      </c>
    </row>
    <row r="51" spans="2:29" ht="13.5" thickBot="1">
      <c r="B51" s="351" t="s">
        <v>245</v>
      </c>
      <c r="C51" s="504">
        <f>SUM(C38:C50)</f>
        <v>46138</v>
      </c>
      <c r="D51" s="504">
        <f>SUM(D38:D50)</f>
        <v>13044</v>
      </c>
      <c r="E51" s="504">
        <f aca="true" t="shared" si="19" ref="E51:J51">SUM(E38:E50)</f>
        <v>205448</v>
      </c>
      <c r="F51" s="504">
        <f>SUM(F38:F50)</f>
        <v>264630</v>
      </c>
      <c r="G51" s="504">
        <f t="shared" si="19"/>
        <v>0</v>
      </c>
      <c r="H51" s="504">
        <f t="shared" si="19"/>
        <v>0</v>
      </c>
      <c r="I51" s="504">
        <f t="shared" si="19"/>
        <v>0</v>
      </c>
      <c r="J51" s="504">
        <f t="shared" si="19"/>
        <v>1852</v>
      </c>
      <c r="K51" s="504"/>
      <c r="L51" s="505">
        <f>SUM(L38:L50)</f>
        <v>266482</v>
      </c>
      <c r="M51" s="505">
        <f aca="true" t="shared" si="20" ref="M51:X51">SUM(M38:M50)</f>
        <v>99652</v>
      </c>
      <c r="N51" s="504">
        <f t="shared" si="20"/>
        <v>0</v>
      </c>
      <c r="O51" s="504">
        <f t="shared" si="20"/>
        <v>0</v>
      </c>
      <c r="P51" s="506">
        <f t="shared" si="20"/>
        <v>28508</v>
      </c>
      <c r="Q51" s="504">
        <f t="shared" si="20"/>
        <v>73209</v>
      </c>
      <c r="R51" s="504">
        <f t="shared" si="20"/>
        <v>0</v>
      </c>
      <c r="S51" s="504">
        <f t="shared" si="20"/>
        <v>67228</v>
      </c>
      <c r="T51" s="504">
        <f t="shared" si="20"/>
        <v>0</v>
      </c>
      <c r="U51" s="504">
        <f t="shared" si="20"/>
        <v>0</v>
      </c>
      <c r="V51" s="504">
        <f t="shared" si="20"/>
        <v>0</v>
      </c>
      <c r="W51" s="504">
        <f t="shared" si="20"/>
        <v>0</v>
      </c>
      <c r="X51" s="504">
        <f t="shared" si="20"/>
        <v>1365</v>
      </c>
      <c r="Y51" s="506">
        <f>SUM(Y38:Y50)</f>
        <v>-3480</v>
      </c>
      <c r="Z51" s="532">
        <f>SUM(Z38:Z50)</f>
        <v>266482</v>
      </c>
      <c r="AA51" s="445">
        <f>+L51-Z51</f>
        <v>0</v>
      </c>
      <c r="AB51" s="147">
        <v>227482</v>
      </c>
      <c r="AC51" s="149">
        <f>Q51+S51</f>
        <v>140437</v>
      </c>
    </row>
    <row r="52" spans="2:27" ht="0.75" customHeight="1" thickBot="1">
      <c r="B52" s="181"/>
      <c r="C52" s="181">
        <f>+'[6]4_mell'!D7</f>
        <v>44210</v>
      </c>
      <c r="D52" s="181">
        <f>+'[6]4_mell'!E7</f>
        <v>11946</v>
      </c>
      <c r="E52" s="149">
        <f>+'[6]4_mell'!F7</f>
        <v>170807</v>
      </c>
      <c r="F52" s="181">
        <f>SUM(C51:E51)</f>
        <v>264630</v>
      </c>
      <c r="G52" s="181"/>
      <c r="H52" s="181"/>
      <c r="I52" s="181"/>
      <c r="J52" s="181"/>
      <c r="K52" s="181"/>
      <c r="L52" s="181">
        <f>+'[6]4_mell'!M7</f>
        <v>227482</v>
      </c>
      <c r="M52" s="147">
        <f>+'[6]3_mell'!D8</f>
        <v>92943</v>
      </c>
      <c r="P52" s="147">
        <f>+'[6]3_mell'!G8</f>
        <v>27490</v>
      </c>
      <c r="S52" s="149"/>
      <c r="AA52" s="149"/>
    </row>
    <row r="53" spans="2:16" ht="13.5" hidden="1" thickBot="1">
      <c r="B53" s="181"/>
      <c r="C53" s="181">
        <f>+C52-C51</f>
        <v>-1928</v>
      </c>
      <c r="D53" s="181">
        <f aca="true" t="shared" si="21" ref="D53:P53">+D52-D51</f>
        <v>-1098</v>
      </c>
      <c r="E53" s="181">
        <f t="shared" si="21"/>
        <v>-34641</v>
      </c>
      <c r="F53" s="181">
        <f t="shared" si="21"/>
        <v>0</v>
      </c>
      <c r="G53" s="181">
        <f t="shared" si="21"/>
        <v>0</v>
      </c>
      <c r="H53" s="181">
        <f t="shared" si="21"/>
        <v>0</v>
      </c>
      <c r="I53" s="181">
        <f t="shared" si="21"/>
        <v>0</v>
      </c>
      <c r="J53" s="181">
        <f t="shared" si="21"/>
        <v>-1852</v>
      </c>
      <c r="K53" s="181"/>
      <c r="L53" s="181">
        <f t="shared" si="21"/>
        <v>-39000</v>
      </c>
      <c r="M53" s="181">
        <f t="shared" si="21"/>
        <v>-6709</v>
      </c>
      <c r="N53" s="181">
        <f t="shared" si="21"/>
        <v>0</v>
      </c>
      <c r="O53" s="181">
        <f t="shared" si="21"/>
        <v>0</v>
      </c>
      <c r="P53" s="181">
        <f t="shared" si="21"/>
        <v>-1018</v>
      </c>
    </row>
    <row r="54" spans="2:26" ht="13.5" thickBot="1">
      <c r="B54" s="183" t="s">
        <v>285</v>
      </c>
      <c r="C54" s="726" t="s">
        <v>167</v>
      </c>
      <c r="D54" s="727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727"/>
      <c r="P54" s="727"/>
      <c r="Q54" s="727"/>
      <c r="R54" s="727"/>
      <c r="S54" s="727"/>
      <c r="T54" s="727"/>
      <c r="U54" s="727"/>
      <c r="V54" s="727"/>
      <c r="W54" s="727"/>
      <c r="X54" s="727"/>
      <c r="Y54" s="727"/>
      <c r="Z54" s="728"/>
    </row>
    <row r="55" spans="2:30" ht="13.5" thickBot="1">
      <c r="B55" s="225"/>
      <c r="C55" s="493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347"/>
      <c r="P55" s="223"/>
      <c r="Q55" s="729" t="s">
        <v>272</v>
      </c>
      <c r="R55" s="730"/>
      <c r="S55" s="730"/>
      <c r="T55" s="730"/>
      <c r="U55" s="730"/>
      <c r="V55" s="730"/>
      <c r="W55" s="730"/>
      <c r="X55" s="730"/>
      <c r="Y55" s="731"/>
      <c r="Z55" s="462"/>
      <c r="AD55" s="149">
        <f>SUM(Q51:S51)</f>
        <v>140437</v>
      </c>
    </row>
    <row r="56" spans="2:26" s="178" customFormat="1" ht="51.75" thickBot="1">
      <c r="B56" s="444" t="s">
        <v>72</v>
      </c>
      <c r="C56" s="456" t="s">
        <v>56</v>
      </c>
      <c r="D56" s="457" t="s">
        <v>227</v>
      </c>
      <c r="E56" s="457" t="s">
        <v>228</v>
      </c>
      <c r="F56" s="457" t="s">
        <v>61</v>
      </c>
      <c r="G56" s="463" t="s">
        <v>652</v>
      </c>
      <c r="H56" s="463" t="s">
        <v>653</v>
      </c>
      <c r="I56" s="463" t="s">
        <v>62</v>
      </c>
      <c r="J56" s="463" t="s">
        <v>9</v>
      </c>
      <c r="K56" s="507" t="s">
        <v>654</v>
      </c>
      <c r="L56" s="464" t="s">
        <v>270</v>
      </c>
      <c r="M56" s="457" t="s">
        <v>243</v>
      </c>
      <c r="N56" s="457" t="s">
        <v>242</v>
      </c>
      <c r="O56" s="463" t="s">
        <v>464</v>
      </c>
      <c r="P56" s="463" t="s">
        <v>241</v>
      </c>
      <c r="Q56" s="456" t="s">
        <v>258</v>
      </c>
      <c r="R56" s="465" t="s">
        <v>434</v>
      </c>
      <c r="S56" s="466" t="s">
        <v>280</v>
      </c>
      <c r="T56" s="465" t="s">
        <v>281</v>
      </c>
      <c r="U56" s="466" t="s">
        <v>282</v>
      </c>
      <c r="V56" s="465" t="s">
        <v>283</v>
      </c>
      <c r="W56" s="465" t="s">
        <v>476</v>
      </c>
      <c r="X56" s="465" t="s">
        <v>8</v>
      </c>
      <c r="Y56" s="467" t="s">
        <v>655</v>
      </c>
      <c r="Z56" s="232" t="s">
        <v>284</v>
      </c>
    </row>
    <row r="57" spans="2:26" ht="12.75">
      <c r="B57" s="239"/>
      <c r="C57" s="508"/>
      <c r="D57" s="509"/>
      <c r="E57" s="503"/>
      <c r="F57" s="509"/>
      <c r="G57" s="509"/>
      <c r="H57" s="509"/>
      <c r="I57" s="509"/>
      <c r="J57" s="509"/>
      <c r="K57" s="518"/>
      <c r="L57" s="509"/>
      <c r="M57" s="510"/>
      <c r="N57" s="494"/>
      <c r="O57" s="494"/>
      <c r="P57" s="495"/>
      <c r="Q57" s="479"/>
      <c r="R57" s="223"/>
      <c r="S57" s="223"/>
      <c r="T57" s="223"/>
      <c r="U57" s="223"/>
      <c r="V57" s="223"/>
      <c r="W57" s="223"/>
      <c r="X57" s="223"/>
      <c r="Y57" s="478"/>
      <c r="Z57" s="511"/>
    </row>
    <row r="58" spans="2:26" ht="12.75">
      <c r="B58" s="227"/>
      <c r="C58" s="486"/>
      <c r="D58" s="469"/>
      <c r="E58" s="469"/>
      <c r="F58" s="469"/>
      <c r="G58" s="470"/>
      <c r="H58" s="470"/>
      <c r="I58" s="470"/>
      <c r="J58" s="470"/>
      <c r="K58" s="512"/>
      <c r="L58" s="470"/>
      <c r="M58" s="486"/>
      <c r="N58" s="469"/>
      <c r="O58" s="469"/>
      <c r="P58" s="512"/>
      <c r="Q58" s="486"/>
      <c r="R58" s="473"/>
      <c r="S58" s="473"/>
      <c r="T58" s="473"/>
      <c r="U58" s="513">
        <f>SUM(Q61:V61)</f>
        <v>301934</v>
      </c>
      <c r="V58" s="473"/>
      <c r="W58" s="473"/>
      <c r="X58" s="473"/>
      <c r="Y58" s="514"/>
      <c r="Z58" s="511"/>
    </row>
    <row r="59" spans="2:28" ht="25.5">
      <c r="B59" s="350" t="s">
        <v>267</v>
      </c>
      <c r="C59" s="515">
        <f>'Kiad.intézményenként'!D31</f>
        <v>111470</v>
      </c>
      <c r="D59" s="503">
        <f>'Kiad.intézményenként'!E31</f>
        <v>29621</v>
      </c>
      <c r="E59" s="503">
        <f>'Kiad.intézményenként'!F31</f>
        <v>36559</v>
      </c>
      <c r="F59" s="503">
        <f>SUM(C59:E59)</f>
        <v>177650</v>
      </c>
      <c r="G59" s="503">
        <f>'Kiad.intézményenként'!H31</f>
        <v>413</v>
      </c>
      <c r="H59" s="503"/>
      <c r="J59" s="503">
        <f>'Kiad.intézményenként'!L31</f>
        <v>5051</v>
      </c>
      <c r="K59" s="529"/>
      <c r="L59" s="503">
        <f>SUM(F59:J59)</f>
        <v>183114</v>
      </c>
      <c r="M59" s="515">
        <f>'Bev.intézményenként'!D28</f>
        <v>6782</v>
      </c>
      <c r="N59" s="223"/>
      <c r="O59" s="223"/>
      <c r="P59" s="516">
        <f>'Bev.intézményenként'!F28+'Bev.intézményenként'!G28</f>
        <v>9809</v>
      </c>
      <c r="Q59" s="477">
        <f>93478+279+151+41+121+225+61+84-10146+47182</f>
        <v>131476</v>
      </c>
      <c r="R59" s="224">
        <f>4272+33+46966-47182</f>
        <v>4089</v>
      </c>
      <c r="S59" s="224">
        <f>76950-46966</f>
        <v>29984</v>
      </c>
      <c r="T59" s="224"/>
      <c r="U59" s="223"/>
      <c r="V59" s="223"/>
      <c r="W59" s="223"/>
      <c r="X59" s="223">
        <v>974</v>
      </c>
      <c r="Y59" s="516"/>
      <c r="Z59" s="517">
        <f>SUM(M59:Y59)</f>
        <v>183114</v>
      </c>
      <c r="AA59" s="149">
        <f>+L59-Z59</f>
        <v>0</v>
      </c>
      <c r="AB59" s="149">
        <f aca="true" t="shared" si="22" ref="AB59:AB64">L59-Z59</f>
        <v>0</v>
      </c>
    </row>
    <row r="60" spans="2:28" ht="12.75">
      <c r="B60" s="350" t="s">
        <v>274</v>
      </c>
      <c r="C60" s="515"/>
      <c r="D60" s="503"/>
      <c r="E60" s="503"/>
      <c r="F60" s="503">
        <f>SUM(C60:E60)</f>
        <v>0</v>
      </c>
      <c r="G60" s="503"/>
      <c r="H60" s="503"/>
      <c r="I60" s="503">
        <f>'Kiad.intézményenként'!I31</f>
        <v>136385</v>
      </c>
      <c r="J60" s="503"/>
      <c r="K60" s="529"/>
      <c r="L60" s="503">
        <f>SUM(F60:J60)</f>
        <v>136385</v>
      </c>
      <c r="M60" s="515"/>
      <c r="N60" s="223"/>
      <c r="O60" s="223"/>
      <c r="P60" s="516">
        <v>0</v>
      </c>
      <c r="Q60" s="477">
        <v>136385</v>
      </c>
      <c r="R60" s="224"/>
      <c r="S60" s="224"/>
      <c r="T60" s="224"/>
      <c r="U60" s="223"/>
      <c r="V60" s="223"/>
      <c r="W60" s="223"/>
      <c r="X60" s="223"/>
      <c r="Y60" s="478"/>
      <c r="Z60" s="517">
        <f>SUM(M60:Y60)</f>
        <v>136385</v>
      </c>
      <c r="AA60" s="149">
        <f>+L60-Z60</f>
        <v>0</v>
      </c>
      <c r="AB60" s="149">
        <f t="shared" si="22"/>
        <v>0</v>
      </c>
    </row>
    <row r="61" spans="2:29" s="179" customFormat="1" ht="12.75">
      <c r="B61" s="239" t="s">
        <v>271</v>
      </c>
      <c r="C61" s="508">
        <f>SUM(C59:C60)</f>
        <v>111470</v>
      </c>
      <c r="D61" s="509">
        <f aca="true" t="shared" si="23" ref="D61:L61">SUM(D59:D60)</f>
        <v>29621</v>
      </c>
      <c r="E61" s="509">
        <f t="shared" si="23"/>
        <v>36559</v>
      </c>
      <c r="F61" s="509">
        <f t="shared" si="23"/>
        <v>177650</v>
      </c>
      <c r="G61" s="509">
        <f>SUM(G59:G60)</f>
        <v>413</v>
      </c>
      <c r="H61" s="509">
        <f t="shared" si="23"/>
        <v>0</v>
      </c>
      <c r="I61" s="509">
        <f>SUM(I60:I60)</f>
        <v>136385</v>
      </c>
      <c r="J61" s="509">
        <f t="shared" si="23"/>
        <v>5051</v>
      </c>
      <c r="K61" s="518"/>
      <c r="L61" s="509">
        <f t="shared" si="23"/>
        <v>319499</v>
      </c>
      <c r="M61" s="508">
        <f>SUM(M59:M60)</f>
        <v>6782</v>
      </c>
      <c r="N61" s="509">
        <f aca="true" t="shared" si="24" ref="N61:V61">SUM(N59:N60)</f>
        <v>0</v>
      </c>
      <c r="O61" s="509"/>
      <c r="P61" s="518">
        <f t="shared" si="24"/>
        <v>9809</v>
      </c>
      <c r="Q61" s="508">
        <f>SUM(Q59:Q60)</f>
        <v>267861</v>
      </c>
      <c r="R61" s="509">
        <f t="shared" si="24"/>
        <v>4089</v>
      </c>
      <c r="S61" s="509">
        <f>SUM(S59:S60)</f>
        <v>29984</v>
      </c>
      <c r="T61" s="509">
        <f t="shared" si="24"/>
        <v>0</v>
      </c>
      <c r="U61" s="509">
        <f t="shared" si="24"/>
        <v>0</v>
      </c>
      <c r="V61" s="509">
        <f t="shared" si="24"/>
        <v>0</v>
      </c>
      <c r="W61" s="509">
        <f>SUM(W59:W60)</f>
        <v>0</v>
      </c>
      <c r="X61" s="509">
        <f>SUM(X59:X60)</f>
        <v>974</v>
      </c>
      <c r="Y61" s="518">
        <f>SUM(Y59:Y60)</f>
        <v>0</v>
      </c>
      <c r="Z61" s="239">
        <f>SUM(Z59:Z60)</f>
        <v>319499</v>
      </c>
      <c r="AA61" s="149">
        <f>+L61-Z61</f>
        <v>0</v>
      </c>
      <c r="AB61" s="149">
        <f t="shared" si="22"/>
        <v>0</v>
      </c>
      <c r="AC61" s="181">
        <f>SUM(Q61:Y61)-974</f>
        <v>301934</v>
      </c>
    </row>
    <row r="62" spans="2:28" s="179" customFormat="1" ht="12.75">
      <c r="B62" s="239"/>
      <c r="C62" s="515"/>
      <c r="D62" s="503"/>
      <c r="E62" s="503"/>
      <c r="F62" s="503"/>
      <c r="G62" s="503"/>
      <c r="H62" s="503"/>
      <c r="I62" s="503"/>
      <c r="J62" s="503"/>
      <c r="K62" s="529"/>
      <c r="L62" s="503"/>
      <c r="M62" s="515"/>
      <c r="N62" s="503"/>
      <c r="O62" s="503"/>
      <c r="P62" s="529"/>
      <c r="Q62" s="508"/>
      <c r="R62" s="509"/>
      <c r="S62" s="509"/>
      <c r="T62" s="509"/>
      <c r="U62" s="509"/>
      <c r="V62" s="509"/>
      <c r="W62" s="509"/>
      <c r="X62" s="509"/>
      <c r="Y62" s="518"/>
      <c r="Z62" s="233"/>
      <c r="AA62" s="181"/>
      <c r="AB62" s="149">
        <f t="shared" si="22"/>
        <v>0</v>
      </c>
    </row>
    <row r="63" spans="2:30" s="179" customFormat="1" ht="12.75">
      <c r="B63" s="233"/>
      <c r="C63" s="508"/>
      <c r="D63" s="509"/>
      <c r="E63" s="509"/>
      <c r="F63" s="509"/>
      <c r="G63" s="509"/>
      <c r="H63" s="509"/>
      <c r="I63" s="509"/>
      <c r="J63" s="509"/>
      <c r="K63" s="518"/>
      <c r="L63" s="509"/>
      <c r="M63" s="508"/>
      <c r="N63" s="509"/>
      <c r="O63" s="509"/>
      <c r="P63" s="518"/>
      <c r="Q63" s="508"/>
      <c r="R63" s="509"/>
      <c r="S63" s="509"/>
      <c r="T63" s="509"/>
      <c r="U63" s="509"/>
      <c r="V63" s="509"/>
      <c r="W63" s="509"/>
      <c r="X63" s="509"/>
      <c r="Y63" s="518"/>
      <c r="Z63" s="233"/>
      <c r="AB63" s="149">
        <f t="shared" si="22"/>
        <v>0</v>
      </c>
      <c r="AD63" s="181">
        <f>SUM(Q61:S61)</f>
        <v>301934</v>
      </c>
    </row>
    <row r="64" spans="2:28" ht="25.5">
      <c r="B64" s="352" t="s">
        <v>41</v>
      </c>
      <c r="C64" s="486"/>
      <c r="D64" s="469"/>
      <c r="E64" s="469"/>
      <c r="F64" s="469"/>
      <c r="G64" s="470"/>
      <c r="H64" s="470"/>
      <c r="I64" s="470"/>
      <c r="J64" s="470"/>
      <c r="K64" s="512"/>
      <c r="L64" s="470"/>
      <c r="M64" s="486"/>
      <c r="N64" s="469"/>
      <c r="O64" s="469"/>
      <c r="P64" s="512"/>
      <c r="Q64" s="644">
        <v>32140</v>
      </c>
      <c r="R64" s="473"/>
      <c r="S64" s="473"/>
      <c r="T64" s="473"/>
      <c r="U64" s="473"/>
      <c r="V64" s="473"/>
      <c r="W64" s="473"/>
      <c r="X64" s="473"/>
      <c r="Y64" s="514"/>
      <c r="Z64" s="511"/>
      <c r="AB64" s="149">
        <f t="shared" si="22"/>
        <v>0</v>
      </c>
    </row>
    <row r="65" spans="2:28" ht="25.5">
      <c r="B65" s="238" t="s">
        <v>41</v>
      </c>
      <c r="C65" s="477">
        <f>'ÖK és PH kiadásai'!C21</f>
        <v>4371</v>
      </c>
      <c r="D65" s="224">
        <f>'ÖK és PH kiadásai'!D21</f>
        <v>1098</v>
      </c>
      <c r="E65" s="224">
        <v>50469</v>
      </c>
      <c r="F65" s="150">
        <f>SUM(C65:E65)</f>
        <v>55938</v>
      </c>
      <c r="G65" s="150">
        <f>'ÖK és PH kiadásai'!H19</f>
        <v>63121</v>
      </c>
      <c r="H65" s="150">
        <f>+'[6]11_mell'!I19</f>
        <v>4000</v>
      </c>
      <c r="I65" s="150">
        <f>'ÖK és PH kiadásai'!G18</f>
        <v>19419</v>
      </c>
      <c r="J65" s="150">
        <f>'ÖK és PH kiadásai'!F25</f>
        <v>60798</v>
      </c>
      <c r="K65" s="499">
        <v>134000</v>
      </c>
      <c r="L65" s="237">
        <f aca="true" t="shared" si="25" ref="L65:L70">SUM(F65:K65)</f>
        <v>337276</v>
      </c>
      <c r="M65" s="477">
        <f>'Bev.intézményenként'!D23</f>
        <v>26954</v>
      </c>
      <c r="N65" s="223"/>
      <c r="O65" s="224">
        <f>'Bev.intézményenként'!H23-6094</f>
        <v>27829</v>
      </c>
      <c r="P65" s="516">
        <v>23971</v>
      </c>
      <c r="Q65" s="477">
        <v>32140</v>
      </c>
      <c r="R65" s="224">
        <v>15386</v>
      </c>
      <c r="S65" s="224"/>
      <c r="T65" s="224"/>
      <c r="U65" s="223">
        <v>432</v>
      </c>
      <c r="V65" s="223">
        <v>150</v>
      </c>
      <c r="W65" s="223">
        <v>129871</v>
      </c>
      <c r="X65" s="223">
        <v>76400</v>
      </c>
      <c r="Y65" s="478">
        <v>4143</v>
      </c>
      <c r="Z65" s="517">
        <f>SUM(M65:Y65)</f>
        <v>337276</v>
      </c>
      <c r="AA65" s="149">
        <f aca="true" t="shared" si="26" ref="AA65:AA71">+Z65-L65</f>
        <v>0</v>
      </c>
      <c r="AB65" s="149">
        <f aca="true" t="shared" si="27" ref="AB65:AB70">L65-Z65</f>
        <v>0</v>
      </c>
    </row>
    <row r="66" spans="2:28" ht="12.75">
      <c r="B66" s="227" t="s">
        <v>268</v>
      </c>
      <c r="C66" s="477">
        <f>'ÖK és PH kiadásai'!C16</f>
        <v>1603</v>
      </c>
      <c r="D66" s="224">
        <f>'ÖK és PH kiadásai'!D16</f>
        <v>430</v>
      </c>
      <c r="E66" s="224">
        <f>'ÖK és PH kiadásai'!E16</f>
        <v>2320</v>
      </c>
      <c r="F66" s="237">
        <f>SUM(C66:E66)</f>
        <v>4353</v>
      </c>
      <c r="G66" s="237"/>
      <c r="H66" s="237"/>
      <c r="I66" s="237"/>
      <c r="J66" s="237"/>
      <c r="K66" s="641"/>
      <c r="L66" s="237">
        <f t="shared" si="25"/>
        <v>4353</v>
      </c>
      <c r="M66" s="479"/>
      <c r="N66" s="223"/>
      <c r="O66" s="223"/>
      <c r="P66" s="516">
        <v>4941</v>
      </c>
      <c r="Q66" s="479"/>
      <c r="R66" s="223"/>
      <c r="S66" s="223"/>
      <c r="T66" s="223"/>
      <c r="U66" s="223"/>
      <c r="V66" s="223"/>
      <c r="W66" s="223"/>
      <c r="X66" s="223"/>
      <c r="Y66" s="478">
        <v>-588</v>
      </c>
      <c r="Z66" s="517">
        <f>SUM(M66:Y66)</f>
        <v>4353</v>
      </c>
      <c r="AA66" s="149">
        <f t="shared" si="26"/>
        <v>0</v>
      </c>
      <c r="AB66" s="149">
        <f t="shared" si="27"/>
        <v>0</v>
      </c>
    </row>
    <row r="67" spans="2:28" ht="25.5">
      <c r="B67" s="238" t="s">
        <v>269</v>
      </c>
      <c r="C67" s="479"/>
      <c r="D67" s="223"/>
      <c r="E67" s="223">
        <v>560</v>
      </c>
      <c r="F67" s="237">
        <f>SUM(C67:E67)</f>
        <v>560</v>
      </c>
      <c r="G67" s="237"/>
      <c r="H67" s="237"/>
      <c r="I67" s="237"/>
      <c r="J67" s="237"/>
      <c r="K67" s="641"/>
      <c r="L67" s="237">
        <f t="shared" si="25"/>
        <v>560</v>
      </c>
      <c r="M67" s="479"/>
      <c r="N67" s="223"/>
      <c r="O67" s="223"/>
      <c r="P67" s="478"/>
      <c r="Q67" s="479"/>
      <c r="R67" s="223">
        <v>8</v>
      </c>
      <c r="S67" s="223"/>
      <c r="T67" s="223"/>
      <c r="U67" s="223">
        <v>507</v>
      </c>
      <c r="V67" s="223">
        <v>45</v>
      </c>
      <c r="W67" s="223"/>
      <c r="X67" s="223"/>
      <c r="Y67" s="478"/>
      <c r="Z67" s="517">
        <f>SUM(M67:Y67)</f>
        <v>560</v>
      </c>
      <c r="AA67" s="149">
        <f t="shared" si="26"/>
        <v>0</v>
      </c>
      <c r="AB67" s="149">
        <f t="shared" si="27"/>
        <v>0</v>
      </c>
    </row>
    <row r="68" spans="2:28" ht="12.75">
      <c r="B68" s="238" t="s">
        <v>469</v>
      </c>
      <c r="C68" s="477">
        <f>'ÖK és PH kiadásai'!C17</f>
        <v>244266</v>
      </c>
      <c r="D68" s="224">
        <f>'ÖK és PH kiadásai'!D17</f>
        <v>33832</v>
      </c>
      <c r="E68" s="224">
        <v>21503</v>
      </c>
      <c r="F68" s="237">
        <f>SUM(C68:E68)</f>
        <v>299601</v>
      </c>
      <c r="G68" s="237">
        <v>693</v>
      </c>
      <c r="H68" s="237"/>
      <c r="I68" s="237"/>
      <c r="J68" s="237">
        <v>5423</v>
      </c>
      <c r="K68" s="641"/>
      <c r="L68" s="237">
        <f t="shared" si="25"/>
        <v>305717</v>
      </c>
      <c r="M68" s="479"/>
      <c r="N68" s="223"/>
      <c r="O68" s="224">
        <f>+'[6]1_mell'!F97</f>
        <v>6094</v>
      </c>
      <c r="P68" s="516">
        <v>282979</v>
      </c>
      <c r="Q68" s="479"/>
      <c r="R68" s="223">
        <v>6078</v>
      </c>
      <c r="S68" s="223"/>
      <c r="T68" s="224"/>
      <c r="U68" s="223"/>
      <c r="V68" s="223"/>
      <c r="W68" s="223">
        <v>10566</v>
      </c>
      <c r="X68" s="223"/>
      <c r="Y68" s="478"/>
      <c r="Z68" s="517">
        <f>SUM(M68:Y68)</f>
        <v>305717</v>
      </c>
      <c r="AA68" s="149">
        <f t="shared" si="26"/>
        <v>0</v>
      </c>
      <c r="AB68" s="149">
        <f t="shared" si="27"/>
        <v>0</v>
      </c>
    </row>
    <row r="69" spans="2:28" ht="25.5">
      <c r="B69" s="238" t="str">
        <f>+'[6]2_mell'!C26</f>
        <v>Felhalmozási c. hitel törlesztése</v>
      </c>
      <c r="C69" s="477"/>
      <c r="D69" s="224"/>
      <c r="E69" s="224"/>
      <c r="F69" s="237"/>
      <c r="G69" s="237"/>
      <c r="H69" s="237"/>
      <c r="I69" s="237"/>
      <c r="J69" s="237"/>
      <c r="K69" s="641">
        <v>70000</v>
      </c>
      <c r="L69" s="237">
        <f t="shared" si="25"/>
        <v>70000</v>
      </c>
      <c r="M69" s="479"/>
      <c r="N69" s="223"/>
      <c r="O69" s="224"/>
      <c r="P69" s="516"/>
      <c r="Q69" s="479">
        <v>70000</v>
      </c>
      <c r="R69" s="223"/>
      <c r="S69" s="223"/>
      <c r="T69" s="223"/>
      <c r="U69" s="223"/>
      <c r="V69" s="223"/>
      <c r="W69" s="223"/>
      <c r="X69" s="223"/>
      <c r="Y69" s="223"/>
      <c r="Z69" s="517">
        <f>SUM(Q69:Y69)</f>
        <v>70000</v>
      </c>
      <c r="AA69" s="149">
        <f t="shared" si="26"/>
        <v>0</v>
      </c>
      <c r="AB69" s="149">
        <f t="shared" si="27"/>
        <v>0</v>
      </c>
    </row>
    <row r="70" spans="2:28" ht="25.5">
      <c r="B70" s="238" t="str">
        <f>+'[6]2_mell'!C27</f>
        <v>Felhalmozási c. kötvény végtörlesztés</v>
      </c>
      <c r="C70" s="477"/>
      <c r="D70" s="224"/>
      <c r="E70" s="224"/>
      <c r="F70" s="237"/>
      <c r="G70" s="237"/>
      <c r="H70" s="237"/>
      <c r="I70" s="237"/>
      <c r="J70" s="237"/>
      <c r="K70" s="641">
        <f>+'[6]2_mell'!F27</f>
        <v>162405</v>
      </c>
      <c r="L70" s="237">
        <f t="shared" si="25"/>
        <v>162405</v>
      </c>
      <c r="M70" s="479"/>
      <c r="N70" s="223"/>
      <c r="O70" s="224"/>
      <c r="P70" s="516"/>
      <c r="Q70" s="479">
        <v>162405</v>
      </c>
      <c r="R70" s="223"/>
      <c r="S70" s="223"/>
      <c r="T70" s="223"/>
      <c r="U70" s="223"/>
      <c r="V70" s="223"/>
      <c r="W70" s="223"/>
      <c r="X70" s="223"/>
      <c r="Y70" s="223"/>
      <c r="Z70" s="517">
        <f>SUM(Q70:Y70)</f>
        <v>162405</v>
      </c>
      <c r="AA70" s="149">
        <f t="shared" si="26"/>
        <v>0</v>
      </c>
      <c r="AB70" s="149">
        <f t="shared" si="27"/>
        <v>0</v>
      </c>
    </row>
    <row r="71" spans="2:29" s="179" customFormat="1" ht="12.75">
      <c r="B71" s="239" t="s">
        <v>271</v>
      </c>
      <c r="C71" s="483">
        <f>SUM(C65:C68)</f>
        <v>250240</v>
      </c>
      <c r="D71" s="519">
        <f aca="true" t="shared" si="28" ref="D71:M71">SUM(D65:D68)</f>
        <v>35360</v>
      </c>
      <c r="E71" s="481">
        <f>SUM(E65:E68)</f>
        <v>74852</v>
      </c>
      <c r="F71" s="519">
        <f t="shared" si="28"/>
        <v>360452</v>
      </c>
      <c r="G71" s="519">
        <f t="shared" si="28"/>
        <v>63814</v>
      </c>
      <c r="H71" s="519">
        <f t="shared" si="28"/>
        <v>4000</v>
      </c>
      <c r="I71" s="519">
        <f t="shared" si="28"/>
        <v>19419</v>
      </c>
      <c r="J71" s="481">
        <f>SUM(J65:J70)</f>
        <v>66221</v>
      </c>
      <c r="K71" s="521">
        <f>SUM(K65:K70)</f>
        <v>366405</v>
      </c>
      <c r="L71" s="645">
        <f>SUM(L65:L70)</f>
        <v>880311</v>
      </c>
      <c r="M71" s="520">
        <f t="shared" si="28"/>
        <v>26954</v>
      </c>
      <c r="N71" s="519">
        <f>SUM(N65:N67)</f>
        <v>0</v>
      </c>
      <c r="O71" s="481">
        <f>SUM(O65:O68)</f>
        <v>33923</v>
      </c>
      <c r="P71" s="521">
        <f>SUM(P65:P68)</f>
        <v>311891</v>
      </c>
      <c r="Q71" s="483">
        <f>SUM(Q65:Q70)</f>
        <v>264545</v>
      </c>
      <c r="R71" s="481">
        <f aca="true" t="shared" si="29" ref="R71:Y71">SUM(R65:R68)</f>
        <v>21472</v>
      </c>
      <c r="S71" s="481">
        <f t="shared" si="29"/>
        <v>0</v>
      </c>
      <c r="T71" s="481"/>
      <c r="U71" s="481">
        <f t="shared" si="29"/>
        <v>939</v>
      </c>
      <c r="V71" s="481">
        <f t="shared" si="29"/>
        <v>195</v>
      </c>
      <c r="W71" s="481">
        <f>SUM(W65:W68)</f>
        <v>140437</v>
      </c>
      <c r="X71" s="481">
        <f t="shared" si="29"/>
        <v>76400</v>
      </c>
      <c r="Y71" s="481">
        <f t="shared" si="29"/>
        <v>3555</v>
      </c>
      <c r="Z71" s="482">
        <f>SUM(Z65:Z70)</f>
        <v>880311</v>
      </c>
      <c r="AA71" s="149">
        <f t="shared" si="26"/>
        <v>0</v>
      </c>
      <c r="AB71" s="179">
        <f>SUM(M71:Y71)</f>
        <v>880311</v>
      </c>
      <c r="AC71" s="491">
        <f>AB71-Z71</f>
        <v>0</v>
      </c>
    </row>
    <row r="72" spans="2:27" ht="12.75">
      <c r="B72" s="227"/>
      <c r="C72" s="477"/>
      <c r="D72" s="224"/>
      <c r="E72" s="224"/>
      <c r="F72" s="150"/>
      <c r="G72" s="224"/>
      <c r="H72" s="224"/>
      <c r="I72" s="224"/>
      <c r="J72" s="224"/>
      <c r="K72" s="516"/>
      <c r="L72" s="224">
        <f>SUM(F71:K71)</f>
        <v>880311</v>
      </c>
      <c r="M72" s="479"/>
      <c r="N72" s="223"/>
      <c r="O72" s="224"/>
      <c r="P72" s="516"/>
      <c r="Q72" s="479"/>
      <c r="R72" s="223"/>
      <c r="S72" s="223"/>
      <c r="T72" s="223"/>
      <c r="U72" s="223"/>
      <c r="V72" s="223"/>
      <c r="W72" s="223"/>
      <c r="X72" s="223"/>
      <c r="Y72" s="478"/>
      <c r="Z72" s="511"/>
      <c r="AA72" s="149"/>
    </row>
    <row r="73" spans="2:26" ht="13.5" thickBot="1">
      <c r="B73" s="227"/>
      <c r="C73" s="479"/>
      <c r="D73" s="223"/>
      <c r="E73" s="223"/>
      <c r="F73" s="223"/>
      <c r="G73" s="223"/>
      <c r="H73" s="223"/>
      <c r="I73" s="223"/>
      <c r="J73" s="223"/>
      <c r="K73" s="524">
        <f>SUM(F71:J71)</f>
        <v>513906</v>
      </c>
      <c r="L73" s="223"/>
      <c r="M73" s="522"/>
      <c r="N73" s="523"/>
      <c r="O73" s="523"/>
      <c r="P73" s="524"/>
      <c r="Q73" s="479"/>
      <c r="R73" s="223"/>
      <c r="S73" s="223"/>
      <c r="T73" s="223"/>
      <c r="U73" s="223"/>
      <c r="V73" s="223"/>
      <c r="W73" s="223"/>
      <c r="X73" s="224"/>
      <c r="Y73" s="478"/>
      <c r="Z73" s="511">
        <f>SUM(M73:Y73)</f>
        <v>0</v>
      </c>
    </row>
    <row r="74" spans="2:29" s="180" customFormat="1" ht="12.75" customHeight="1" thickBot="1">
      <c r="B74" s="354" t="s">
        <v>96</v>
      </c>
      <c r="C74" s="525">
        <f aca="true" t="shared" si="30" ref="C74:Y74">+C71+C61+C51+C22+C32</f>
        <v>499317</v>
      </c>
      <c r="D74" s="526">
        <f t="shared" si="30"/>
        <v>102224</v>
      </c>
      <c r="E74" s="526">
        <f t="shared" si="30"/>
        <v>378501</v>
      </c>
      <c r="F74" s="526">
        <f t="shared" si="30"/>
        <v>980042</v>
      </c>
      <c r="G74" s="526">
        <f>+G71+G61+G51+G22+G32</f>
        <v>65243</v>
      </c>
      <c r="H74" s="526">
        <f t="shared" si="30"/>
        <v>4000</v>
      </c>
      <c r="I74" s="526">
        <f t="shared" si="30"/>
        <v>155804</v>
      </c>
      <c r="J74" s="526">
        <f>+J71+J61+J51+J22+J32</f>
        <v>79610</v>
      </c>
      <c r="K74" s="526">
        <f t="shared" si="30"/>
        <v>366405</v>
      </c>
      <c r="L74" s="527">
        <f>+L71+L61+L51+L22+L32</f>
        <v>1651104</v>
      </c>
      <c r="M74" s="526">
        <f t="shared" si="30"/>
        <v>147832</v>
      </c>
      <c r="N74" s="526">
        <f t="shared" si="30"/>
        <v>42139</v>
      </c>
      <c r="O74" s="526">
        <f t="shared" si="30"/>
        <v>37185</v>
      </c>
      <c r="P74" s="526">
        <f t="shared" si="30"/>
        <v>361008</v>
      </c>
      <c r="Q74" s="525">
        <f>+Q71+Q61+Q51+Q22+Q32</f>
        <v>657296</v>
      </c>
      <c r="R74" s="526">
        <f t="shared" si="30"/>
        <v>25561</v>
      </c>
      <c r="S74" s="526">
        <f t="shared" si="30"/>
        <v>145364</v>
      </c>
      <c r="T74" s="526">
        <f t="shared" si="30"/>
        <v>0</v>
      </c>
      <c r="U74" s="526">
        <f t="shared" si="30"/>
        <v>10049</v>
      </c>
      <c r="V74" s="526">
        <f t="shared" si="30"/>
        <v>195</v>
      </c>
      <c r="W74" s="526">
        <f t="shared" si="30"/>
        <v>144566</v>
      </c>
      <c r="X74" s="526">
        <f t="shared" si="30"/>
        <v>79909</v>
      </c>
      <c r="Y74" s="527">
        <f t="shared" si="30"/>
        <v>0</v>
      </c>
      <c r="Z74" s="528">
        <f>SUM(M74:Y74)</f>
        <v>1651104</v>
      </c>
      <c r="AB74" s="391"/>
      <c r="AC74" s="180">
        <f>SUM(Z57:Z73)</f>
        <v>2399620</v>
      </c>
    </row>
    <row r="75" spans="3:26" ht="12.75" hidden="1">
      <c r="C75" s="147">
        <f>+'[6]4_mell'!D36</f>
        <v>418790</v>
      </c>
      <c r="D75" s="147">
        <f>+'[6]4_mell'!E36</f>
        <v>88045</v>
      </c>
      <c r="E75" s="147">
        <f>+'[6]4_mell'!F36</f>
        <v>335548</v>
      </c>
      <c r="F75" s="148">
        <f>+'[6]4_mell'!G36</f>
        <v>842383</v>
      </c>
      <c r="G75" s="147">
        <f>+'[6]4_mell'!H36</f>
        <v>61523</v>
      </c>
      <c r="H75" s="147">
        <f>+'[6]4_mell'!K36</f>
        <v>4000</v>
      </c>
      <c r="I75" s="147">
        <f>+'[6]4_mell'!I36</f>
        <v>128655</v>
      </c>
      <c r="J75" s="147">
        <f>+'[6]4_mell'!L36</f>
        <v>96159</v>
      </c>
      <c r="K75" s="147">
        <f>+'[6]2_mell'!F25</f>
        <v>232405</v>
      </c>
      <c r="L75" s="148">
        <f>SUM(F75:K75)</f>
        <v>1365125</v>
      </c>
      <c r="M75" s="147">
        <f>+'[6]3_mell'!D33</f>
        <v>117877</v>
      </c>
      <c r="N75" s="148">
        <f>+'[6]1_mell'!F52</f>
        <v>32500</v>
      </c>
      <c r="O75" s="148">
        <f>+'[6]1_mell'!F95</f>
        <v>34406</v>
      </c>
      <c r="P75" s="148">
        <f>+'[6]1_mell'!F51-'[6]1_mell'!F52</f>
        <v>272287</v>
      </c>
      <c r="Q75" s="148">
        <f>+'[6]1_mell'!F24</f>
        <v>609594</v>
      </c>
      <c r="R75" s="148">
        <f>+'[6]1_mell'!F18</f>
        <v>51450</v>
      </c>
      <c r="S75" s="148">
        <f>+'[6]1_mell'!F11+'[6]1_mell'!F14+'[6]1_mell'!F15+'[6]1_mell'!F16+'[6]1_mell'!F17</f>
        <v>145331</v>
      </c>
      <c r="U75" s="148">
        <f>+'[6]1_mell'!F20</f>
        <v>10054</v>
      </c>
      <c r="V75" s="148">
        <f>+'[6]1_mell'!F102</f>
        <v>150</v>
      </c>
      <c r="W75" s="148">
        <f>+'[6]1_mell'!F105</f>
        <v>13519</v>
      </c>
      <c r="X75" s="148">
        <f>+'[6]1_mell'!F107</f>
        <v>77957</v>
      </c>
      <c r="Z75" s="147">
        <f>SUM(M75:Y75)</f>
        <v>1365125</v>
      </c>
    </row>
    <row r="76" ht="12.75" hidden="1">
      <c r="L76" s="148">
        <f>+'[6]2_mell'!F32</f>
        <v>1365125</v>
      </c>
    </row>
    <row r="77" spans="3:26" ht="12.75" hidden="1">
      <c r="C77" s="149">
        <f>+C75-C74</f>
        <v>-80527</v>
      </c>
      <c r="D77" s="149">
        <f aca="true" t="shared" si="31" ref="D77:Z77">+D75-D74</f>
        <v>-14179</v>
      </c>
      <c r="E77" s="149">
        <f t="shared" si="31"/>
        <v>-42953</v>
      </c>
      <c r="F77" s="149">
        <f t="shared" si="31"/>
        <v>-137659</v>
      </c>
      <c r="G77" s="149">
        <f t="shared" si="31"/>
        <v>-3720</v>
      </c>
      <c r="H77" s="149">
        <f t="shared" si="31"/>
        <v>0</v>
      </c>
      <c r="I77" s="149">
        <f t="shared" si="31"/>
        <v>-27149</v>
      </c>
      <c r="J77" s="149">
        <f t="shared" si="31"/>
        <v>16549</v>
      </c>
      <c r="K77" s="149"/>
      <c r="L77" s="149">
        <f t="shared" si="31"/>
        <v>-285979</v>
      </c>
      <c r="M77" s="149">
        <f t="shared" si="31"/>
        <v>-29955</v>
      </c>
      <c r="N77" s="149">
        <f t="shared" si="31"/>
        <v>-9639</v>
      </c>
      <c r="O77" s="149">
        <f t="shared" si="31"/>
        <v>-2779</v>
      </c>
      <c r="P77" s="149">
        <f t="shared" si="31"/>
        <v>-88721</v>
      </c>
      <c r="Q77" s="149">
        <f t="shared" si="31"/>
        <v>-47702</v>
      </c>
      <c r="R77" s="149">
        <f t="shared" si="31"/>
        <v>25889</v>
      </c>
      <c r="S77" s="149">
        <f t="shared" si="31"/>
        <v>-33</v>
      </c>
      <c r="T77" s="149">
        <f t="shared" si="31"/>
        <v>0</v>
      </c>
      <c r="U77" s="149">
        <f t="shared" si="31"/>
        <v>5</v>
      </c>
      <c r="V77" s="149">
        <f t="shared" si="31"/>
        <v>-45</v>
      </c>
      <c r="W77" s="149">
        <f t="shared" si="31"/>
        <v>-131047</v>
      </c>
      <c r="X77" s="149">
        <f t="shared" si="31"/>
        <v>-1952</v>
      </c>
      <c r="Y77" s="149">
        <f t="shared" si="31"/>
        <v>0</v>
      </c>
      <c r="Z77" s="149">
        <f t="shared" si="31"/>
        <v>-285979</v>
      </c>
    </row>
    <row r="78" ht="12.75" hidden="1"/>
    <row r="79" spans="12:26" ht="12" customHeight="1">
      <c r="L79" s="149"/>
      <c r="M79" s="148"/>
      <c r="Q79" s="148">
        <v>657296</v>
      </c>
      <c r="R79" s="148">
        <v>25561</v>
      </c>
      <c r="S79" s="148">
        <v>145364</v>
      </c>
      <c r="U79" s="148">
        <v>10049</v>
      </c>
      <c r="V79" s="148"/>
      <c r="W79" s="148"/>
      <c r="X79" s="148"/>
      <c r="Z79" s="148">
        <f>Z71+Z61+Z51+Z32+Z22</f>
        <v>1651104</v>
      </c>
    </row>
    <row r="80" spans="12:26" ht="12.75">
      <c r="L80" s="148"/>
      <c r="O80" s="149"/>
      <c r="Q80" s="148">
        <f>(Q79-Q74)</f>
        <v>0</v>
      </c>
      <c r="S80" s="149"/>
      <c r="W80" s="148"/>
      <c r="Z80" s="149"/>
    </row>
    <row r="81" spans="11:26" ht="12.75">
      <c r="K81" s="148"/>
      <c r="L81" s="149"/>
      <c r="N81" s="149">
        <f>SUM(M74:P74)-M74-O74</f>
        <v>403147</v>
      </c>
      <c r="O81" s="149"/>
      <c r="R81" s="149"/>
      <c r="Z81" s="149">
        <f>SUM(Z65:Z71)</f>
        <v>1760622</v>
      </c>
    </row>
    <row r="82" spans="12:29" ht="12.75">
      <c r="L82" s="148"/>
      <c r="N82" s="147">
        <v>311606</v>
      </c>
      <c r="P82" s="149">
        <f>N74+P74</f>
        <v>403147</v>
      </c>
      <c r="R82" s="149">
        <f>Q74+R74+S74+U74+V74</f>
        <v>838465</v>
      </c>
      <c r="AC82" s="149">
        <f>AC74-Z74</f>
        <v>748516</v>
      </c>
    </row>
    <row r="83" spans="14:21" ht="12.75">
      <c r="N83" s="149">
        <f>N82-N81</f>
        <v>-91541</v>
      </c>
      <c r="P83" s="149"/>
      <c r="R83" s="148">
        <v>817099</v>
      </c>
      <c r="T83" s="148"/>
      <c r="U83" s="149"/>
    </row>
    <row r="84" spans="16:25" ht="12.75">
      <c r="P84" s="149"/>
      <c r="R84" s="148">
        <f>R83-R82</f>
        <v>-21366</v>
      </c>
      <c r="S84" s="148"/>
      <c r="Y84" s="48" t="s">
        <v>657</v>
      </c>
    </row>
    <row r="85" ht="12.75">
      <c r="H85" s="149"/>
    </row>
    <row r="86" spans="9:24" ht="12.75">
      <c r="I86" s="148">
        <f>SUM(F72:K72)</f>
        <v>0</v>
      </c>
      <c r="M86" s="148"/>
      <c r="V86" s="149"/>
      <c r="X86" s="149"/>
    </row>
    <row r="87" spans="13:21" ht="12.75">
      <c r="M87" s="149"/>
      <c r="U87" s="149"/>
    </row>
    <row r="88" ht="12.75">
      <c r="R88" s="149"/>
    </row>
    <row r="90" ht="12.75">
      <c r="R90" s="149"/>
    </row>
  </sheetData>
  <sheetProtection/>
  <mergeCells count="9">
    <mergeCell ref="C4:L4"/>
    <mergeCell ref="M4:Z4"/>
    <mergeCell ref="C35:L35"/>
    <mergeCell ref="M35:Z35"/>
    <mergeCell ref="C54:L54"/>
    <mergeCell ref="M54:Z54"/>
    <mergeCell ref="Q55:Y55"/>
    <mergeCell ref="Q5:Y5"/>
    <mergeCell ref="Q36:Y3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59" r:id="rId1"/>
  <headerFooter alignWithMargins="0">
    <oddHeader>&amp;L12. melléklet a 2015. évi   2/2015.(II.25.) Önkormányzati költségvetési rendelethez&amp;R2015.02.25</oddHeader>
    <oddFooter>&amp;R&amp;F</oddFooter>
  </headerFooter>
  <rowBreaks count="2" manualBreakCount="2">
    <brk id="34" max="21" man="1"/>
    <brk id="53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71"/>
  <sheetViews>
    <sheetView view="pageLayout" zoomScaleSheetLayoutView="75" workbookViewId="0" topLeftCell="A7">
      <selection activeCell="J39" sqref="J39"/>
    </sheetView>
  </sheetViews>
  <sheetFormatPr defaultColWidth="9.140625" defaultRowHeight="12.75"/>
  <cols>
    <col min="1" max="1" width="3.57421875" style="48" customWidth="1"/>
    <col min="2" max="2" width="23.7109375" style="48" customWidth="1"/>
    <col min="3" max="3" width="9.140625" style="48" customWidth="1"/>
    <col min="4" max="4" width="11.28125" style="48" bestFit="1" customWidth="1"/>
    <col min="5" max="5" width="10.28125" style="48" bestFit="1" customWidth="1"/>
    <col min="6" max="6" width="10.8515625" style="48" customWidth="1"/>
    <col min="7" max="7" width="12.7109375" style="47" customWidth="1"/>
    <col min="8" max="8" width="10.57421875" style="47" customWidth="1"/>
    <col min="9" max="16384" width="9.140625" style="48" customWidth="1"/>
  </cols>
  <sheetData>
    <row r="1" spans="1:9" ht="12.75">
      <c r="A1" s="279" t="s">
        <v>226</v>
      </c>
      <c r="I1" s="353"/>
    </row>
    <row r="2" spans="1:9" ht="12.75">
      <c r="A2" s="279" t="s">
        <v>412</v>
      </c>
      <c r="I2" s="353"/>
    </row>
    <row r="3" ht="12.75">
      <c r="I3" s="353"/>
    </row>
    <row r="4" spans="1:12" ht="12.75">
      <c r="A4" s="96"/>
      <c r="B4" s="97"/>
      <c r="C4" s="98"/>
      <c r="D4" s="736" t="s">
        <v>413</v>
      </c>
      <c r="E4" s="736"/>
      <c r="F4" s="98"/>
      <c r="G4" s="132"/>
      <c r="H4" s="132"/>
      <c r="I4" s="353"/>
      <c r="J4" s="99"/>
      <c r="K4" s="99"/>
      <c r="L4" s="99"/>
    </row>
    <row r="5" spans="1:12" ht="12.75">
      <c r="A5" s="96"/>
      <c r="B5" s="97"/>
      <c r="C5" s="98"/>
      <c r="E5" s="98"/>
      <c r="F5" s="98"/>
      <c r="G5" s="132"/>
      <c r="H5" s="132"/>
      <c r="I5" s="353"/>
      <c r="J5" s="99"/>
      <c r="K5" s="99"/>
      <c r="L5" s="99"/>
    </row>
    <row r="6" spans="1:12" ht="15">
      <c r="A6" s="99"/>
      <c r="B6" s="99"/>
      <c r="C6" s="737" t="s">
        <v>168</v>
      </c>
      <c r="D6" s="737"/>
      <c r="E6" s="737"/>
      <c r="F6" s="737"/>
      <c r="G6" s="313"/>
      <c r="H6" s="314"/>
      <c r="I6" s="353"/>
      <c r="J6" s="99"/>
      <c r="K6" s="99"/>
      <c r="L6" s="99"/>
    </row>
    <row r="7" spans="1:12" ht="12.75">
      <c r="A7" s="100"/>
      <c r="B7" s="100"/>
      <c r="C7" s="100"/>
      <c r="D7" s="100"/>
      <c r="E7" s="100"/>
      <c r="F7" s="100"/>
      <c r="G7" s="314"/>
      <c r="H7" s="314"/>
      <c r="I7" s="353"/>
      <c r="J7" s="99"/>
      <c r="K7" s="99"/>
      <c r="L7" s="99"/>
    </row>
    <row r="8" spans="1:12" ht="15">
      <c r="A8" s="134" t="s">
        <v>169</v>
      </c>
      <c r="B8" s="100"/>
      <c r="C8" s="100"/>
      <c r="D8" s="100"/>
      <c r="E8" s="100"/>
      <c r="F8" s="100"/>
      <c r="G8" s="314"/>
      <c r="H8" s="314"/>
      <c r="I8" s="353"/>
      <c r="J8" s="99"/>
      <c r="K8" s="99"/>
      <c r="L8" s="99"/>
    </row>
    <row r="9" spans="1:12" ht="18.75" customHeight="1">
      <c r="A9" s="100"/>
      <c r="B9" s="100" t="s">
        <v>3</v>
      </c>
      <c r="C9" s="100"/>
      <c r="D9" s="100"/>
      <c r="E9" s="100"/>
      <c r="F9" s="100"/>
      <c r="G9" s="314">
        <v>8000000</v>
      </c>
      <c r="H9" s="314"/>
      <c r="I9" s="353"/>
      <c r="J9" s="99"/>
      <c r="K9" s="99"/>
      <c r="L9" s="99"/>
    </row>
    <row r="10" spans="1:14" ht="12" customHeight="1" thickBot="1">
      <c r="A10" s="100"/>
      <c r="B10" s="100"/>
      <c r="C10" s="100"/>
      <c r="D10" s="100"/>
      <c r="E10" s="100"/>
      <c r="F10" s="100"/>
      <c r="G10" s="314"/>
      <c r="H10" s="314"/>
      <c r="I10" s="353"/>
      <c r="J10" s="353"/>
      <c r="K10" s="353"/>
      <c r="L10" s="353"/>
      <c r="M10" s="240"/>
      <c r="N10" s="240"/>
    </row>
    <row r="11" spans="1:14" ht="15.75" thickBot="1">
      <c r="A11" s="121" t="s">
        <v>142</v>
      </c>
      <c r="B11" s="138"/>
      <c r="C11" s="138"/>
      <c r="D11" s="138"/>
      <c r="E11" s="138"/>
      <c r="F11" s="138"/>
      <c r="G11" s="315">
        <f>SUM(G8:G10)</f>
        <v>8000000</v>
      </c>
      <c r="H11" s="316">
        <f>G11/1000</f>
        <v>8000</v>
      </c>
      <c r="I11" s="353"/>
      <c r="J11" s="353"/>
      <c r="K11" s="353"/>
      <c r="L11" s="353"/>
      <c r="M11" s="240"/>
      <c r="N11" s="240"/>
    </row>
    <row r="12" spans="1:14" ht="12.75">
      <c r="A12" s="104"/>
      <c r="B12" s="104"/>
      <c r="C12" s="104"/>
      <c r="D12" s="104"/>
      <c r="E12" s="104"/>
      <c r="F12" s="104"/>
      <c r="G12" s="317"/>
      <c r="H12" s="317"/>
      <c r="I12" s="353"/>
      <c r="J12" s="353"/>
      <c r="K12" s="353"/>
      <c r="L12" s="353"/>
      <c r="M12" s="240"/>
      <c r="N12" s="240"/>
    </row>
    <row r="13" spans="1:14" ht="15">
      <c r="A13" s="318" t="s">
        <v>170</v>
      </c>
      <c r="B13" s="318"/>
      <c r="C13" s="105"/>
      <c r="D13" s="105"/>
      <c r="E13" s="105"/>
      <c r="F13" s="105"/>
      <c r="G13" s="108"/>
      <c r="H13" s="108"/>
      <c r="I13" s="353"/>
      <c r="J13" s="353"/>
      <c r="K13" s="353"/>
      <c r="L13" s="353"/>
      <c r="M13" s="240"/>
      <c r="N13" s="240"/>
    </row>
    <row r="14" spans="1:14" ht="14.25">
      <c r="A14" s="105"/>
      <c r="B14" s="105"/>
      <c r="C14" s="105"/>
      <c r="D14" s="105"/>
      <c r="E14" s="105"/>
      <c r="F14" s="105"/>
      <c r="G14" s="108"/>
      <c r="H14" s="108"/>
      <c r="I14" s="353"/>
      <c r="J14" s="353"/>
      <c r="K14" s="353"/>
      <c r="L14" s="353"/>
      <c r="M14" s="240"/>
      <c r="N14" s="240"/>
    </row>
    <row r="15" spans="2:14" ht="15">
      <c r="B15" s="106" t="s">
        <v>171</v>
      </c>
      <c r="C15" s="105"/>
      <c r="D15" s="105"/>
      <c r="E15" s="105"/>
      <c r="F15" s="105"/>
      <c r="G15" s="109">
        <f>SUM(F17:F19)</f>
        <v>3085200</v>
      </c>
      <c r="H15" s="109">
        <f>G15/1000</f>
        <v>3085.2</v>
      </c>
      <c r="I15" s="353"/>
      <c r="J15" s="353"/>
      <c r="K15" s="353"/>
      <c r="L15" s="353"/>
      <c r="M15" s="240"/>
      <c r="N15" s="240"/>
    </row>
    <row r="16" spans="1:14" ht="18" customHeight="1">
      <c r="A16" s="107"/>
      <c r="B16" s="105" t="s">
        <v>172</v>
      </c>
      <c r="C16" s="105"/>
      <c r="D16" s="105"/>
      <c r="E16" s="105"/>
      <c r="F16" s="108"/>
      <c r="I16" s="353"/>
      <c r="J16" s="353"/>
      <c r="K16" s="353"/>
      <c r="L16" s="353"/>
      <c r="M16" s="240"/>
      <c r="N16" s="240"/>
    </row>
    <row r="17" spans="1:14" ht="14.25">
      <c r="A17" s="105"/>
      <c r="B17" s="735" t="s">
        <v>414</v>
      </c>
      <c r="C17" s="735"/>
      <c r="D17" s="108">
        <f>97000+33800+93900+32400</f>
        <v>257100</v>
      </c>
      <c r="E17" s="105" t="s">
        <v>173</v>
      </c>
      <c r="F17" s="108">
        <f>D17*1</f>
        <v>257100</v>
      </c>
      <c r="G17" s="110"/>
      <c r="H17" s="108"/>
      <c r="I17" s="353"/>
      <c r="J17" s="353"/>
      <c r="K17" s="353"/>
      <c r="L17" s="353"/>
      <c r="M17" s="240"/>
      <c r="N17" s="240"/>
    </row>
    <row r="18" spans="1:14" ht="14.25">
      <c r="A18" s="105"/>
      <c r="B18" s="738" t="s">
        <v>415</v>
      </c>
      <c r="C18" s="739"/>
      <c r="D18" s="108">
        <f>+'[4]2014 bérek'!J48+'[4]2014 bérek'!J49</f>
        <v>257100</v>
      </c>
      <c r="E18" s="111" t="s">
        <v>174</v>
      </c>
      <c r="F18" s="108">
        <f>D18*11</f>
        <v>2828100</v>
      </c>
      <c r="G18" s="110"/>
      <c r="H18" s="108"/>
      <c r="I18" s="353"/>
      <c r="J18" s="353"/>
      <c r="K18" s="353"/>
      <c r="L18" s="353"/>
      <c r="M18" s="240"/>
      <c r="N18" s="240"/>
    </row>
    <row r="19" spans="1:14" ht="14.25">
      <c r="A19" s="105"/>
      <c r="B19" s="735"/>
      <c r="C19" s="735"/>
      <c r="D19" s="105"/>
      <c r="E19" s="105"/>
      <c r="F19" s="112"/>
      <c r="G19" s="108"/>
      <c r="H19" s="112"/>
      <c r="I19" s="353"/>
      <c r="J19" s="353"/>
      <c r="K19" s="353"/>
      <c r="L19" s="353"/>
      <c r="M19" s="240"/>
      <c r="N19" s="240"/>
    </row>
    <row r="20" spans="2:14" ht="15">
      <c r="B20" s="319" t="s">
        <v>175</v>
      </c>
      <c r="C20" s="319"/>
      <c r="D20" s="111"/>
      <c r="E20" s="111"/>
      <c r="F20" s="112"/>
      <c r="G20" s="113">
        <f>SUM(G21:G21)</f>
        <v>505536</v>
      </c>
      <c r="H20" s="114">
        <f>G20/1000</f>
        <v>505.536</v>
      </c>
      <c r="J20" s="353"/>
      <c r="K20" s="353"/>
      <c r="L20" s="353"/>
      <c r="M20" s="240"/>
      <c r="N20" s="240"/>
    </row>
    <row r="21" spans="1:14" ht="18.75" customHeight="1">
      <c r="A21" s="107"/>
      <c r="B21" s="111" t="s">
        <v>176</v>
      </c>
      <c r="C21" s="111"/>
      <c r="D21" s="111"/>
      <c r="E21" s="111"/>
      <c r="F21" s="112"/>
      <c r="G21" s="114">
        <f>SUM(F22:F23)</f>
        <v>505536</v>
      </c>
      <c r="H21" s="114"/>
      <c r="J21" s="353"/>
      <c r="K21" s="353"/>
      <c r="L21" s="353"/>
      <c r="M21" s="240"/>
      <c r="N21" s="240"/>
    </row>
    <row r="22" spans="1:14" ht="14.25">
      <c r="A22" s="116"/>
      <c r="B22" s="80" t="s">
        <v>416</v>
      </c>
      <c r="C22" s="80"/>
      <c r="D22" s="80"/>
      <c r="E22" s="80"/>
      <c r="F22" s="63">
        <f>22*36*9*12</f>
        <v>85536</v>
      </c>
      <c r="G22" s="110"/>
      <c r="H22" s="63"/>
      <c r="J22" s="353"/>
      <c r="K22" s="353"/>
      <c r="L22" s="353"/>
      <c r="M22" s="240"/>
      <c r="N22" s="240"/>
    </row>
    <row r="23" spans="1:14" ht="14.25">
      <c r="A23" s="105"/>
      <c r="B23" s="115" t="s">
        <v>177</v>
      </c>
      <c r="C23" s="115"/>
      <c r="D23" s="115"/>
      <c r="E23" s="111"/>
      <c r="F23" s="112">
        <v>420000</v>
      </c>
      <c r="G23" s="112"/>
      <c r="H23" s="112"/>
      <c r="J23" s="353"/>
      <c r="K23" s="353"/>
      <c r="L23" s="353"/>
      <c r="M23" s="240"/>
      <c r="N23" s="240"/>
    </row>
    <row r="24" spans="1:14" ht="14.25">
      <c r="A24" s="105"/>
      <c r="B24" s="115"/>
      <c r="C24" s="115"/>
      <c r="D24" s="115"/>
      <c r="E24" s="111"/>
      <c r="F24" s="112"/>
      <c r="G24" s="112"/>
      <c r="H24" s="112"/>
      <c r="J24" s="353"/>
      <c r="K24" s="353"/>
      <c r="L24" s="353"/>
      <c r="M24" s="240"/>
      <c r="N24" s="240"/>
    </row>
    <row r="25" spans="2:14" ht="15">
      <c r="B25" s="107" t="s">
        <v>417</v>
      </c>
      <c r="C25" s="117"/>
      <c r="D25" s="118"/>
      <c r="E25" s="105"/>
      <c r="F25" s="108"/>
      <c r="G25" s="114">
        <f>E27</f>
        <v>960000</v>
      </c>
      <c r="H25" s="119">
        <f>G25/1000</f>
        <v>960</v>
      </c>
      <c r="J25" s="353"/>
      <c r="K25" s="353"/>
      <c r="L25" s="353"/>
      <c r="M25" s="240"/>
      <c r="N25" s="240"/>
    </row>
    <row r="26" spans="1:14" ht="15">
      <c r="A26" s="115"/>
      <c r="B26" s="115" t="s">
        <v>178</v>
      </c>
      <c r="C26" s="115"/>
      <c r="D26" s="111"/>
      <c r="E26" s="120"/>
      <c r="F26" s="111"/>
      <c r="G26" s="113"/>
      <c r="H26" s="112"/>
      <c r="J26" s="353"/>
      <c r="K26" s="353"/>
      <c r="L26" s="353"/>
      <c r="M26" s="240"/>
      <c r="N26" s="240"/>
    </row>
    <row r="27" spans="1:14" ht="12.75" customHeight="1">
      <c r="A27" s="115"/>
      <c r="B27" s="115" t="s">
        <v>179</v>
      </c>
      <c r="C27" s="115"/>
      <c r="D27" s="111"/>
      <c r="E27" s="120">
        <f>80000*12</f>
        <v>960000</v>
      </c>
      <c r="F27" s="111"/>
      <c r="G27" s="110"/>
      <c r="H27" s="112"/>
      <c r="J27" s="353"/>
      <c r="K27" s="353"/>
      <c r="L27" s="353"/>
      <c r="M27" s="240"/>
      <c r="N27" s="240"/>
    </row>
    <row r="28" spans="1:14" ht="13.5" thickBot="1">
      <c r="A28" s="100"/>
      <c r="B28" s="98"/>
      <c r="C28" s="98"/>
      <c r="D28" s="98"/>
      <c r="E28" s="98"/>
      <c r="F28" s="98"/>
      <c r="G28" s="132"/>
      <c r="H28" s="132"/>
      <c r="J28" s="353"/>
      <c r="K28" s="353"/>
      <c r="L28" s="353"/>
      <c r="M28" s="240"/>
      <c r="N28" s="240"/>
    </row>
    <row r="29" spans="1:12" ht="15.75" thickBot="1">
      <c r="A29" s="121" t="s">
        <v>180</v>
      </c>
      <c r="B29" s="122"/>
      <c r="C29" s="122"/>
      <c r="D29" s="122"/>
      <c r="E29" s="122"/>
      <c r="F29" s="122"/>
      <c r="G29" s="123">
        <f>G15+G20+G25</f>
        <v>4550736</v>
      </c>
      <c r="H29" s="241">
        <f>ROUND(G29/1000,0)</f>
        <v>4551</v>
      </c>
      <c r="I29" s="99"/>
      <c r="J29" s="99"/>
      <c r="K29" s="99"/>
      <c r="L29" s="99"/>
    </row>
    <row r="30" spans="1:12" ht="12.75">
      <c r="A30" s="104"/>
      <c r="B30" s="98"/>
      <c r="C30" s="98"/>
      <c r="D30" s="98"/>
      <c r="E30" s="98"/>
      <c r="F30" s="98"/>
      <c r="G30" s="317"/>
      <c r="H30" s="317"/>
      <c r="I30" s="99"/>
      <c r="J30" s="99"/>
      <c r="K30" s="99"/>
      <c r="L30" s="99"/>
    </row>
    <row r="31" spans="1:12" ht="15">
      <c r="A31" s="320" t="s">
        <v>181</v>
      </c>
      <c r="B31" s="125"/>
      <c r="C31" s="125"/>
      <c r="D31" s="125"/>
      <c r="E31" s="125"/>
      <c r="F31" s="125"/>
      <c r="G31" s="127"/>
      <c r="H31" s="321"/>
      <c r="I31" s="99"/>
      <c r="J31" s="99"/>
      <c r="K31" s="99"/>
      <c r="L31" s="99"/>
    </row>
    <row r="32" spans="1:12" ht="15">
      <c r="A32" s="124"/>
      <c r="B32" s="126"/>
      <c r="C32" s="125"/>
      <c r="D32" s="125"/>
      <c r="E32" s="127"/>
      <c r="F32" s="127"/>
      <c r="G32" s="127"/>
      <c r="H32" s="321"/>
      <c r="I32" s="99"/>
      <c r="J32" s="99"/>
      <c r="K32" s="99"/>
      <c r="L32" s="99"/>
    </row>
    <row r="33" spans="1:12" ht="15">
      <c r="A33" s="128"/>
      <c r="B33" s="322" t="s">
        <v>204</v>
      </c>
      <c r="C33" s="130"/>
      <c r="F33" s="125"/>
      <c r="G33" s="30">
        <f>SUM(G34:G35)</f>
        <v>1066284</v>
      </c>
      <c r="H33" s="113">
        <f>ROUND(G33/1000,0)</f>
        <v>1066</v>
      </c>
      <c r="I33" s="99"/>
      <c r="J33" s="99"/>
      <c r="K33" s="99"/>
      <c r="L33" s="99"/>
    </row>
    <row r="34" spans="1:12" ht="14.25">
      <c r="A34" s="131"/>
      <c r="B34" s="130" t="s">
        <v>418</v>
      </c>
      <c r="C34" s="130"/>
      <c r="D34" s="130">
        <f>+G15</f>
        <v>3085200</v>
      </c>
      <c r="E34" s="130" t="s">
        <v>419</v>
      </c>
      <c r="F34" s="125"/>
      <c r="G34" s="127">
        <f>+D34*27%</f>
        <v>833004</v>
      </c>
      <c r="H34" s="323"/>
      <c r="I34" s="99"/>
      <c r="J34" s="99"/>
      <c r="K34" s="99"/>
      <c r="L34" s="99"/>
    </row>
    <row r="35" spans="1:12" ht="14.25">
      <c r="A35" s="129"/>
      <c r="B35" s="130" t="s">
        <v>420</v>
      </c>
      <c r="C35" s="130"/>
      <c r="D35" s="130">
        <f>+G25</f>
        <v>960000</v>
      </c>
      <c r="E35" s="130" t="s">
        <v>421</v>
      </c>
      <c r="F35" s="125"/>
      <c r="G35" s="127">
        <f>+D35*90%*27%</f>
        <v>233280.00000000003</v>
      </c>
      <c r="H35" s="323"/>
      <c r="I35" s="99"/>
      <c r="J35" s="99"/>
      <c r="K35" s="99"/>
      <c r="L35" s="99"/>
    </row>
    <row r="36" spans="1:12" ht="13.5" thickBot="1">
      <c r="A36" s="100"/>
      <c r="B36" s="98"/>
      <c r="C36" s="98"/>
      <c r="D36" s="98"/>
      <c r="E36" s="98"/>
      <c r="F36" s="98"/>
      <c r="G36" s="132"/>
      <c r="H36" s="132"/>
      <c r="I36" s="99"/>
      <c r="J36" s="99"/>
      <c r="K36" s="99"/>
      <c r="L36" s="99"/>
    </row>
    <row r="37" spans="1:12" ht="15.75" thickBot="1">
      <c r="A37" s="121" t="s">
        <v>658</v>
      </c>
      <c r="B37" s="122"/>
      <c r="C37" s="133"/>
      <c r="D37" s="133"/>
      <c r="E37" s="133"/>
      <c r="F37" s="133"/>
      <c r="G37" s="123">
        <f>+G33</f>
        <v>1066284</v>
      </c>
      <c r="H37" s="241">
        <f>ROUND(G37/1000,0)</f>
        <v>1066</v>
      </c>
      <c r="I37" s="99"/>
      <c r="J37" s="99"/>
      <c r="K37" s="99"/>
      <c r="L37" s="99"/>
    </row>
    <row r="38" spans="1:12" ht="12.75">
      <c r="A38" s="100"/>
      <c r="B38" s="100"/>
      <c r="C38" s="100"/>
      <c r="D38" s="100"/>
      <c r="E38" s="100"/>
      <c r="F38" s="100"/>
      <c r="G38" s="132"/>
      <c r="H38" s="132"/>
      <c r="I38" s="99"/>
      <c r="J38" s="99"/>
      <c r="K38" s="99"/>
      <c r="L38" s="99"/>
    </row>
    <row r="39" spans="1:12" ht="15">
      <c r="A39" s="134" t="s">
        <v>182</v>
      </c>
      <c r="B39" s="135"/>
      <c r="C39" s="105"/>
      <c r="D39" s="105"/>
      <c r="E39" s="105"/>
      <c r="F39" s="105"/>
      <c r="G39" s="108"/>
      <c r="H39" s="108"/>
      <c r="I39" s="99"/>
      <c r="J39" s="99"/>
      <c r="K39" s="99"/>
      <c r="L39" s="99"/>
    </row>
    <row r="40" spans="1:12" ht="14.25">
      <c r="A40" s="105"/>
      <c r="B40" s="111"/>
      <c r="C40" s="111"/>
      <c r="D40" s="111"/>
      <c r="E40" s="111"/>
      <c r="F40" s="111"/>
      <c r="G40" s="112"/>
      <c r="H40" s="112"/>
      <c r="I40" s="99"/>
      <c r="J40" s="99"/>
      <c r="K40" s="99"/>
      <c r="L40" s="99"/>
    </row>
    <row r="41" spans="1:12" ht="15">
      <c r="A41" s="107"/>
      <c r="B41" s="111" t="s">
        <v>183</v>
      </c>
      <c r="C41" s="111"/>
      <c r="D41" s="111"/>
      <c r="E41" s="111"/>
      <c r="F41" s="111"/>
      <c r="G41" s="112">
        <v>50000</v>
      </c>
      <c r="H41" s="112">
        <f>G41/1000</f>
        <v>50</v>
      </c>
      <c r="I41" s="99"/>
      <c r="J41" s="99"/>
      <c r="K41" s="99"/>
      <c r="L41" s="99"/>
    </row>
    <row r="42" spans="1:12" ht="15">
      <c r="A42" s="107"/>
      <c r="B42" s="111" t="s">
        <v>184</v>
      </c>
      <c r="C42" s="111"/>
      <c r="D42" s="111"/>
      <c r="E42" s="111"/>
      <c r="F42" s="111"/>
      <c r="G42" s="112">
        <v>20000</v>
      </c>
      <c r="H42" s="112">
        <f>G42/1000</f>
        <v>20</v>
      </c>
      <c r="I42" s="99"/>
      <c r="J42" s="99"/>
      <c r="K42" s="99"/>
      <c r="L42" s="99"/>
    </row>
    <row r="43" spans="1:12" ht="15">
      <c r="A43" s="107"/>
      <c r="B43" s="111" t="s">
        <v>185</v>
      </c>
      <c r="C43" s="111"/>
      <c r="D43" s="111"/>
      <c r="E43" s="111"/>
      <c r="F43" s="111"/>
      <c r="G43" s="112">
        <v>32000</v>
      </c>
      <c r="H43" s="112">
        <f>G43/1000</f>
        <v>32</v>
      </c>
      <c r="I43" s="99"/>
      <c r="J43" s="99"/>
      <c r="K43" s="99"/>
      <c r="L43" s="99"/>
    </row>
    <row r="44" spans="1:12" ht="15">
      <c r="A44" s="107"/>
      <c r="B44" s="111" t="s">
        <v>186</v>
      </c>
      <c r="C44" s="111"/>
      <c r="D44" s="111"/>
      <c r="E44" s="111"/>
      <c r="F44" s="111"/>
      <c r="G44" s="112">
        <f>SUM(E45:E46)</f>
        <v>288000</v>
      </c>
      <c r="H44" s="112">
        <f>G44/1000</f>
        <v>288</v>
      </c>
      <c r="I44" s="99"/>
      <c r="J44" s="99"/>
      <c r="K44" s="99"/>
      <c r="L44" s="99"/>
    </row>
    <row r="45" spans="1:12" ht="14.25">
      <c r="A45" s="105"/>
      <c r="B45" s="136" t="s">
        <v>187</v>
      </c>
      <c r="C45" s="111" t="s">
        <v>422</v>
      </c>
      <c r="D45" s="111"/>
      <c r="E45" s="111">
        <f>3*4000*12</f>
        <v>144000</v>
      </c>
      <c r="F45" s="111"/>
      <c r="G45" s="112"/>
      <c r="H45" s="112"/>
      <c r="I45" s="99"/>
      <c r="J45" s="99"/>
      <c r="K45" s="99"/>
      <c r="L45" s="99"/>
    </row>
    <row r="46" spans="1:12" ht="15">
      <c r="A46" s="106"/>
      <c r="B46" s="136" t="s">
        <v>188</v>
      </c>
      <c r="C46" s="111" t="s">
        <v>189</v>
      </c>
      <c r="D46" s="111"/>
      <c r="E46" s="111">
        <f>12*12000</f>
        <v>144000</v>
      </c>
      <c r="F46" s="111"/>
      <c r="G46" s="112"/>
      <c r="H46" s="112"/>
      <c r="I46" s="99"/>
      <c r="J46" s="99"/>
      <c r="K46" s="99"/>
      <c r="L46" s="99"/>
    </row>
    <row r="47" spans="1:12" ht="15">
      <c r="A47" s="106"/>
      <c r="B47" s="111" t="s">
        <v>190</v>
      </c>
      <c r="C47" s="111"/>
      <c r="D47" s="111"/>
      <c r="E47" s="111"/>
      <c r="F47" s="111"/>
      <c r="G47" s="112">
        <v>150000</v>
      </c>
      <c r="H47" s="112">
        <f aca="true" t="shared" si="0" ref="H47:H52">G47/1000</f>
        <v>150</v>
      </c>
      <c r="I47" s="99"/>
      <c r="J47" s="99"/>
      <c r="K47" s="99"/>
      <c r="L47" s="99"/>
    </row>
    <row r="48" spans="1:12" ht="15">
      <c r="A48" s="106"/>
      <c r="B48" s="111" t="s">
        <v>191</v>
      </c>
      <c r="C48" s="111"/>
      <c r="D48" s="111"/>
      <c r="E48" s="111"/>
      <c r="F48" s="111"/>
      <c r="G48" s="112">
        <v>80000</v>
      </c>
      <c r="H48" s="112">
        <f t="shared" si="0"/>
        <v>80</v>
      </c>
      <c r="I48" s="99"/>
      <c r="J48" s="99"/>
      <c r="K48" s="99"/>
      <c r="L48" s="99"/>
    </row>
    <row r="49" spans="1:12" ht="15">
      <c r="A49" s="106"/>
      <c r="B49" s="111" t="s">
        <v>192</v>
      </c>
      <c r="C49" s="111"/>
      <c r="D49" s="111"/>
      <c r="E49" s="111"/>
      <c r="F49" s="111"/>
      <c r="G49" s="112">
        <v>50000</v>
      </c>
      <c r="H49" s="112">
        <f t="shared" si="0"/>
        <v>50</v>
      </c>
      <c r="I49" s="99"/>
      <c r="J49" s="99"/>
      <c r="K49" s="99"/>
      <c r="L49" s="99"/>
    </row>
    <row r="50" spans="1:12" ht="15">
      <c r="A50" s="106"/>
      <c r="B50" s="111" t="s">
        <v>193</v>
      </c>
      <c r="C50" s="111"/>
      <c r="D50" s="111"/>
      <c r="E50" s="111"/>
      <c r="F50" s="111"/>
      <c r="G50" s="112">
        <f>298000-56693</f>
        <v>241307</v>
      </c>
      <c r="H50" s="112">
        <f t="shared" si="0"/>
        <v>241.307</v>
      </c>
      <c r="I50" s="99"/>
      <c r="J50" s="99"/>
      <c r="K50" s="99"/>
      <c r="L50" s="99"/>
    </row>
    <row r="51" spans="1:12" ht="15">
      <c r="A51" s="106"/>
      <c r="B51" s="111" t="s">
        <v>194</v>
      </c>
      <c r="C51" s="111"/>
      <c r="D51" s="111"/>
      <c r="E51" s="111"/>
      <c r="F51" s="111"/>
      <c r="G51" s="112">
        <v>60000</v>
      </c>
      <c r="H51" s="112">
        <f t="shared" si="0"/>
        <v>60</v>
      </c>
      <c r="I51" s="99"/>
      <c r="J51" s="99"/>
      <c r="K51" s="99"/>
      <c r="L51" s="99"/>
    </row>
    <row r="52" spans="1:12" ht="15">
      <c r="A52" s="106"/>
      <c r="B52" s="111" t="s">
        <v>195</v>
      </c>
      <c r="C52" s="111"/>
      <c r="D52" s="111"/>
      <c r="E52" s="111"/>
      <c r="F52" s="111"/>
      <c r="G52" s="112">
        <f>SUM(F53:F57)</f>
        <v>1064000</v>
      </c>
      <c r="H52" s="112">
        <f t="shared" si="0"/>
        <v>1064</v>
      </c>
      <c r="I52" s="99"/>
      <c r="J52" s="99"/>
      <c r="K52" s="99"/>
      <c r="L52" s="99"/>
    </row>
    <row r="53" spans="1:12" ht="14.25">
      <c r="A53" s="105"/>
      <c r="B53" s="324" t="s">
        <v>196</v>
      </c>
      <c r="C53" s="325">
        <v>50000</v>
      </c>
      <c r="D53" s="325" t="s">
        <v>423</v>
      </c>
      <c r="E53" s="111"/>
      <c r="F53" s="112">
        <f>50000*12</f>
        <v>600000</v>
      </c>
      <c r="H53" s="112"/>
      <c r="I53" s="99"/>
      <c r="J53" s="99"/>
      <c r="K53" s="99"/>
      <c r="L53" s="99"/>
    </row>
    <row r="54" spans="1:12" ht="14.25">
      <c r="A54" s="105"/>
      <c r="B54" s="324" t="s">
        <v>197</v>
      </c>
      <c r="C54" s="325">
        <v>40000</v>
      </c>
      <c r="D54" s="325" t="s">
        <v>424</v>
      </c>
      <c r="E54" s="111"/>
      <c r="F54" s="112">
        <f>40000*6</f>
        <v>240000</v>
      </c>
      <c r="H54" s="112"/>
      <c r="I54" s="99"/>
      <c r="J54" s="99"/>
      <c r="K54" s="99"/>
      <c r="L54" s="99"/>
    </row>
    <row r="55" spans="1:12" ht="14.25">
      <c r="A55" s="105"/>
      <c r="B55" s="324" t="s">
        <v>198</v>
      </c>
      <c r="C55" s="325"/>
      <c r="D55" s="325"/>
      <c r="E55" s="111"/>
      <c r="F55" s="112">
        <v>100000</v>
      </c>
      <c r="H55" s="112"/>
      <c r="I55" s="99"/>
      <c r="J55" s="99"/>
      <c r="K55" s="99"/>
      <c r="L55" s="99"/>
    </row>
    <row r="56" spans="1:12" ht="14.25">
      <c r="A56" s="105"/>
      <c r="B56" s="324" t="s">
        <v>199</v>
      </c>
      <c r="C56" s="325"/>
      <c r="D56" s="325"/>
      <c r="E56" s="111"/>
      <c r="F56" s="111">
        <v>100000</v>
      </c>
      <c r="G56" s="112"/>
      <c r="H56" s="112"/>
      <c r="I56" s="99"/>
      <c r="J56" s="99"/>
      <c r="K56" s="99"/>
      <c r="L56" s="99"/>
    </row>
    <row r="57" spans="1:12" ht="14.25">
      <c r="A57" s="105"/>
      <c r="B57" s="324" t="s">
        <v>425</v>
      </c>
      <c r="C57" s="325">
        <v>12000</v>
      </c>
      <c r="D57" s="325" t="s">
        <v>426</v>
      </c>
      <c r="E57" s="111"/>
      <c r="F57" s="111">
        <f>+C57*2</f>
        <v>24000</v>
      </c>
      <c r="G57" s="112"/>
      <c r="H57" s="112"/>
      <c r="I57" s="99"/>
      <c r="J57" s="99"/>
      <c r="K57" s="99"/>
      <c r="L57" s="99"/>
    </row>
    <row r="58" spans="1:12" ht="15">
      <c r="A58" s="107"/>
      <c r="B58" s="111" t="s">
        <v>200</v>
      </c>
      <c r="C58" s="111"/>
      <c r="D58" s="111"/>
      <c r="E58" s="111"/>
      <c r="F58" s="111"/>
      <c r="G58" s="112">
        <f>170000+36835-43655</f>
        <v>163180</v>
      </c>
      <c r="H58" s="112">
        <f>G58/1000</f>
        <v>163.18</v>
      </c>
      <c r="I58" s="99"/>
      <c r="J58" s="99"/>
      <c r="K58" s="99"/>
      <c r="L58" s="99"/>
    </row>
    <row r="59" spans="1:12" ht="16.5" customHeight="1">
      <c r="A59" s="107"/>
      <c r="B59" s="111" t="s">
        <v>201</v>
      </c>
      <c r="C59" s="111"/>
      <c r="D59" s="111"/>
      <c r="E59" s="111"/>
      <c r="F59" s="111"/>
      <c r="G59" s="112">
        <v>184493</v>
      </c>
      <c r="H59" s="112">
        <f>G59/1000</f>
        <v>184.493</v>
      </c>
      <c r="I59" s="99"/>
      <c r="J59" s="99"/>
      <c r="K59" s="99"/>
      <c r="L59" s="99"/>
    </row>
    <row r="60" spans="1:12" ht="15" thickBot="1">
      <c r="A60" s="105"/>
      <c r="B60" s="111"/>
      <c r="C60" s="111"/>
      <c r="D60" s="111"/>
      <c r="E60" s="111"/>
      <c r="F60" s="111"/>
      <c r="G60" s="112"/>
      <c r="H60" s="112"/>
      <c r="I60" s="99"/>
      <c r="J60" s="99"/>
      <c r="K60" s="99"/>
      <c r="L60" s="99"/>
    </row>
    <row r="61" spans="1:12" ht="15.75" thickBot="1">
      <c r="A61" s="121" t="s">
        <v>202</v>
      </c>
      <c r="B61" s="133"/>
      <c r="C61" s="133"/>
      <c r="D61" s="133"/>
      <c r="E61" s="133"/>
      <c r="F61" s="133"/>
      <c r="G61" s="123">
        <f>SUM(G41:G59)</f>
        <v>2382980</v>
      </c>
      <c r="H61" s="241">
        <f>ROUND(G61/1000,0)</f>
        <v>2383</v>
      </c>
      <c r="I61" s="99"/>
      <c r="J61" s="99"/>
      <c r="K61" s="99"/>
      <c r="L61" s="99"/>
    </row>
    <row r="62" spans="1:12" ht="15" thickBot="1">
      <c r="A62" s="105"/>
      <c r="B62" s="111"/>
      <c r="C62" s="111"/>
      <c r="D62" s="111"/>
      <c r="E62" s="111"/>
      <c r="F62" s="111"/>
      <c r="G62" s="112"/>
      <c r="H62" s="112"/>
      <c r="I62" s="99"/>
      <c r="J62" s="99"/>
      <c r="K62" s="99"/>
      <c r="L62" s="99"/>
    </row>
    <row r="63" spans="1:12" ht="28.5" customHeight="1" thickBot="1">
      <c r="A63" s="101" t="s">
        <v>203</v>
      </c>
      <c r="B63" s="102"/>
      <c r="C63" s="102"/>
      <c r="D63" s="102"/>
      <c r="E63" s="102"/>
      <c r="F63" s="102"/>
      <c r="G63" s="103">
        <f>G61+G37+G29</f>
        <v>8000000</v>
      </c>
      <c r="H63" s="242">
        <f>H61+H37+H29</f>
        <v>8000</v>
      </c>
      <c r="I63" s="99"/>
      <c r="J63" s="99"/>
      <c r="K63" s="99"/>
      <c r="L63" s="99"/>
    </row>
    <row r="64" spans="9:12" ht="12.75">
      <c r="I64" s="99"/>
      <c r="J64" s="99"/>
      <c r="K64" s="99"/>
      <c r="L64" s="99"/>
    </row>
    <row r="65" spans="9:12" ht="12.75">
      <c r="I65" s="99"/>
      <c r="J65" s="99"/>
      <c r="K65" s="99"/>
      <c r="L65" s="99"/>
    </row>
    <row r="66" spans="2:12" ht="12.75">
      <c r="B66" s="48" t="s">
        <v>205</v>
      </c>
      <c r="G66" s="47">
        <f>+G11-G63</f>
        <v>0</v>
      </c>
      <c r="H66" s="47">
        <f>+G66/1.27</f>
        <v>0</v>
      </c>
      <c r="I66" s="99"/>
      <c r="J66" s="99"/>
      <c r="K66" s="99"/>
      <c r="L66" s="99"/>
    </row>
    <row r="67" spans="9:12" ht="12.75">
      <c r="I67" s="99"/>
      <c r="J67" s="99"/>
      <c r="K67" s="99"/>
      <c r="L67" s="99"/>
    </row>
    <row r="68" spans="9:12" ht="12.75">
      <c r="I68" s="99"/>
      <c r="J68" s="99"/>
      <c r="K68" s="99"/>
      <c r="L68" s="99"/>
    </row>
    <row r="69" spans="9:12" ht="12.75">
      <c r="I69" s="99"/>
      <c r="J69" s="99"/>
      <c r="K69" s="99"/>
      <c r="L69" s="99"/>
    </row>
    <row r="70" spans="9:12" ht="12.75">
      <c r="I70" s="99"/>
      <c r="J70" s="99"/>
      <c r="K70" s="99"/>
      <c r="L70" s="99"/>
    </row>
    <row r="71" spans="9:12" ht="12.75">
      <c r="I71" s="99"/>
      <c r="J71" s="99"/>
      <c r="K71" s="99"/>
      <c r="L71" s="99"/>
    </row>
  </sheetData>
  <sheetProtection/>
  <mergeCells count="5">
    <mergeCell ref="B19:C19"/>
    <mergeCell ref="D4:E4"/>
    <mergeCell ref="C6:F6"/>
    <mergeCell ref="B17:C17"/>
    <mergeCell ref="B18:C18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Header>&amp;L13. melléklet a 2015. évi   2/2015.(II.25.) Önkormányzati költségvetési rendelethez&amp;R2015.02.25</oddHeader>
    <oddFooter>&amp;R&amp;F</oddFooter>
  </headerFooter>
  <rowBreaks count="1" manualBreakCount="1">
    <brk id="6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view="pageLayout" workbookViewId="0" topLeftCell="A1">
      <selection activeCell="C5" sqref="C5"/>
    </sheetView>
  </sheetViews>
  <sheetFormatPr defaultColWidth="10.421875" defaultRowHeight="12.75"/>
  <cols>
    <col min="1" max="1" width="7.57421875" style="249" customWidth="1"/>
    <col min="2" max="2" width="56.421875" style="249" customWidth="1"/>
    <col min="3" max="3" width="18.7109375" style="249" customWidth="1"/>
    <col min="4" max="16384" width="10.421875" style="249" customWidth="1"/>
  </cols>
  <sheetData>
    <row r="1" spans="1:3" ht="78.75" customHeight="1">
      <c r="A1" s="740" t="s">
        <v>331</v>
      </c>
      <c r="B1" s="740"/>
      <c r="C1" s="740"/>
    </row>
    <row r="2" spans="1:4" ht="15.75" thickBot="1">
      <c r="A2" s="250"/>
      <c r="B2" s="250"/>
      <c r="C2" s="251" t="s">
        <v>332</v>
      </c>
      <c r="D2" s="252"/>
    </row>
    <row r="3" spans="1:3" ht="32.25" thickBot="1">
      <c r="A3" s="253" t="s">
        <v>289</v>
      </c>
      <c r="B3" s="254" t="s">
        <v>333</v>
      </c>
      <c r="C3" s="255" t="s">
        <v>465</v>
      </c>
    </row>
    <row r="4" spans="1:3" ht="16.5" thickBot="1">
      <c r="A4" s="256" t="s">
        <v>11</v>
      </c>
      <c r="B4" s="257" t="s">
        <v>348</v>
      </c>
      <c r="C4" s="258" t="s">
        <v>13</v>
      </c>
    </row>
    <row r="5" spans="1:4" ht="15.75">
      <c r="A5" s="271" t="s">
        <v>20</v>
      </c>
      <c r="B5" s="259" t="s">
        <v>334</v>
      </c>
      <c r="C5" s="260">
        <f>+Bevétel!E8+Bevétel!E10+Bevétel!E11+Bevétel!E12</f>
        <v>142778</v>
      </c>
      <c r="D5" s="542"/>
    </row>
    <row r="6" spans="1:3" ht="15.75">
      <c r="A6" s="272" t="s">
        <v>21</v>
      </c>
      <c r="B6" s="261" t="s">
        <v>335</v>
      </c>
      <c r="C6" s="262"/>
    </row>
    <row r="7" spans="1:3" ht="15.75">
      <c r="A7" s="272" t="s">
        <v>22</v>
      </c>
      <c r="B7" s="261" t="s">
        <v>336</v>
      </c>
      <c r="C7" s="262">
        <f>+Bevétel!E13</f>
        <v>3100</v>
      </c>
    </row>
    <row r="8" spans="1:3" ht="31.5">
      <c r="A8" s="272" t="s">
        <v>23</v>
      </c>
      <c r="B8" s="263" t="s">
        <v>337</v>
      </c>
      <c r="C8" s="262"/>
    </row>
    <row r="9" spans="1:3" ht="15.75">
      <c r="A9" s="273" t="s">
        <v>24</v>
      </c>
      <c r="B9" s="264" t="s">
        <v>338</v>
      </c>
      <c r="C9" s="262"/>
    </row>
    <row r="10" spans="1:3" ht="15.75">
      <c r="A10" s="272" t="s">
        <v>25</v>
      </c>
      <c r="B10" s="261" t="s">
        <v>339</v>
      </c>
      <c r="C10" s="262"/>
    </row>
    <row r="11" spans="1:3" ht="16.5" thickBot="1">
      <c r="A11" s="273" t="s">
        <v>26</v>
      </c>
      <c r="B11" s="264" t="s">
        <v>340</v>
      </c>
      <c r="C11" s="270"/>
    </row>
    <row r="12" spans="1:3" ht="17.25" thickBot="1">
      <c r="A12" s="274" t="s">
        <v>27</v>
      </c>
      <c r="B12" s="269" t="s">
        <v>341</v>
      </c>
      <c r="C12" s="265">
        <f>SUM(C5:C11)</f>
        <v>145878</v>
      </c>
    </row>
    <row r="13" spans="1:3" ht="39" customHeight="1">
      <c r="A13" s="741" t="s">
        <v>342</v>
      </c>
      <c r="B13" s="741"/>
      <c r="C13" s="741"/>
    </row>
  </sheetData>
  <sheetProtection/>
  <mergeCells count="2"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  14.melléklet a 2015. évi   2/2015. (II.25.) Önkormányzati költségvetési rendelethez&amp;R2015.02.25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AT266"/>
  <sheetViews>
    <sheetView tabSelected="1" view="pageBreakPreview" zoomScaleSheetLayoutView="100" workbookViewId="0" topLeftCell="C1">
      <selection activeCell="L36" sqref="L36"/>
    </sheetView>
  </sheetViews>
  <sheetFormatPr defaultColWidth="9.140625" defaultRowHeight="13.5" customHeight="1"/>
  <cols>
    <col min="1" max="1" width="4.00390625" style="439" customWidth="1"/>
    <col min="2" max="2" width="4.7109375" style="439" customWidth="1"/>
    <col min="3" max="3" width="23.7109375" style="439" customWidth="1"/>
    <col min="4" max="4" width="12.140625" style="439" customWidth="1"/>
    <col min="5" max="5" width="12.7109375" style="439" bestFit="1" customWidth="1"/>
    <col min="6" max="6" width="10.140625" style="439" bestFit="1" customWidth="1"/>
    <col min="7" max="7" width="8.28125" style="439" bestFit="1" customWidth="1"/>
    <col min="8" max="10" width="10.140625" style="439" bestFit="1" customWidth="1"/>
    <col min="11" max="11" width="9.8515625" style="439" bestFit="1" customWidth="1"/>
    <col min="12" max="12" width="11.00390625" style="439" bestFit="1" customWidth="1"/>
    <col min="13" max="13" width="10.140625" style="439" bestFit="1" customWidth="1"/>
    <col min="14" max="14" width="11.57421875" style="439" bestFit="1" customWidth="1"/>
    <col min="15" max="15" width="11.140625" style="439" bestFit="1" customWidth="1"/>
    <col min="16" max="16" width="11.140625" style="435" bestFit="1" customWidth="1"/>
    <col min="17" max="17" width="11.7109375" style="438" customWidth="1"/>
    <col min="18" max="19" width="9.7109375" style="438" customWidth="1"/>
    <col min="20" max="20" width="10.57421875" style="438" customWidth="1"/>
    <col min="21" max="21" width="13.00390625" style="438" customWidth="1"/>
    <col min="22" max="22" width="9.28125" style="438" customWidth="1"/>
    <col min="23" max="46" width="9.140625" style="438" customWidth="1"/>
    <col min="47" max="16384" width="9.140625" style="439" customWidth="1"/>
  </cols>
  <sheetData>
    <row r="3" spans="1:16" ht="32.25" customHeight="1">
      <c r="A3" s="437"/>
      <c r="B3" s="742" t="s">
        <v>411</v>
      </c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</row>
    <row r="4" spans="1:16" ht="32.25" customHeight="1" thickBot="1">
      <c r="A4" s="439" t="s">
        <v>11</v>
      </c>
      <c r="B4" s="210" t="s">
        <v>348</v>
      </c>
      <c r="C4" s="646" t="s">
        <v>13</v>
      </c>
      <c r="D4" s="646" t="s">
        <v>14</v>
      </c>
      <c r="E4" s="646" t="s">
        <v>15</v>
      </c>
      <c r="F4" s="646" t="s">
        <v>16</v>
      </c>
      <c r="G4" s="646" t="s">
        <v>17</v>
      </c>
      <c r="H4" s="646" t="s">
        <v>18</v>
      </c>
      <c r="I4" s="646" t="s">
        <v>63</v>
      </c>
      <c r="J4" s="646" t="s">
        <v>355</v>
      </c>
      <c r="K4" s="646" t="s">
        <v>349</v>
      </c>
      <c r="L4" s="646" t="s">
        <v>350</v>
      </c>
      <c r="M4" s="646" t="s">
        <v>352</v>
      </c>
      <c r="N4" s="646" t="s">
        <v>356</v>
      </c>
      <c r="O4" s="646" t="s">
        <v>357</v>
      </c>
      <c r="P4" s="646" t="s">
        <v>358</v>
      </c>
    </row>
    <row r="5" spans="1:16" ht="23.25" customHeight="1" thickBot="1">
      <c r="A5" s="439" t="s">
        <v>20</v>
      </c>
      <c r="B5" s="188" t="s">
        <v>289</v>
      </c>
      <c r="C5" s="647" t="s">
        <v>67</v>
      </c>
      <c r="D5" s="647" t="s">
        <v>290</v>
      </c>
      <c r="E5" s="647" t="s">
        <v>291</v>
      </c>
      <c r="F5" s="647" t="s">
        <v>292</v>
      </c>
      <c r="G5" s="647" t="s">
        <v>293</v>
      </c>
      <c r="H5" s="647" t="s">
        <v>294</v>
      </c>
      <c r="I5" s="647" t="s">
        <v>295</v>
      </c>
      <c r="J5" s="647" t="s">
        <v>296</v>
      </c>
      <c r="K5" s="647" t="s">
        <v>297</v>
      </c>
      <c r="L5" s="647" t="s">
        <v>298</v>
      </c>
      <c r="M5" s="647" t="s">
        <v>299</v>
      </c>
      <c r="N5" s="647" t="s">
        <v>300</v>
      </c>
      <c r="O5" s="647" t="s">
        <v>301</v>
      </c>
      <c r="P5" s="648" t="s">
        <v>302</v>
      </c>
    </row>
    <row r="6" spans="1:16" ht="13.5" customHeight="1" thickBot="1">
      <c r="A6" s="439" t="s">
        <v>21</v>
      </c>
      <c r="B6" s="191" t="s">
        <v>20</v>
      </c>
      <c r="C6" s="649" t="s">
        <v>97</v>
      </c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1"/>
    </row>
    <row r="7" spans="1:16" ht="13.5" customHeight="1">
      <c r="A7" s="439" t="s">
        <v>22</v>
      </c>
      <c r="B7" s="194" t="s">
        <v>21</v>
      </c>
      <c r="C7" s="652" t="s">
        <v>323</v>
      </c>
      <c r="D7" s="653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5" t="s">
        <v>324</v>
      </c>
    </row>
    <row r="8" spans="1:18" ht="13.5" customHeight="1">
      <c r="A8" s="439" t="s">
        <v>23</v>
      </c>
      <c r="B8" s="196" t="s">
        <v>22</v>
      </c>
      <c r="C8" s="656" t="s">
        <v>304</v>
      </c>
      <c r="D8" s="657">
        <v>42</v>
      </c>
      <c r="E8" s="657">
        <f>+D8</f>
        <v>42</v>
      </c>
      <c r="F8" s="657">
        <f>+E8+5500</f>
        <v>5542</v>
      </c>
      <c r="G8" s="657">
        <v>42</v>
      </c>
      <c r="H8" s="657">
        <f aca="true" t="shared" si="0" ref="H8:N8">+G8</f>
        <v>42</v>
      </c>
      <c r="I8" s="657">
        <f>3231+42</f>
        <v>3273</v>
      </c>
      <c r="J8" s="657">
        <v>42</v>
      </c>
      <c r="K8" s="657">
        <f t="shared" si="0"/>
        <v>42</v>
      </c>
      <c r="L8" s="657">
        <f t="shared" si="0"/>
        <v>42</v>
      </c>
      <c r="M8" s="657">
        <f t="shared" si="0"/>
        <v>42</v>
      </c>
      <c r="N8" s="657">
        <f t="shared" si="0"/>
        <v>42</v>
      </c>
      <c r="O8" s="657">
        <f>+N8-4+17723</f>
        <v>17761</v>
      </c>
      <c r="P8" s="658">
        <f>SUM(D8:O8)</f>
        <v>26954</v>
      </c>
      <c r="Q8" s="438">
        <f>+'Bev.intézményenként'!D23</f>
        <v>26954</v>
      </c>
      <c r="R8" s="438">
        <f>+Q8-P8</f>
        <v>0</v>
      </c>
    </row>
    <row r="9" spans="1:18" ht="22.5" customHeight="1">
      <c r="A9" s="439" t="s">
        <v>24</v>
      </c>
      <c r="B9" s="196" t="s">
        <v>23</v>
      </c>
      <c r="C9" s="659" t="s">
        <v>347</v>
      </c>
      <c r="D9" s="660">
        <f>20064+8403+426-12207+5000+1322</f>
        <v>23008</v>
      </c>
      <c r="E9" s="660">
        <f>28467-12207+5000+1500</f>
        <v>22760</v>
      </c>
      <c r="F9" s="660">
        <f>28467+5000</f>
        <v>33467</v>
      </c>
      <c r="G9" s="660">
        <f>20064+6000+15000</f>
        <v>41064</v>
      </c>
      <c r="H9" s="660">
        <f>+G9-8000</f>
        <v>33064</v>
      </c>
      <c r="I9" s="660">
        <f>+H9+276488</f>
        <v>309552</v>
      </c>
      <c r="J9" s="660">
        <f>26064+9000</f>
        <v>35064</v>
      </c>
      <c r="K9" s="660">
        <f>+J9-7000</f>
        <v>28064</v>
      </c>
      <c r="L9" s="660">
        <f>+K9</f>
        <v>28064</v>
      </c>
      <c r="M9" s="660">
        <f>+L9</f>
        <v>28064</v>
      </c>
      <c r="N9" s="660">
        <f>+M9+16881+520+687+1542</f>
        <v>47694</v>
      </c>
      <c r="O9" s="660">
        <f>26249+1182</f>
        <v>27431</v>
      </c>
      <c r="P9" s="661">
        <f>SUM(D9:O9)</f>
        <v>657296</v>
      </c>
      <c r="Q9" s="438">
        <f>+Bevétel!F21</f>
        <v>657296</v>
      </c>
      <c r="R9" s="438">
        <f aca="true" t="shared" si="1" ref="R9:R15">+Q9-P9</f>
        <v>0</v>
      </c>
    </row>
    <row r="10" spans="1:18" ht="13.5" customHeight="1">
      <c r="A10" s="439" t="s">
        <v>25</v>
      </c>
      <c r="B10" s="196" t="s">
        <v>24</v>
      </c>
      <c r="C10" s="656" t="s">
        <v>306</v>
      </c>
      <c r="D10" s="657">
        <f>12937</f>
        <v>12937</v>
      </c>
      <c r="E10" s="657">
        <f>+D10</f>
        <v>12937</v>
      </c>
      <c r="F10" s="657">
        <f aca="true" t="shared" si="2" ref="F10:N10">+E10</f>
        <v>12937</v>
      </c>
      <c r="G10" s="657">
        <f>12937+900</f>
        <v>13837</v>
      </c>
      <c r="H10" s="657">
        <f t="shared" si="2"/>
        <v>13837</v>
      </c>
      <c r="I10" s="657">
        <f>+H10+143</f>
        <v>13980</v>
      </c>
      <c r="J10" s="657">
        <v>13837</v>
      </c>
      <c r="K10" s="657">
        <f t="shared" si="2"/>
        <v>13837</v>
      </c>
      <c r="L10" s="657">
        <f t="shared" si="2"/>
        <v>13837</v>
      </c>
      <c r="M10" s="657">
        <f t="shared" si="2"/>
        <v>13837</v>
      </c>
      <c r="N10" s="657">
        <f t="shared" si="2"/>
        <v>13837</v>
      </c>
      <c r="O10" s="657">
        <f>12936-1-7892+692</f>
        <v>5735</v>
      </c>
      <c r="P10" s="658">
        <f>SUM(D10:O10)</f>
        <v>155385</v>
      </c>
      <c r="Q10" s="438">
        <f>+Bevétel!F17+Bevétel!F13+Bevétel!F12+Bevétel!F11+Bevétel!F10+Bevétel!F8</f>
        <v>155380</v>
      </c>
      <c r="R10" s="438">
        <f t="shared" si="1"/>
        <v>-5</v>
      </c>
    </row>
    <row r="11" spans="1:18" ht="13.5" customHeight="1">
      <c r="A11" s="439" t="s">
        <v>26</v>
      </c>
      <c r="B11" s="196" t="s">
        <v>25</v>
      </c>
      <c r="C11" s="656" t="s">
        <v>307</v>
      </c>
      <c r="D11" s="657">
        <v>5000</v>
      </c>
      <c r="E11" s="657">
        <v>10000</v>
      </c>
      <c r="F11" s="657">
        <v>6094</v>
      </c>
      <c r="G11" s="657"/>
      <c r="H11" s="657"/>
      <c r="I11" s="657"/>
      <c r="J11" s="657"/>
      <c r="K11" s="657"/>
      <c r="L11" s="657">
        <v>14137</v>
      </c>
      <c r="M11" s="657"/>
      <c r="N11" s="657">
        <f>22313+26212-24272-236</f>
        <v>24017</v>
      </c>
      <c r="O11" s="657"/>
      <c r="P11" s="658">
        <f>SUM(D11:O11)</f>
        <v>59248</v>
      </c>
      <c r="Q11" s="438">
        <f>+'Bev.intézményenként'!H23+Bevétel!F15</f>
        <v>59484</v>
      </c>
      <c r="R11" s="438">
        <f t="shared" si="1"/>
        <v>236</v>
      </c>
    </row>
    <row r="12" spans="1:18" ht="13.5" customHeight="1">
      <c r="A12" s="439" t="s">
        <v>27</v>
      </c>
      <c r="B12" s="196" t="s">
        <v>26</v>
      </c>
      <c r="C12" s="656" t="s">
        <v>308</v>
      </c>
      <c r="D12" s="657">
        <f>9845-9092+15000</f>
        <v>15753</v>
      </c>
      <c r="E12" s="657">
        <f>+D12</f>
        <v>15753</v>
      </c>
      <c r="F12" s="657">
        <f>9845+3337+1248+8500</f>
        <v>22930</v>
      </c>
      <c r="G12" s="657">
        <f>13182+10000</f>
        <v>23182</v>
      </c>
      <c r="H12" s="657">
        <f>+G12</f>
        <v>23182</v>
      </c>
      <c r="I12" s="657">
        <f>+H12-16830</f>
        <v>6352</v>
      </c>
      <c r="J12" s="657">
        <v>23182</v>
      </c>
      <c r="K12" s="657">
        <f>+J12</f>
        <v>23182</v>
      </c>
      <c r="L12" s="657">
        <f>+K12</f>
        <v>23182</v>
      </c>
      <c r="M12" s="657">
        <f>+L12+27311</f>
        <v>50493</v>
      </c>
      <c r="N12" s="657">
        <f>+M12-16881+562+20+27310-27311</f>
        <v>34193</v>
      </c>
      <c r="O12" s="657">
        <f>23197+27310</f>
        <v>50507</v>
      </c>
      <c r="P12" s="658">
        <f aca="true" t="shared" si="3" ref="P12:P28">SUM(D12:O12)</f>
        <v>311891</v>
      </c>
      <c r="Q12" s="438">
        <f>+'Bev.intézményenként'!F23</f>
        <v>311891</v>
      </c>
      <c r="R12" s="438">
        <f t="shared" si="1"/>
        <v>0</v>
      </c>
    </row>
    <row r="13" spans="1:18" ht="13.5" customHeight="1">
      <c r="A13" s="439" t="s">
        <v>28</v>
      </c>
      <c r="B13" s="196" t="s">
        <v>27</v>
      </c>
      <c r="C13" s="656" t="s">
        <v>309</v>
      </c>
      <c r="D13" s="657">
        <v>13</v>
      </c>
      <c r="E13" s="657">
        <f>+D13</f>
        <v>13</v>
      </c>
      <c r="F13" s="657">
        <f aca="true" t="shared" si="4" ref="F13:N13">+E13</f>
        <v>13</v>
      </c>
      <c r="G13" s="657">
        <f t="shared" si="4"/>
        <v>13</v>
      </c>
      <c r="H13" s="657">
        <f t="shared" si="4"/>
        <v>13</v>
      </c>
      <c r="I13" s="657">
        <f t="shared" si="4"/>
        <v>13</v>
      </c>
      <c r="J13" s="657">
        <f t="shared" si="4"/>
        <v>13</v>
      </c>
      <c r="K13" s="657">
        <f t="shared" si="4"/>
        <v>13</v>
      </c>
      <c r="L13" s="657">
        <f t="shared" si="4"/>
        <v>13</v>
      </c>
      <c r="M13" s="657">
        <f t="shared" si="4"/>
        <v>13</v>
      </c>
      <c r="N13" s="657">
        <f t="shared" si="4"/>
        <v>13</v>
      </c>
      <c r="O13" s="657">
        <f>+N13-6</f>
        <v>7</v>
      </c>
      <c r="P13" s="658">
        <f>SUM(D13:O13)</f>
        <v>150</v>
      </c>
      <c r="Q13" s="438">
        <f>+Bevétel!F105</f>
        <v>195</v>
      </c>
      <c r="R13" s="438">
        <f t="shared" si="1"/>
        <v>45</v>
      </c>
    </row>
    <row r="14" spans="1:18" ht="21" customHeight="1">
      <c r="A14" s="439" t="s">
        <v>29</v>
      </c>
      <c r="B14" s="196" t="s">
        <v>28</v>
      </c>
      <c r="C14" s="662" t="s">
        <v>310</v>
      </c>
      <c r="D14" s="657"/>
      <c r="E14" s="657"/>
      <c r="F14" s="657">
        <v>75457</v>
      </c>
      <c r="G14" s="657"/>
      <c r="H14" s="657"/>
      <c r="I14" s="657"/>
      <c r="J14" s="657"/>
      <c r="K14" s="657"/>
      <c r="L14" s="657"/>
      <c r="M14" s="657"/>
      <c r="N14" s="657"/>
      <c r="O14" s="657">
        <v>943</v>
      </c>
      <c r="P14" s="658">
        <f t="shared" si="3"/>
        <v>76400</v>
      </c>
      <c r="Q14" s="438">
        <f>+'Bev.intézményenként'!E23</f>
        <v>76400</v>
      </c>
      <c r="R14" s="438">
        <f t="shared" si="1"/>
        <v>0</v>
      </c>
    </row>
    <row r="15" spans="1:18" ht="13.5" customHeight="1" thickBot="1">
      <c r="A15" s="439" t="s">
        <v>30</v>
      </c>
      <c r="B15" s="196" t="s">
        <v>29</v>
      </c>
      <c r="C15" s="656" t="s">
        <v>325</v>
      </c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>
        <f>13173-1435-20+282+84+121916+10566</f>
        <v>144566</v>
      </c>
      <c r="P15" s="658">
        <f t="shared" si="3"/>
        <v>144566</v>
      </c>
      <c r="Q15" s="438">
        <f>+Bevétel!F109</f>
        <v>134000</v>
      </c>
      <c r="R15" s="438">
        <f t="shared" si="1"/>
        <v>-10566</v>
      </c>
    </row>
    <row r="16" spans="1:46" s="435" customFormat="1" ht="13.5" customHeight="1" thickBot="1">
      <c r="A16" s="435" t="s">
        <v>31</v>
      </c>
      <c r="B16" s="191" t="s">
        <v>30</v>
      </c>
      <c r="C16" s="663" t="s">
        <v>311</v>
      </c>
      <c r="D16" s="664">
        <f>SUM(D8:D15)</f>
        <v>56753</v>
      </c>
      <c r="E16" s="664">
        <f aca="true" t="shared" si="5" ref="E16:N16">SUM(E8:E15)</f>
        <v>61505</v>
      </c>
      <c r="F16" s="664">
        <f t="shared" si="5"/>
        <v>156440</v>
      </c>
      <c r="G16" s="664">
        <f t="shared" si="5"/>
        <v>78138</v>
      </c>
      <c r="H16" s="664">
        <f t="shared" si="5"/>
        <v>70138</v>
      </c>
      <c r="I16" s="664">
        <f t="shared" si="5"/>
        <v>333170</v>
      </c>
      <c r="J16" s="664">
        <f t="shared" si="5"/>
        <v>72138</v>
      </c>
      <c r="K16" s="664">
        <f t="shared" si="5"/>
        <v>65138</v>
      </c>
      <c r="L16" s="664">
        <f t="shared" si="5"/>
        <v>79275</v>
      </c>
      <c r="M16" s="664">
        <f t="shared" si="5"/>
        <v>92449</v>
      </c>
      <c r="N16" s="664">
        <f t="shared" si="5"/>
        <v>119796</v>
      </c>
      <c r="O16" s="664">
        <f>SUM(O8:O15)</f>
        <v>246950</v>
      </c>
      <c r="P16" s="664">
        <f>SUM(P8:P15)</f>
        <v>1431890</v>
      </c>
      <c r="Q16" s="438">
        <f>SUM(Q8:Q15)</f>
        <v>1421600</v>
      </c>
      <c r="R16" s="436">
        <f>+'Bev.intézményenként'!L23</f>
        <v>1431890</v>
      </c>
      <c r="S16" s="436">
        <f>+R16-Q16</f>
        <v>10290</v>
      </c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</row>
    <row r="17" spans="1:46" s="435" customFormat="1" ht="13.5" customHeight="1" thickBot="1">
      <c r="A17" s="435" t="s">
        <v>32</v>
      </c>
      <c r="B17" s="191" t="s">
        <v>31</v>
      </c>
      <c r="C17" s="649" t="s">
        <v>119</v>
      </c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1"/>
      <c r="Q17" s="438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</row>
    <row r="18" spans="1:18" ht="13.5" customHeight="1">
      <c r="A18" s="439" t="s">
        <v>33</v>
      </c>
      <c r="B18" s="202" t="s">
        <v>32</v>
      </c>
      <c r="C18" s="665" t="s">
        <v>208</v>
      </c>
      <c r="D18" s="660">
        <f>253+2758+17876</f>
        <v>20887</v>
      </c>
      <c r="E18" s="660">
        <f>264+2758+21087</f>
        <v>24109</v>
      </c>
      <c r="F18" s="660">
        <f>3590+2758+20302</f>
        <v>26650</v>
      </c>
      <c r="G18" s="660">
        <f>+F18+1+18669</f>
        <v>45320</v>
      </c>
      <c r="H18" s="660">
        <f>3590+2914</f>
        <v>6504</v>
      </c>
      <c r="I18" s="660">
        <f>3590+5828+20</f>
        <v>9438</v>
      </c>
      <c r="J18" s="660">
        <f>3590+7599</f>
        <v>11189</v>
      </c>
      <c r="K18" s="660">
        <f>3590+7599</f>
        <v>11189</v>
      </c>
      <c r="L18" s="660">
        <f>3590+7599</f>
        <v>11189</v>
      </c>
      <c r="M18" s="660">
        <f>3590+4685</f>
        <v>8275</v>
      </c>
      <c r="N18" s="660">
        <f>3590+1774+30</f>
        <v>5394</v>
      </c>
      <c r="O18" s="660">
        <f>3587+66509</f>
        <v>70096</v>
      </c>
      <c r="P18" s="661">
        <f>SUM(D18:O18)</f>
        <v>250240</v>
      </c>
      <c r="Q18" s="438">
        <f>+'Kiad.intézményenként'!D22</f>
        <v>250240</v>
      </c>
      <c r="R18" s="438">
        <f aca="true" t="shared" si="6" ref="R18:R25">+Q18-P18</f>
        <v>0</v>
      </c>
    </row>
    <row r="19" spans="1:18" ht="24.75" customHeight="1">
      <c r="A19" s="439" t="s">
        <v>34</v>
      </c>
      <c r="B19" s="196" t="s">
        <v>33</v>
      </c>
      <c r="C19" s="662" t="s">
        <v>312</v>
      </c>
      <c r="D19" s="657">
        <f>65+372+2409</f>
        <v>2846</v>
      </c>
      <c r="E19" s="657">
        <f>67+372+2846</f>
        <v>3285</v>
      </c>
      <c r="F19" s="657">
        <f>516+272+101+2741</f>
        <v>3630</v>
      </c>
      <c r="G19" s="657">
        <f>516+372+2693</f>
        <v>3581</v>
      </c>
      <c r="H19" s="657">
        <f>516+393+2579</f>
        <v>3488</v>
      </c>
      <c r="I19" s="657">
        <f>516+787+5</f>
        <v>1308</v>
      </c>
      <c r="J19" s="657">
        <f>516+1026</f>
        <v>1542</v>
      </c>
      <c r="K19" s="657">
        <f>516+1026</f>
        <v>1542</v>
      </c>
      <c r="L19" s="657">
        <f>516+1026</f>
        <v>1542</v>
      </c>
      <c r="M19" s="657">
        <f>516+632</f>
        <v>1148</v>
      </c>
      <c r="N19" s="657">
        <f>516+236+8</f>
        <v>760</v>
      </c>
      <c r="O19" s="657">
        <f>506+10182</f>
        <v>10688</v>
      </c>
      <c r="P19" s="658">
        <f t="shared" si="3"/>
        <v>35360</v>
      </c>
      <c r="Q19" s="438">
        <f>+'Kiad.intézményenként'!E22</f>
        <v>35360</v>
      </c>
      <c r="R19" s="438">
        <f t="shared" si="6"/>
        <v>0</v>
      </c>
    </row>
    <row r="20" spans="1:18" ht="13.5" customHeight="1">
      <c r="A20" s="439" t="s">
        <v>35</v>
      </c>
      <c r="B20" s="196" t="s">
        <v>34</v>
      </c>
      <c r="C20" s="656" t="s">
        <v>244</v>
      </c>
      <c r="D20" s="657">
        <f>473+3500</f>
        <v>3973</v>
      </c>
      <c r="E20" s="657">
        <f>473+5600</f>
        <v>6073</v>
      </c>
      <c r="F20" s="657">
        <f>473+2650+1689</f>
        <v>4812</v>
      </c>
      <c r="G20" s="657">
        <f>1913+2504</f>
        <v>4417</v>
      </c>
      <c r="H20" s="657">
        <v>473</v>
      </c>
      <c r="I20" s="657">
        <f>473+3464+3500+5+9951</f>
        <v>17393</v>
      </c>
      <c r="J20" s="657">
        <f>473+4650+3500</f>
        <v>8623</v>
      </c>
      <c r="K20" s="657">
        <f>473+505+1185</f>
        <v>2163</v>
      </c>
      <c r="L20" s="657">
        <v>1500</v>
      </c>
      <c r="M20" s="657">
        <v>3550</v>
      </c>
      <c r="N20" s="657">
        <f>4560+520</f>
        <v>5080</v>
      </c>
      <c r="O20" s="657">
        <f>12550+4245</f>
        <v>16795</v>
      </c>
      <c r="P20" s="658">
        <f t="shared" si="3"/>
        <v>74852</v>
      </c>
      <c r="Q20" s="438">
        <f>+'Kiad.intézményenként'!F22</f>
        <v>74852</v>
      </c>
      <c r="R20" s="438">
        <f t="shared" si="6"/>
        <v>0</v>
      </c>
    </row>
    <row r="21" spans="1:18" ht="13.5" customHeight="1">
      <c r="A21" s="439" t="s">
        <v>36</v>
      </c>
      <c r="B21" s="196" t="s">
        <v>35</v>
      </c>
      <c r="C21" s="656" t="s">
        <v>313</v>
      </c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8">
        <f t="shared" si="3"/>
        <v>0</v>
      </c>
      <c r="R21" s="438">
        <f t="shared" si="6"/>
        <v>0</v>
      </c>
    </row>
    <row r="22" spans="1:18" ht="13.5" customHeight="1">
      <c r="A22" s="439" t="s">
        <v>37</v>
      </c>
      <c r="B22" s="196" t="s">
        <v>36</v>
      </c>
      <c r="C22" s="656" t="s">
        <v>314</v>
      </c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8">
        <f t="shared" si="3"/>
        <v>0</v>
      </c>
      <c r="R22" s="438">
        <f t="shared" si="6"/>
        <v>0</v>
      </c>
    </row>
    <row r="23" spans="1:18" ht="13.5" customHeight="1">
      <c r="A23" s="439" t="s">
        <v>40</v>
      </c>
      <c r="B23" s="196" t="s">
        <v>37</v>
      </c>
      <c r="C23" s="656" t="s">
        <v>315</v>
      </c>
      <c r="D23" s="657">
        <v>2239</v>
      </c>
      <c r="E23" s="657">
        <f>+D23</f>
        <v>2239</v>
      </c>
      <c r="F23" s="657">
        <f>+E23</f>
        <v>2239</v>
      </c>
      <c r="G23" s="657">
        <f>2239+35189</f>
        <v>37428</v>
      </c>
      <c r="H23" s="657">
        <v>2239</v>
      </c>
      <c r="I23" s="657">
        <v>2239</v>
      </c>
      <c r="J23" s="657">
        <f>+I23-1217</f>
        <v>1022</v>
      </c>
      <c r="K23" s="657">
        <v>2239</v>
      </c>
      <c r="L23" s="657">
        <f>+K23</f>
        <v>2239</v>
      </c>
      <c r="M23" s="657">
        <f>+L23</f>
        <v>2239</v>
      </c>
      <c r="N23" s="657">
        <f>+M23+282</f>
        <v>2521</v>
      </c>
      <c r="O23" s="657">
        <f>1820+3111</f>
        <v>4931</v>
      </c>
      <c r="P23" s="658">
        <f t="shared" si="3"/>
        <v>63814</v>
      </c>
      <c r="Q23" s="438">
        <f>+'Kiad.intézményenként'!H22</f>
        <v>63814</v>
      </c>
      <c r="R23" s="438">
        <f t="shared" si="6"/>
        <v>0</v>
      </c>
    </row>
    <row r="24" spans="1:18" ht="21" customHeight="1">
      <c r="A24" s="439" t="s">
        <v>42</v>
      </c>
      <c r="B24" s="196" t="s">
        <v>40</v>
      </c>
      <c r="C24" s="662" t="s">
        <v>316</v>
      </c>
      <c r="D24" s="657">
        <v>426</v>
      </c>
      <c r="E24" s="657">
        <f>+D24</f>
        <v>426</v>
      </c>
      <c r="F24" s="657">
        <f aca="true" t="shared" si="7" ref="F24:N24">+E24</f>
        <v>426</v>
      </c>
      <c r="G24" s="657">
        <f t="shared" si="7"/>
        <v>426</v>
      </c>
      <c r="H24" s="657">
        <f t="shared" si="7"/>
        <v>426</v>
      </c>
      <c r="I24" s="657">
        <f t="shared" si="7"/>
        <v>426</v>
      </c>
      <c r="J24" s="657">
        <f t="shared" si="7"/>
        <v>426</v>
      </c>
      <c r="K24" s="657">
        <f>+J24+7175+2871</f>
        <v>10472</v>
      </c>
      <c r="L24" s="657">
        <v>426</v>
      </c>
      <c r="M24" s="657">
        <f t="shared" si="7"/>
        <v>426</v>
      </c>
      <c r="N24" s="657">
        <f t="shared" si="7"/>
        <v>426</v>
      </c>
      <c r="O24" s="657">
        <f>+N24+2+4259</f>
        <v>4687</v>
      </c>
      <c r="P24" s="658">
        <f t="shared" si="3"/>
        <v>19419</v>
      </c>
      <c r="Q24" s="438">
        <f>+'Kiad.intézményenként'!I22</f>
        <v>19419</v>
      </c>
      <c r="R24" s="438">
        <f t="shared" si="6"/>
        <v>0</v>
      </c>
    </row>
    <row r="25" spans="1:18" ht="13.5" customHeight="1">
      <c r="A25" s="439" t="s">
        <v>43</v>
      </c>
      <c r="B25" s="196" t="s">
        <v>42</v>
      </c>
      <c r="C25" s="656" t="s">
        <v>435</v>
      </c>
      <c r="D25" s="657"/>
      <c r="E25" s="657">
        <v>1000</v>
      </c>
      <c r="F25" s="657">
        <v>2000</v>
      </c>
      <c r="G25" s="657"/>
      <c r="H25" s="657"/>
      <c r="I25" s="657">
        <v>1000</v>
      </c>
      <c r="J25" s="657"/>
      <c r="K25" s="657"/>
      <c r="L25" s="657"/>
      <c r="M25" s="657"/>
      <c r="N25" s="657"/>
      <c r="O25" s="657"/>
      <c r="P25" s="658">
        <f t="shared" si="3"/>
        <v>4000</v>
      </c>
      <c r="Q25" s="438">
        <f>+'Kiad.intézményenként'!K22</f>
        <v>4000</v>
      </c>
      <c r="R25" s="438">
        <f t="shared" si="6"/>
        <v>0</v>
      </c>
    </row>
    <row r="26" spans="1:17" ht="13.5" customHeight="1">
      <c r="A26" s="439" t="s">
        <v>44</v>
      </c>
      <c r="B26" s="196" t="s">
        <v>43</v>
      </c>
      <c r="C26" s="656" t="s">
        <v>405</v>
      </c>
      <c r="D26" s="657"/>
      <c r="E26" s="657"/>
      <c r="F26" s="657"/>
      <c r="G26" s="657"/>
      <c r="H26" s="657"/>
      <c r="I26" s="657">
        <f>+Kiadás!F25-134000</f>
        <v>232405</v>
      </c>
      <c r="J26" s="657"/>
      <c r="K26" s="657"/>
      <c r="L26" s="657"/>
      <c r="M26" s="657"/>
      <c r="N26" s="657"/>
      <c r="O26" s="657">
        <v>134000</v>
      </c>
      <c r="P26" s="658">
        <f t="shared" si="3"/>
        <v>366405</v>
      </c>
      <c r="Q26" s="438">
        <f>+Kiadás!F25</f>
        <v>366405</v>
      </c>
    </row>
    <row r="27" spans="1:19" ht="13.5" customHeight="1">
      <c r="A27" s="439" t="s">
        <v>45</v>
      </c>
      <c r="B27" s="196" t="s">
        <v>44</v>
      </c>
      <c r="C27" s="656" t="s">
        <v>319</v>
      </c>
      <c r="D27" s="657"/>
      <c r="E27" s="657"/>
      <c r="F27" s="657"/>
      <c r="G27" s="657">
        <v>6094</v>
      </c>
      <c r="H27" s="657"/>
      <c r="I27" s="657">
        <v>8101</v>
      </c>
      <c r="J27" s="657"/>
      <c r="K27" s="657"/>
      <c r="L27" s="657"/>
      <c r="M27" s="657">
        <f>13483-3000</f>
        <v>10483</v>
      </c>
      <c r="N27" s="657">
        <f>26212-5000-6000</f>
        <v>15212</v>
      </c>
      <c r="O27" s="657">
        <f>36200-9869</f>
        <v>26331</v>
      </c>
      <c r="P27" s="658">
        <f t="shared" si="3"/>
        <v>66221</v>
      </c>
      <c r="Q27" s="438">
        <f>+'Kiad.intézményenként'!L22</f>
        <v>66221</v>
      </c>
      <c r="S27" s="438">
        <f>+Q27-P27</f>
        <v>0</v>
      </c>
    </row>
    <row r="28" spans="1:46" s="435" customFormat="1" ht="13.5" customHeight="1" thickBot="1">
      <c r="A28" s="435" t="s">
        <v>46</v>
      </c>
      <c r="B28" s="196" t="s">
        <v>45</v>
      </c>
      <c r="C28" s="656" t="s">
        <v>320</v>
      </c>
      <c r="D28" s="657">
        <f>+'Könyvtár elői.felhaszn.terve'!D16+'Városellátó elői.felhaszn.terve'!D16+'ESZESZ elői.felhaszn.terve'!D16+'PH elői.felhaszn.terve'!D18</f>
        <v>54243</v>
      </c>
      <c r="E28" s="657">
        <f>+'Könyvtár elői.felhaszn.terve'!E16+'Városellátó elői.felhaszn.terve'!E16+'ESZESZ elői.felhaszn.terve'!E16+'PH elői.felhaszn.terve'!E18</f>
        <v>50669</v>
      </c>
      <c r="F28" s="657">
        <f>+'Könyvtár elői.felhaszn.terve'!F16+'Városellátó elői.felhaszn.terve'!F16+'ESZESZ elői.felhaszn.terve'!F16+'PH elői.felhaszn.terve'!F18</f>
        <v>22443</v>
      </c>
      <c r="G28" s="657">
        <f>+'Könyvtár elői.felhaszn.terve'!G16+'Városellátó elői.felhaszn.terve'!G16+'ESZESZ elői.felhaszn.terve'!G16+'PH elői.felhaszn.terve'!G18</f>
        <v>39590</v>
      </c>
      <c r="H28" s="657">
        <f>+'Könyvtár elői.felhaszn.terve'!H16+'Városellátó elői.felhaszn.terve'!H16+'ESZESZ elői.felhaszn.terve'!H16+'PH elői.felhaszn.terve'!H18</f>
        <v>41678</v>
      </c>
      <c r="I28" s="657">
        <f>+'Könyvtár elői.felhaszn.terve'!I16+'Városellátó elői.felhaszn.terve'!I16+'ESZESZ elői.felhaszn.terve'!I16+'PH elői.felhaszn.terve'!I18</f>
        <v>41339</v>
      </c>
      <c r="J28" s="657">
        <f>+'Könyvtár elői.felhaszn.terve'!J16+'Városellátó elői.felhaszn.terve'!J16+'ESZESZ elői.felhaszn.terve'!J16+'PH elői.felhaszn.terve'!J18</f>
        <v>39771</v>
      </c>
      <c r="K28" s="657">
        <f>+'Könyvtár elői.felhaszn.terve'!K16+'Városellátó elői.felhaszn.terve'!K16+'ESZESZ elői.felhaszn.terve'!K16+'PH elői.felhaszn.terve'!K18</f>
        <v>50343</v>
      </c>
      <c r="L28" s="657">
        <f>+'Könyvtár elői.felhaszn.terve'!L16+'Városellátó elői.felhaszn.terve'!L16+'ESZESZ elői.felhaszn.terve'!L16+'PH elői.felhaszn.terve'!L18</f>
        <v>32159</v>
      </c>
      <c r="M28" s="657">
        <f>+'Könyvtár elői.felhaszn.terve'!M16+'Városellátó elői.felhaszn.terve'!M16+'ESZESZ elői.felhaszn.terve'!M16+'PH elői.felhaszn.terve'!M18</f>
        <v>41185</v>
      </c>
      <c r="N28" s="657">
        <f>+'Könyvtár elői.felhaszn.terve'!N16+'Városellátó elői.felhaszn.terve'!N16+'ESZESZ elői.felhaszn.terve'!N16+'PH elői.felhaszn.terve'!N18</f>
        <v>46207</v>
      </c>
      <c r="O28" s="657">
        <f>+'Könyvtár elői.felhaszn.terve'!O16+'Városellátó elői.felhaszn.terve'!O16+'ESZESZ elői.felhaszn.terve'!O16+'PH elői.felhaszn.terve'!O18</f>
        <v>91952</v>
      </c>
      <c r="P28" s="658">
        <f t="shared" si="3"/>
        <v>551579</v>
      </c>
      <c r="Q28" s="438">
        <f>+'Bev.intézményenként'!J33</f>
        <v>551579</v>
      </c>
      <c r="R28" s="436">
        <f>+'Kiad.intézményenként'!N22</f>
        <v>880311</v>
      </c>
      <c r="S28" s="436">
        <f>SUM(Q18:Q27)</f>
        <v>880311</v>
      </c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</row>
    <row r="29" spans="1:46" s="435" customFormat="1" ht="13.5" customHeight="1" thickBot="1">
      <c r="A29" s="435" t="s">
        <v>47</v>
      </c>
      <c r="B29" s="204" t="s">
        <v>46</v>
      </c>
      <c r="C29" s="663" t="s">
        <v>321</v>
      </c>
      <c r="D29" s="664">
        <f>SUM(D18:D28)</f>
        <v>84614</v>
      </c>
      <c r="E29" s="664">
        <f aca="true" t="shared" si="8" ref="E29:O29">SUM(E18:E28)</f>
        <v>87801</v>
      </c>
      <c r="F29" s="664">
        <f t="shared" si="8"/>
        <v>62200</v>
      </c>
      <c r="G29" s="664">
        <f t="shared" si="8"/>
        <v>136856</v>
      </c>
      <c r="H29" s="664">
        <f t="shared" si="8"/>
        <v>54808</v>
      </c>
      <c r="I29" s="664">
        <f t="shared" si="8"/>
        <v>313649</v>
      </c>
      <c r="J29" s="664">
        <f t="shared" si="8"/>
        <v>62573</v>
      </c>
      <c r="K29" s="664">
        <f t="shared" si="8"/>
        <v>77948</v>
      </c>
      <c r="L29" s="664">
        <f t="shared" si="8"/>
        <v>49055</v>
      </c>
      <c r="M29" s="664">
        <f t="shared" si="8"/>
        <v>67306</v>
      </c>
      <c r="N29" s="664">
        <f t="shared" si="8"/>
        <v>75600</v>
      </c>
      <c r="O29" s="664">
        <f t="shared" si="8"/>
        <v>359480</v>
      </c>
      <c r="P29" s="666">
        <f>SUM(D29:O29)</f>
        <v>1431890</v>
      </c>
      <c r="Q29" s="438">
        <f>+'Kiad.intézményenként'!N22+'Bev.intézményenként'!J33+Kiadás!F25</f>
        <v>1798295</v>
      </c>
      <c r="R29" s="436">
        <f>+Q28+R27</f>
        <v>551579</v>
      </c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</row>
    <row r="30" spans="1:46" s="43" customFormat="1" ht="28.5" customHeight="1" thickBot="1">
      <c r="A30" s="43" t="s">
        <v>48</v>
      </c>
      <c r="B30" s="204" t="s">
        <v>47</v>
      </c>
      <c r="C30" s="667" t="s">
        <v>326</v>
      </c>
      <c r="D30" s="668">
        <f>D16-D29</f>
        <v>-27861</v>
      </c>
      <c r="E30" s="668">
        <f aca="true" t="shared" si="9" ref="E30:N30">E16-E29</f>
        <v>-26296</v>
      </c>
      <c r="F30" s="668">
        <f t="shared" si="9"/>
        <v>94240</v>
      </c>
      <c r="G30" s="668">
        <f t="shared" si="9"/>
        <v>-58718</v>
      </c>
      <c r="H30" s="668">
        <f t="shared" si="9"/>
        <v>15330</v>
      </c>
      <c r="I30" s="668">
        <f t="shared" si="9"/>
        <v>19521</v>
      </c>
      <c r="J30" s="668">
        <f t="shared" si="9"/>
        <v>9565</v>
      </c>
      <c r="K30" s="668">
        <f t="shared" si="9"/>
        <v>-12810</v>
      </c>
      <c r="L30" s="668">
        <f t="shared" si="9"/>
        <v>30220</v>
      </c>
      <c r="M30" s="668">
        <f t="shared" si="9"/>
        <v>25143</v>
      </c>
      <c r="N30" s="668">
        <f t="shared" si="9"/>
        <v>44196</v>
      </c>
      <c r="O30" s="668">
        <f>O16-O29</f>
        <v>-112530</v>
      </c>
      <c r="P30" s="669" t="s">
        <v>324</v>
      </c>
      <c r="Q30" s="6">
        <f>+'Kiad.intézményenként'!N22+'Bev.intézményenként'!J33</f>
        <v>1431890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16" ht="13.5" customHeight="1"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6"/>
    </row>
    <row r="32" spans="2:16" ht="13.5" customHeight="1"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6">
        <f>SUM(P18:P28)</f>
        <v>1431890</v>
      </c>
    </row>
    <row r="33" spans="2:18" ht="13.5" customHeight="1"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6"/>
      <c r="R33" s="438">
        <f>+Q28-P28</f>
        <v>0</v>
      </c>
    </row>
    <row r="34" spans="2:16" ht="13.5" customHeight="1"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6"/>
    </row>
    <row r="35" spans="2:16" ht="13.5" customHeight="1"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6"/>
    </row>
    <row r="36" spans="2:16" ht="13.5" customHeight="1"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6"/>
    </row>
    <row r="37" spans="2:16" ht="13.5" customHeight="1"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6"/>
    </row>
    <row r="38" spans="2:16" ht="13.5" customHeight="1"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6"/>
    </row>
    <row r="39" spans="2:16" ht="13.5" customHeight="1"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6"/>
    </row>
    <row r="40" spans="2:16" ht="13.5" customHeight="1"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6"/>
    </row>
    <row r="41" spans="2:16" ht="13.5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6"/>
    </row>
    <row r="42" spans="2:16" ht="13.5" customHeight="1"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6"/>
    </row>
    <row r="43" spans="2:16" ht="13.5" customHeight="1"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6"/>
    </row>
    <row r="44" spans="2:16" ht="13.5" customHeight="1"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6"/>
    </row>
    <row r="45" spans="2:16" ht="13.5" customHeight="1"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6"/>
    </row>
    <row r="46" spans="2:16" ht="13.5" customHeight="1"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6"/>
    </row>
    <row r="47" spans="2:16" ht="13.5" customHeight="1"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6"/>
    </row>
    <row r="48" spans="2:16" ht="13.5" customHeight="1"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6"/>
    </row>
    <row r="49" spans="2:16" ht="13.5" customHeight="1"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6"/>
    </row>
    <row r="50" spans="2:16" ht="13.5" customHeight="1"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6"/>
    </row>
    <row r="51" spans="2:16" ht="13.5" customHeight="1"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6"/>
    </row>
    <row r="52" spans="2:16" ht="13.5" customHeight="1"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6"/>
    </row>
    <row r="53" spans="2:16" ht="13.5" customHeight="1"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6"/>
    </row>
    <row r="54" spans="2:16" ht="13.5" customHeight="1"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6"/>
    </row>
    <row r="55" spans="2:16" ht="13.5" customHeight="1"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6"/>
    </row>
    <row r="56" spans="2:16" ht="13.5" customHeight="1"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6"/>
    </row>
    <row r="57" spans="2:16" ht="13.5" customHeight="1"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6"/>
    </row>
    <row r="58" spans="2:16" ht="13.5" customHeight="1"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6"/>
    </row>
    <row r="59" spans="2:16" ht="13.5" customHeight="1"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6"/>
    </row>
    <row r="60" spans="2:16" ht="13.5" customHeight="1"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6"/>
    </row>
    <row r="61" spans="2:16" ht="13.5" customHeight="1"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6"/>
    </row>
    <row r="62" spans="2:16" ht="13.5" customHeight="1"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6"/>
    </row>
    <row r="63" spans="2:16" ht="13.5" customHeight="1"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6"/>
    </row>
    <row r="64" spans="2:16" ht="13.5" customHeight="1"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6"/>
    </row>
    <row r="65" spans="2:16" ht="13.5" customHeight="1"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6"/>
    </row>
    <row r="66" spans="2:16" ht="13.5" customHeight="1"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6"/>
    </row>
    <row r="67" spans="2:16" ht="13.5" customHeight="1"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6"/>
    </row>
    <row r="68" spans="2:16" ht="13.5" customHeight="1"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6"/>
    </row>
    <row r="69" spans="2:16" ht="13.5" customHeight="1"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6"/>
    </row>
    <row r="70" spans="2:16" ht="13.5" customHeight="1"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6"/>
    </row>
    <row r="71" spans="2:16" ht="13.5" customHeight="1"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6"/>
    </row>
    <row r="72" spans="2:16" ht="13.5" customHeight="1"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6"/>
    </row>
    <row r="73" spans="2:16" ht="13.5" customHeight="1"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6"/>
    </row>
    <row r="74" spans="2:16" ht="13.5" customHeight="1"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6"/>
    </row>
    <row r="75" spans="2:16" ht="13.5" customHeight="1"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6"/>
    </row>
    <row r="76" spans="2:16" ht="13.5" customHeight="1"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6"/>
    </row>
    <row r="77" spans="2:16" ht="13.5" customHeight="1"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6"/>
    </row>
    <row r="78" spans="2:16" ht="13.5" customHeight="1"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6"/>
    </row>
    <row r="79" spans="2:16" ht="13.5" customHeight="1"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6"/>
    </row>
    <row r="80" spans="2:16" ht="13.5" customHeight="1"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6"/>
    </row>
    <row r="81" spans="2:16" ht="13.5" customHeight="1"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6"/>
    </row>
    <row r="82" spans="2:16" ht="13.5" customHeight="1"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6"/>
    </row>
    <row r="83" spans="2:16" ht="13.5" customHeight="1"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6"/>
    </row>
    <row r="84" spans="2:16" ht="13.5" customHeight="1"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6"/>
    </row>
    <row r="85" spans="2:16" ht="13.5" customHeight="1"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6"/>
    </row>
    <row r="86" spans="2:16" ht="13.5" customHeight="1"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438"/>
      <c r="O86" s="438"/>
      <c r="P86" s="436"/>
    </row>
    <row r="87" spans="2:16" ht="13.5" customHeight="1">
      <c r="B87" s="438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6"/>
    </row>
    <row r="88" spans="2:16" ht="13.5" customHeight="1"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6"/>
    </row>
    <row r="89" spans="2:16" ht="13.5" customHeight="1">
      <c r="B89" s="438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6"/>
    </row>
    <row r="90" spans="2:16" ht="13.5" customHeight="1">
      <c r="B90" s="438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6"/>
    </row>
    <row r="91" spans="2:16" ht="13.5" customHeight="1">
      <c r="B91" s="438"/>
      <c r="C91" s="438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6"/>
    </row>
    <row r="92" spans="2:16" ht="13.5" customHeight="1">
      <c r="B92" s="438"/>
      <c r="C92" s="438"/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6"/>
    </row>
    <row r="93" spans="2:16" ht="13.5" customHeight="1">
      <c r="B93" s="438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  <c r="O93" s="438"/>
      <c r="P93" s="436"/>
    </row>
    <row r="94" spans="2:16" ht="13.5" customHeight="1">
      <c r="B94" s="438"/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6"/>
    </row>
    <row r="95" spans="2:16" ht="13.5" customHeight="1">
      <c r="B95" s="438"/>
      <c r="C95" s="438"/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6"/>
    </row>
    <row r="96" spans="2:16" ht="13.5" customHeight="1">
      <c r="B96" s="438"/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6"/>
    </row>
    <row r="97" spans="2:16" ht="13.5" customHeight="1"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6"/>
    </row>
    <row r="98" spans="2:16" ht="13.5" customHeight="1">
      <c r="B98" s="438"/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436"/>
    </row>
    <row r="99" spans="2:16" ht="13.5" customHeight="1">
      <c r="B99" s="438"/>
      <c r="C99" s="438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6"/>
    </row>
    <row r="100" spans="2:16" ht="13.5" customHeight="1">
      <c r="B100" s="438"/>
      <c r="C100" s="438"/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6"/>
    </row>
    <row r="101" spans="2:16" ht="13.5" customHeight="1">
      <c r="B101" s="438"/>
      <c r="C101" s="438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  <c r="N101" s="438"/>
      <c r="O101" s="438"/>
      <c r="P101" s="436"/>
    </row>
    <row r="102" spans="2:16" ht="13.5" customHeight="1">
      <c r="B102" s="438"/>
      <c r="C102" s="438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6"/>
    </row>
    <row r="103" spans="2:16" ht="13.5" customHeight="1">
      <c r="B103" s="438"/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6"/>
    </row>
    <row r="104" spans="2:16" ht="13.5" customHeight="1">
      <c r="B104" s="438"/>
      <c r="C104" s="438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8"/>
      <c r="P104" s="436"/>
    </row>
    <row r="105" spans="2:16" ht="13.5" customHeight="1">
      <c r="B105" s="438"/>
      <c r="C105" s="438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6"/>
    </row>
    <row r="106" spans="2:16" ht="13.5" customHeight="1">
      <c r="B106" s="438"/>
      <c r="C106" s="438"/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6"/>
    </row>
    <row r="107" spans="2:16" ht="13.5" customHeight="1">
      <c r="B107" s="438"/>
      <c r="C107" s="438"/>
      <c r="D107" s="438"/>
      <c r="E107" s="438"/>
      <c r="F107" s="438"/>
      <c r="G107" s="438"/>
      <c r="H107" s="438"/>
      <c r="I107" s="438"/>
      <c r="J107" s="438"/>
      <c r="K107" s="438"/>
      <c r="L107" s="438"/>
      <c r="M107" s="438"/>
      <c r="N107" s="438"/>
      <c r="O107" s="438"/>
      <c r="P107" s="436"/>
    </row>
    <row r="108" spans="2:16" ht="13.5" customHeight="1"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6"/>
    </row>
    <row r="109" spans="2:16" ht="13.5" customHeight="1">
      <c r="B109" s="438"/>
      <c r="C109" s="438"/>
      <c r="D109" s="438"/>
      <c r="E109" s="438"/>
      <c r="F109" s="438"/>
      <c r="G109" s="438"/>
      <c r="H109" s="438"/>
      <c r="I109" s="438"/>
      <c r="J109" s="438"/>
      <c r="K109" s="438"/>
      <c r="L109" s="438"/>
      <c r="M109" s="438"/>
      <c r="N109" s="438"/>
      <c r="O109" s="438"/>
      <c r="P109" s="436"/>
    </row>
    <row r="110" spans="2:16" ht="13.5" customHeight="1">
      <c r="B110" s="438"/>
      <c r="C110" s="438"/>
      <c r="D110" s="438"/>
      <c r="E110" s="438"/>
      <c r="F110" s="438"/>
      <c r="G110" s="438"/>
      <c r="H110" s="438"/>
      <c r="I110" s="438"/>
      <c r="J110" s="438"/>
      <c r="K110" s="438"/>
      <c r="L110" s="438"/>
      <c r="M110" s="438"/>
      <c r="N110" s="438"/>
      <c r="O110" s="438"/>
      <c r="P110" s="436"/>
    </row>
    <row r="111" spans="2:16" ht="13.5" customHeight="1">
      <c r="B111" s="438"/>
      <c r="C111" s="438"/>
      <c r="D111" s="438"/>
      <c r="E111" s="438"/>
      <c r="F111" s="438"/>
      <c r="G111" s="438"/>
      <c r="H111" s="438"/>
      <c r="I111" s="438"/>
      <c r="J111" s="438"/>
      <c r="K111" s="438"/>
      <c r="L111" s="438"/>
      <c r="M111" s="438"/>
      <c r="N111" s="438"/>
      <c r="O111" s="438"/>
      <c r="P111" s="436"/>
    </row>
    <row r="112" spans="2:16" ht="13.5" customHeight="1">
      <c r="B112" s="438"/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6"/>
    </row>
    <row r="113" spans="2:16" ht="13.5" customHeight="1">
      <c r="B113" s="438"/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  <c r="P113" s="436"/>
    </row>
    <row r="114" spans="2:16" ht="13.5" customHeight="1">
      <c r="B114" s="438"/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6"/>
    </row>
    <row r="115" spans="2:16" ht="13.5" customHeight="1">
      <c r="B115" s="438"/>
      <c r="C115" s="438"/>
      <c r="D115" s="438"/>
      <c r="E115" s="438"/>
      <c r="F115" s="438"/>
      <c r="G115" s="438"/>
      <c r="H115" s="438"/>
      <c r="I115" s="438"/>
      <c r="J115" s="438"/>
      <c r="K115" s="438"/>
      <c r="L115" s="438"/>
      <c r="M115" s="438"/>
      <c r="N115" s="438"/>
      <c r="O115" s="438"/>
      <c r="P115" s="436"/>
    </row>
    <row r="116" spans="2:16" ht="13.5" customHeight="1">
      <c r="B116" s="438"/>
      <c r="C116" s="438"/>
      <c r="D116" s="438"/>
      <c r="E116" s="438"/>
      <c r="F116" s="438"/>
      <c r="G116" s="438"/>
      <c r="H116" s="438"/>
      <c r="I116" s="438"/>
      <c r="J116" s="438"/>
      <c r="K116" s="438"/>
      <c r="L116" s="438"/>
      <c r="M116" s="438"/>
      <c r="N116" s="438"/>
      <c r="O116" s="438"/>
      <c r="P116" s="436"/>
    </row>
    <row r="117" spans="2:16" ht="13.5" customHeight="1">
      <c r="B117" s="438"/>
      <c r="C117" s="438"/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6"/>
    </row>
    <row r="118" spans="2:16" ht="13.5" customHeight="1">
      <c r="B118" s="438"/>
      <c r="C118" s="438"/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  <c r="O118" s="438"/>
      <c r="P118" s="436"/>
    </row>
    <row r="119" spans="2:16" ht="13.5" customHeight="1">
      <c r="B119" s="438"/>
      <c r="C119" s="438"/>
      <c r="D119" s="438"/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8"/>
      <c r="P119" s="436"/>
    </row>
    <row r="120" spans="2:16" ht="13.5" customHeight="1">
      <c r="B120" s="438"/>
      <c r="C120" s="438"/>
      <c r="D120" s="438"/>
      <c r="E120" s="438"/>
      <c r="F120" s="438"/>
      <c r="G120" s="438"/>
      <c r="H120" s="438"/>
      <c r="I120" s="438"/>
      <c r="J120" s="438"/>
      <c r="K120" s="438"/>
      <c r="L120" s="438"/>
      <c r="M120" s="438"/>
      <c r="N120" s="438"/>
      <c r="O120" s="438"/>
      <c r="P120" s="436"/>
    </row>
    <row r="121" spans="2:16" ht="13.5" customHeight="1">
      <c r="B121" s="438"/>
      <c r="C121" s="438"/>
      <c r="D121" s="438"/>
      <c r="E121" s="438"/>
      <c r="F121" s="438"/>
      <c r="G121" s="438"/>
      <c r="H121" s="438"/>
      <c r="I121" s="438"/>
      <c r="J121" s="438"/>
      <c r="K121" s="438"/>
      <c r="L121" s="438"/>
      <c r="M121" s="438"/>
      <c r="N121" s="438"/>
      <c r="O121" s="438"/>
      <c r="P121" s="436"/>
    </row>
    <row r="122" spans="2:16" ht="13.5" customHeight="1"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6"/>
    </row>
    <row r="123" spans="2:16" ht="13.5" customHeight="1">
      <c r="B123" s="438"/>
      <c r="C123" s="438"/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8"/>
      <c r="P123" s="436"/>
    </row>
    <row r="124" spans="2:16" ht="13.5" customHeight="1">
      <c r="B124" s="438"/>
      <c r="C124" s="438"/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6"/>
    </row>
    <row r="125" spans="2:16" ht="13.5" customHeight="1">
      <c r="B125" s="438"/>
      <c r="C125" s="438"/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8"/>
      <c r="P125" s="436"/>
    </row>
    <row r="126" spans="2:16" ht="13.5" customHeight="1">
      <c r="B126" s="438"/>
      <c r="C126" s="438"/>
      <c r="D126" s="438"/>
      <c r="E126" s="438"/>
      <c r="F126" s="438"/>
      <c r="G126" s="438"/>
      <c r="H126" s="438"/>
      <c r="I126" s="438"/>
      <c r="J126" s="438"/>
      <c r="K126" s="438"/>
      <c r="L126" s="438"/>
      <c r="M126" s="438"/>
      <c r="N126" s="438"/>
      <c r="O126" s="438"/>
      <c r="P126" s="436"/>
    </row>
    <row r="127" spans="2:16" ht="13.5" customHeight="1">
      <c r="B127" s="438"/>
      <c r="C127" s="438"/>
      <c r="D127" s="438"/>
      <c r="E127" s="438"/>
      <c r="F127" s="438"/>
      <c r="G127" s="438"/>
      <c r="H127" s="438"/>
      <c r="I127" s="438"/>
      <c r="J127" s="438"/>
      <c r="K127" s="438"/>
      <c r="L127" s="438"/>
      <c r="M127" s="438"/>
      <c r="N127" s="438"/>
      <c r="O127" s="438"/>
      <c r="P127" s="436"/>
    </row>
    <row r="128" spans="2:16" ht="13.5" customHeight="1">
      <c r="B128" s="438"/>
      <c r="C128" s="438"/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  <c r="N128" s="438"/>
      <c r="O128" s="438"/>
      <c r="P128" s="436"/>
    </row>
    <row r="129" spans="2:16" ht="13.5" customHeight="1">
      <c r="B129" s="438"/>
      <c r="C129" s="438"/>
      <c r="D129" s="438"/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6"/>
    </row>
    <row r="130" spans="2:16" ht="13.5" customHeight="1">
      <c r="B130" s="438"/>
      <c r="C130" s="438"/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6"/>
    </row>
    <row r="131" spans="2:16" ht="13.5" customHeight="1">
      <c r="B131" s="438"/>
      <c r="C131" s="438"/>
      <c r="D131" s="438"/>
      <c r="E131" s="438"/>
      <c r="F131" s="438"/>
      <c r="G131" s="438"/>
      <c r="H131" s="438"/>
      <c r="I131" s="438"/>
      <c r="J131" s="438"/>
      <c r="K131" s="438"/>
      <c r="L131" s="438"/>
      <c r="M131" s="438"/>
      <c r="N131" s="438"/>
      <c r="O131" s="438"/>
      <c r="P131" s="436"/>
    </row>
    <row r="132" spans="2:16" ht="13.5" customHeight="1">
      <c r="B132" s="438"/>
      <c r="C132" s="438"/>
      <c r="D132" s="438"/>
      <c r="E132" s="438"/>
      <c r="F132" s="438"/>
      <c r="G132" s="438"/>
      <c r="H132" s="438"/>
      <c r="I132" s="438"/>
      <c r="J132" s="438"/>
      <c r="K132" s="438"/>
      <c r="L132" s="438"/>
      <c r="M132" s="438"/>
      <c r="N132" s="438"/>
      <c r="O132" s="438"/>
      <c r="P132" s="436"/>
    </row>
    <row r="133" spans="2:16" ht="13.5" customHeight="1">
      <c r="B133" s="438"/>
      <c r="C133" s="438"/>
      <c r="D133" s="438"/>
      <c r="E133" s="438"/>
      <c r="F133" s="438"/>
      <c r="G133" s="438"/>
      <c r="H133" s="438"/>
      <c r="I133" s="438"/>
      <c r="J133" s="438"/>
      <c r="K133" s="438"/>
      <c r="L133" s="438"/>
      <c r="M133" s="438"/>
      <c r="N133" s="438"/>
      <c r="O133" s="438"/>
      <c r="P133" s="436"/>
    </row>
    <row r="134" spans="2:16" ht="13.5" customHeight="1">
      <c r="B134" s="438"/>
      <c r="C134" s="438"/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6"/>
    </row>
    <row r="135" spans="2:16" ht="13.5" customHeight="1">
      <c r="B135" s="438"/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6"/>
    </row>
    <row r="136" spans="2:16" ht="13.5" customHeight="1"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6"/>
    </row>
    <row r="137" spans="2:16" ht="13.5" customHeight="1">
      <c r="B137" s="438"/>
      <c r="C137" s="438"/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6"/>
    </row>
    <row r="138" spans="2:16" ht="13.5" customHeight="1">
      <c r="B138" s="438"/>
      <c r="C138" s="438"/>
      <c r="D138" s="438"/>
      <c r="E138" s="438"/>
      <c r="F138" s="438"/>
      <c r="G138" s="438"/>
      <c r="H138" s="438"/>
      <c r="I138" s="438"/>
      <c r="J138" s="438"/>
      <c r="K138" s="438"/>
      <c r="L138" s="438"/>
      <c r="M138" s="438"/>
      <c r="N138" s="438"/>
      <c r="O138" s="438"/>
      <c r="P138" s="436"/>
    </row>
    <row r="139" spans="2:16" ht="13.5" customHeight="1">
      <c r="B139" s="438"/>
      <c r="C139" s="438"/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8"/>
      <c r="P139" s="436"/>
    </row>
    <row r="140" spans="2:16" ht="13.5" customHeight="1">
      <c r="B140" s="438"/>
      <c r="C140" s="438"/>
      <c r="D140" s="438"/>
      <c r="E140" s="438"/>
      <c r="F140" s="438"/>
      <c r="G140" s="438"/>
      <c r="H140" s="438"/>
      <c r="I140" s="438"/>
      <c r="J140" s="438"/>
      <c r="K140" s="438"/>
      <c r="L140" s="438"/>
      <c r="M140" s="438"/>
      <c r="N140" s="438"/>
      <c r="O140" s="438"/>
      <c r="P140" s="436"/>
    </row>
    <row r="141" spans="2:16" ht="13.5" customHeight="1">
      <c r="B141" s="438"/>
      <c r="C141" s="438"/>
      <c r="D141" s="438"/>
      <c r="E141" s="438"/>
      <c r="F141" s="438"/>
      <c r="G141" s="438"/>
      <c r="H141" s="438"/>
      <c r="I141" s="438"/>
      <c r="J141" s="438"/>
      <c r="K141" s="438"/>
      <c r="L141" s="438"/>
      <c r="M141" s="438"/>
      <c r="N141" s="438"/>
      <c r="O141" s="438"/>
      <c r="P141" s="436"/>
    </row>
    <row r="142" spans="2:16" ht="13.5" customHeight="1">
      <c r="B142" s="438"/>
      <c r="C142" s="438"/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6"/>
    </row>
    <row r="143" spans="2:16" ht="13.5" customHeight="1">
      <c r="B143" s="438"/>
      <c r="C143" s="438"/>
      <c r="D143" s="438"/>
      <c r="E143" s="438"/>
      <c r="F143" s="438"/>
      <c r="G143" s="438"/>
      <c r="H143" s="438"/>
      <c r="I143" s="438"/>
      <c r="J143" s="438"/>
      <c r="K143" s="438"/>
      <c r="L143" s="438"/>
      <c r="M143" s="438"/>
      <c r="N143" s="438"/>
      <c r="O143" s="438"/>
      <c r="P143" s="436"/>
    </row>
    <row r="144" spans="2:16" ht="13.5" customHeight="1">
      <c r="B144" s="438"/>
      <c r="C144" s="438"/>
      <c r="D144" s="438"/>
      <c r="E144" s="438"/>
      <c r="F144" s="438"/>
      <c r="G144" s="438"/>
      <c r="H144" s="438"/>
      <c r="I144" s="438"/>
      <c r="J144" s="438"/>
      <c r="K144" s="438"/>
      <c r="L144" s="438"/>
      <c r="M144" s="438"/>
      <c r="N144" s="438"/>
      <c r="O144" s="438"/>
      <c r="P144" s="436"/>
    </row>
    <row r="145" spans="2:16" ht="13.5" customHeight="1">
      <c r="B145" s="438"/>
      <c r="C145" s="438"/>
      <c r="D145" s="438"/>
      <c r="E145" s="438"/>
      <c r="F145" s="438"/>
      <c r="G145" s="438"/>
      <c r="H145" s="438"/>
      <c r="I145" s="438"/>
      <c r="J145" s="438"/>
      <c r="K145" s="438"/>
      <c r="L145" s="438"/>
      <c r="M145" s="438"/>
      <c r="N145" s="438"/>
      <c r="O145" s="438"/>
      <c r="P145" s="436"/>
    </row>
    <row r="146" spans="2:16" ht="13.5" customHeight="1">
      <c r="B146" s="438"/>
      <c r="C146" s="438"/>
      <c r="D146" s="438"/>
      <c r="E146" s="438"/>
      <c r="F146" s="438"/>
      <c r="G146" s="438"/>
      <c r="H146" s="438"/>
      <c r="I146" s="438"/>
      <c r="J146" s="438"/>
      <c r="K146" s="438"/>
      <c r="L146" s="438"/>
      <c r="M146" s="438"/>
      <c r="N146" s="438"/>
      <c r="O146" s="438"/>
      <c r="P146" s="436"/>
    </row>
    <row r="147" spans="2:16" ht="13.5" customHeight="1">
      <c r="B147" s="438"/>
      <c r="C147" s="438"/>
      <c r="D147" s="438"/>
      <c r="E147" s="438"/>
      <c r="F147" s="438"/>
      <c r="G147" s="438"/>
      <c r="H147" s="438"/>
      <c r="I147" s="438"/>
      <c r="J147" s="438"/>
      <c r="K147" s="438"/>
      <c r="L147" s="438"/>
      <c r="M147" s="438"/>
      <c r="N147" s="438"/>
      <c r="O147" s="438"/>
      <c r="P147" s="436"/>
    </row>
    <row r="148" spans="2:16" ht="13.5" customHeight="1">
      <c r="B148" s="438"/>
      <c r="C148" s="438"/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6"/>
    </row>
    <row r="149" spans="2:16" ht="13.5" customHeight="1">
      <c r="B149" s="438"/>
      <c r="C149" s="438"/>
      <c r="D149" s="438"/>
      <c r="E149" s="438"/>
      <c r="F149" s="438"/>
      <c r="G149" s="438"/>
      <c r="H149" s="438"/>
      <c r="I149" s="438"/>
      <c r="J149" s="438"/>
      <c r="K149" s="438"/>
      <c r="L149" s="438"/>
      <c r="M149" s="438"/>
      <c r="N149" s="438"/>
      <c r="O149" s="438"/>
      <c r="P149" s="436"/>
    </row>
    <row r="150" spans="2:16" ht="13.5" customHeight="1">
      <c r="B150" s="438"/>
      <c r="C150" s="438"/>
      <c r="D150" s="438"/>
      <c r="E150" s="438"/>
      <c r="F150" s="438"/>
      <c r="G150" s="438"/>
      <c r="H150" s="438"/>
      <c r="I150" s="438"/>
      <c r="J150" s="438"/>
      <c r="K150" s="438"/>
      <c r="L150" s="438"/>
      <c r="M150" s="438"/>
      <c r="N150" s="438"/>
      <c r="O150" s="438"/>
      <c r="P150" s="436"/>
    </row>
    <row r="151" spans="2:16" ht="13.5" customHeight="1">
      <c r="B151" s="438"/>
      <c r="C151" s="438"/>
      <c r="D151" s="438"/>
      <c r="E151" s="438"/>
      <c r="F151" s="438"/>
      <c r="G151" s="438"/>
      <c r="H151" s="438"/>
      <c r="I151" s="438"/>
      <c r="J151" s="438"/>
      <c r="K151" s="438"/>
      <c r="L151" s="438"/>
      <c r="M151" s="438"/>
      <c r="N151" s="438"/>
      <c r="O151" s="438"/>
      <c r="P151" s="436"/>
    </row>
    <row r="152" spans="2:16" ht="13.5" customHeight="1">
      <c r="B152" s="438"/>
      <c r="C152" s="438"/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6"/>
    </row>
    <row r="153" spans="2:16" ht="13.5" customHeight="1">
      <c r="B153" s="438"/>
      <c r="C153" s="438"/>
      <c r="D153" s="438"/>
      <c r="E153" s="438"/>
      <c r="F153" s="438"/>
      <c r="G153" s="438"/>
      <c r="H153" s="438"/>
      <c r="I153" s="438"/>
      <c r="J153" s="438"/>
      <c r="K153" s="438"/>
      <c r="L153" s="438"/>
      <c r="M153" s="438"/>
      <c r="N153" s="438"/>
      <c r="O153" s="438"/>
      <c r="P153" s="436"/>
    </row>
    <row r="154" spans="2:16" ht="13.5" customHeight="1">
      <c r="B154" s="438"/>
      <c r="C154" s="438"/>
      <c r="D154" s="438"/>
      <c r="E154" s="438"/>
      <c r="F154" s="438"/>
      <c r="G154" s="438"/>
      <c r="H154" s="438"/>
      <c r="I154" s="438"/>
      <c r="J154" s="438"/>
      <c r="K154" s="438"/>
      <c r="L154" s="438"/>
      <c r="M154" s="438"/>
      <c r="N154" s="438"/>
      <c r="O154" s="438"/>
      <c r="P154" s="436"/>
    </row>
    <row r="155" spans="2:16" ht="13.5" customHeight="1">
      <c r="B155" s="438"/>
      <c r="C155" s="438"/>
      <c r="D155" s="438"/>
      <c r="E155" s="438"/>
      <c r="F155" s="438"/>
      <c r="G155" s="438"/>
      <c r="H155" s="438"/>
      <c r="I155" s="438"/>
      <c r="J155" s="438"/>
      <c r="K155" s="438"/>
      <c r="L155" s="438"/>
      <c r="M155" s="438"/>
      <c r="N155" s="438"/>
      <c r="O155" s="438"/>
      <c r="P155" s="436"/>
    </row>
    <row r="156" spans="2:16" ht="13.5" customHeight="1">
      <c r="B156" s="438"/>
      <c r="C156" s="438"/>
      <c r="D156" s="438"/>
      <c r="E156" s="438"/>
      <c r="F156" s="438"/>
      <c r="G156" s="438"/>
      <c r="H156" s="438"/>
      <c r="I156" s="438"/>
      <c r="J156" s="438"/>
      <c r="K156" s="438"/>
      <c r="L156" s="438"/>
      <c r="M156" s="438"/>
      <c r="N156" s="438"/>
      <c r="O156" s="438"/>
      <c r="P156" s="436"/>
    </row>
    <row r="157" spans="2:16" ht="13.5" customHeight="1">
      <c r="B157" s="438"/>
      <c r="C157" s="438"/>
      <c r="D157" s="438"/>
      <c r="E157" s="438"/>
      <c r="F157" s="438"/>
      <c r="G157" s="438"/>
      <c r="H157" s="438"/>
      <c r="I157" s="438"/>
      <c r="J157" s="438"/>
      <c r="K157" s="438"/>
      <c r="L157" s="438"/>
      <c r="M157" s="438"/>
      <c r="N157" s="438"/>
      <c r="O157" s="438"/>
      <c r="P157" s="436"/>
    </row>
    <row r="158" spans="2:16" ht="13.5" customHeight="1">
      <c r="B158" s="438"/>
      <c r="C158" s="438"/>
      <c r="D158" s="438"/>
      <c r="E158" s="438"/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6"/>
    </row>
    <row r="159" spans="2:16" ht="13.5" customHeight="1">
      <c r="B159" s="438"/>
      <c r="C159" s="438"/>
      <c r="D159" s="438"/>
      <c r="E159" s="438"/>
      <c r="F159" s="438"/>
      <c r="G159" s="438"/>
      <c r="H159" s="438"/>
      <c r="I159" s="438"/>
      <c r="J159" s="438"/>
      <c r="K159" s="438"/>
      <c r="L159" s="438"/>
      <c r="M159" s="438"/>
      <c r="N159" s="438"/>
      <c r="O159" s="438"/>
      <c r="P159" s="436"/>
    </row>
    <row r="160" spans="2:16" ht="13.5" customHeight="1">
      <c r="B160" s="438"/>
      <c r="C160" s="438"/>
      <c r="D160" s="438"/>
      <c r="E160" s="438"/>
      <c r="F160" s="438"/>
      <c r="G160" s="438"/>
      <c r="H160" s="438"/>
      <c r="I160" s="438"/>
      <c r="J160" s="438"/>
      <c r="K160" s="438"/>
      <c r="L160" s="438"/>
      <c r="M160" s="438"/>
      <c r="N160" s="438"/>
      <c r="O160" s="438"/>
      <c r="P160" s="436"/>
    </row>
    <row r="161" spans="2:16" ht="13.5" customHeight="1">
      <c r="B161" s="438"/>
      <c r="C161" s="438"/>
      <c r="D161" s="438"/>
      <c r="E161" s="438"/>
      <c r="F161" s="438"/>
      <c r="G161" s="438"/>
      <c r="H161" s="438"/>
      <c r="I161" s="438"/>
      <c r="J161" s="438"/>
      <c r="K161" s="438"/>
      <c r="L161" s="438"/>
      <c r="M161" s="438"/>
      <c r="N161" s="438"/>
      <c r="O161" s="438"/>
      <c r="P161" s="436"/>
    </row>
    <row r="162" spans="2:16" ht="13.5" customHeight="1">
      <c r="B162" s="438"/>
      <c r="C162" s="438"/>
      <c r="D162" s="438"/>
      <c r="E162" s="438"/>
      <c r="F162" s="438"/>
      <c r="G162" s="438"/>
      <c r="H162" s="438"/>
      <c r="I162" s="438"/>
      <c r="J162" s="438"/>
      <c r="K162" s="438"/>
      <c r="L162" s="438"/>
      <c r="M162" s="438"/>
      <c r="N162" s="438"/>
      <c r="O162" s="438"/>
      <c r="P162" s="436"/>
    </row>
    <row r="163" spans="2:16" ht="13.5" customHeight="1">
      <c r="B163" s="438"/>
      <c r="C163" s="438"/>
      <c r="D163" s="438"/>
      <c r="E163" s="438"/>
      <c r="F163" s="438"/>
      <c r="G163" s="438"/>
      <c r="H163" s="438"/>
      <c r="I163" s="438"/>
      <c r="J163" s="438"/>
      <c r="K163" s="438"/>
      <c r="L163" s="438"/>
      <c r="M163" s="438"/>
      <c r="N163" s="438"/>
      <c r="O163" s="438"/>
      <c r="P163" s="436"/>
    </row>
    <row r="164" spans="2:16" ht="13.5" customHeight="1">
      <c r="B164" s="438"/>
      <c r="C164" s="438"/>
      <c r="D164" s="438"/>
      <c r="E164" s="438"/>
      <c r="F164" s="438"/>
      <c r="G164" s="438"/>
      <c r="H164" s="438"/>
      <c r="I164" s="438"/>
      <c r="J164" s="438"/>
      <c r="K164" s="438"/>
      <c r="L164" s="438"/>
      <c r="M164" s="438"/>
      <c r="N164" s="438"/>
      <c r="O164" s="438"/>
      <c r="P164" s="436"/>
    </row>
    <row r="165" spans="2:16" ht="13.5" customHeight="1">
      <c r="B165" s="438"/>
      <c r="C165" s="438"/>
      <c r="D165" s="438"/>
      <c r="E165" s="438"/>
      <c r="F165" s="438"/>
      <c r="G165" s="438"/>
      <c r="H165" s="438"/>
      <c r="I165" s="438"/>
      <c r="J165" s="438"/>
      <c r="K165" s="438"/>
      <c r="L165" s="438"/>
      <c r="M165" s="438"/>
      <c r="N165" s="438"/>
      <c r="O165" s="438"/>
      <c r="P165" s="436"/>
    </row>
    <row r="166" spans="2:16" ht="13.5" customHeight="1">
      <c r="B166" s="438"/>
      <c r="C166" s="438"/>
      <c r="D166" s="438"/>
      <c r="E166" s="438"/>
      <c r="F166" s="438"/>
      <c r="G166" s="438"/>
      <c r="H166" s="438"/>
      <c r="I166" s="438"/>
      <c r="J166" s="438"/>
      <c r="K166" s="438"/>
      <c r="L166" s="438"/>
      <c r="M166" s="438"/>
      <c r="N166" s="438"/>
      <c r="O166" s="438"/>
      <c r="P166" s="436"/>
    </row>
    <row r="167" spans="2:16" ht="13.5" customHeight="1">
      <c r="B167" s="438"/>
      <c r="C167" s="438"/>
      <c r="D167" s="438"/>
      <c r="E167" s="438"/>
      <c r="F167" s="438"/>
      <c r="G167" s="438"/>
      <c r="H167" s="438"/>
      <c r="I167" s="438"/>
      <c r="J167" s="438"/>
      <c r="K167" s="438"/>
      <c r="L167" s="438"/>
      <c r="M167" s="438"/>
      <c r="N167" s="438"/>
      <c r="O167" s="438"/>
      <c r="P167" s="436"/>
    </row>
    <row r="168" spans="2:16" ht="13.5" customHeight="1">
      <c r="B168" s="438"/>
      <c r="C168" s="438"/>
      <c r="D168" s="438"/>
      <c r="E168" s="438"/>
      <c r="F168" s="438"/>
      <c r="G168" s="438"/>
      <c r="H168" s="438"/>
      <c r="I168" s="438"/>
      <c r="J168" s="438"/>
      <c r="K168" s="438"/>
      <c r="L168" s="438"/>
      <c r="M168" s="438"/>
      <c r="N168" s="438"/>
      <c r="O168" s="438"/>
      <c r="P168" s="436"/>
    </row>
    <row r="169" spans="2:16" ht="13.5" customHeight="1">
      <c r="B169" s="438"/>
      <c r="C169" s="438"/>
      <c r="D169" s="438"/>
      <c r="E169" s="438"/>
      <c r="F169" s="438"/>
      <c r="G169" s="438"/>
      <c r="H169" s="438"/>
      <c r="I169" s="438"/>
      <c r="J169" s="438"/>
      <c r="K169" s="438"/>
      <c r="L169" s="438"/>
      <c r="M169" s="438"/>
      <c r="N169" s="438"/>
      <c r="O169" s="438"/>
      <c r="P169" s="436"/>
    </row>
    <row r="170" spans="2:16" ht="13.5" customHeight="1">
      <c r="B170" s="438"/>
      <c r="C170" s="438"/>
      <c r="D170" s="438"/>
      <c r="E170" s="438"/>
      <c r="F170" s="438"/>
      <c r="G170" s="438"/>
      <c r="H170" s="438"/>
      <c r="I170" s="438"/>
      <c r="J170" s="438"/>
      <c r="K170" s="438"/>
      <c r="L170" s="438"/>
      <c r="M170" s="438"/>
      <c r="N170" s="438"/>
      <c r="O170" s="438"/>
      <c r="P170" s="436"/>
    </row>
    <row r="171" spans="2:16" ht="13.5" customHeight="1">
      <c r="B171" s="438"/>
      <c r="C171" s="438"/>
      <c r="D171" s="438"/>
      <c r="E171" s="438"/>
      <c r="F171" s="438"/>
      <c r="G171" s="438"/>
      <c r="H171" s="438"/>
      <c r="I171" s="438"/>
      <c r="J171" s="438"/>
      <c r="K171" s="438"/>
      <c r="L171" s="438"/>
      <c r="M171" s="438"/>
      <c r="N171" s="438"/>
      <c r="O171" s="438"/>
      <c r="P171" s="436"/>
    </row>
    <row r="172" spans="2:16" ht="13.5" customHeight="1">
      <c r="B172" s="438"/>
      <c r="C172" s="438"/>
      <c r="D172" s="438"/>
      <c r="E172" s="438"/>
      <c r="F172" s="438"/>
      <c r="G172" s="438"/>
      <c r="H172" s="438"/>
      <c r="I172" s="438"/>
      <c r="J172" s="438"/>
      <c r="K172" s="438"/>
      <c r="L172" s="438"/>
      <c r="M172" s="438"/>
      <c r="N172" s="438"/>
      <c r="O172" s="438"/>
      <c r="P172" s="436"/>
    </row>
    <row r="173" spans="2:16" ht="13.5" customHeight="1">
      <c r="B173" s="438"/>
      <c r="C173" s="438"/>
      <c r="D173" s="438"/>
      <c r="E173" s="438"/>
      <c r="F173" s="438"/>
      <c r="G173" s="438"/>
      <c r="H173" s="438"/>
      <c r="I173" s="438"/>
      <c r="J173" s="438"/>
      <c r="K173" s="438"/>
      <c r="L173" s="438"/>
      <c r="M173" s="438"/>
      <c r="N173" s="438"/>
      <c r="O173" s="438"/>
      <c r="P173" s="436"/>
    </row>
    <row r="174" spans="2:16" ht="13.5" customHeight="1">
      <c r="B174" s="438"/>
      <c r="C174" s="438"/>
      <c r="D174" s="438"/>
      <c r="E174" s="438"/>
      <c r="F174" s="438"/>
      <c r="G174" s="438"/>
      <c r="H174" s="438"/>
      <c r="I174" s="438"/>
      <c r="J174" s="438"/>
      <c r="K174" s="438"/>
      <c r="L174" s="438"/>
      <c r="M174" s="438"/>
      <c r="N174" s="438"/>
      <c r="O174" s="438"/>
      <c r="P174" s="436"/>
    </row>
    <row r="175" spans="2:16" ht="13.5" customHeight="1">
      <c r="B175" s="438"/>
      <c r="C175" s="438"/>
      <c r="D175" s="438"/>
      <c r="E175" s="438"/>
      <c r="F175" s="438"/>
      <c r="G175" s="438"/>
      <c r="H175" s="438"/>
      <c r="I175" s="438"/>
      <c r="J175" s="438"/>
      <c r="K175" s="438"/>
      <c r="L175" s="438"/>
      <c r="M175" s="438"/>
      <c r="N175" s="438"/>
      <c r="O175" s="438"/>
      <c r="P175" s="436"/>
    </row>
    <row r="176" spans="2:16" ht="13.5" customHeight="1">
      <c r="B176" s="438"/>
      <c r="C176" s="438"/>
      <c r="D176" s="438"/>
      <c r="E176" s="438"/>
      <c r="F176" s="438"/>
      <c r="G176" s="438"/>
      <c r="H176" s="438"/>
      <c r="I176" s="438"/>
      <c r="J176" s="438"/>
      <c r="K176" s="438"/>
      <c r="L176" s="438"/>
      <c r="M176" s="438"/>
      <c r="N176" s="438"/>
      <c r="O176" s="438"/>
      <c r="P176" s="436"/>
    </row>
    <row r="177" spans="2:16" ht="13.5" customHeight="1">
      <c r="B177" s="438"/>
      <c r="C177" s="438"/>
      <c r="D177" s="438"/>
      <c r="E177" s="438"/>
      <c r="F177" s="438"/>
      <c r="G177" s="438"/>
      <c r="H177" s="438"/>
      <c r="I177" s="438"/>
      <c r="J177" s="438"/>
      <c r="K177" s="438"/>
      <c r="L177" s="438"/>
      <c r="M177" s="438"/>
      <c r="N177" s="438"/>
      <c r="O177" s="438"/>
      <c r="P177" s="436"/>
    </row>
    <row r="178" spans="2:16" ht="13.5" customHeight="1">
      <c r="B178" s="438"/>
      <c r="C178" s="438"/>
      <c r="D178" s="438"/>
      <c r="E178" s="438"/>
      <c r="F178" s="438"/>
      <c r="G178" s="438"/>
      <c r="H178" s="438"/>
      <c r="I178" s="438"/>
      <c r="J178" s="438"/>
      <c r="K178" s="438"/>
      <c r="L178" s="438"/>
      <c r="M178" s="438"/>
      <c r="N178" s="438"/>
      <c r="O178" s="438"/>
      <c r="P178" s="436"/>
    </row>
    <row r="179" spans="2:16" ht="13.5" customHeight="1">
      <c r="B179" s="438"/>
      <c r="C179" s="438"/>
      <c r="D179" s="438"/>
      <c r="E179" s="438"/>
      <c r="F179" s="438"/>
      <c r="G179" s="438"/>
      <c r="H179" s="438"/>
      <c r="I179" s="438"/>
      <c r="J179" s="438"/>
      <c r="K179" s="438"/>
      <c r="L179" s="438"/>
      <c r="M179" s="438"/>
      <c r="N179" s="438"/>
      <c r="O179" s="438"/>
      <c r="P179" s="436"/>
    </row>
    <row r="180" spans="2:16" ht="13.5" customHeight="1">
      <c r="B180" s="438"/>
      <c r="C180" s="438"/>
      <c r="D180" s="438"/>
      <c r="E180" s="438"/>
      <c r="F180" s="438"/>
      <c r="G180" s="438"/>
      <c r="H180" s="438"/>
      <c r="I180" s="438"/>
      <c r="J180" s="438"/>
      <c r="K180" s="438"/>
      <c r="L180" s="438"/>
      <c r="M180" s="438"/>
      <c r="N180" s="438"/>
      <c r="O180" s="438"/>
      <c r="P180" s="436"/>
    </row>
    <row r="181" spans="2:16" ht="13.5" customHeight="1">
      <c r="B181" s="438"/>
      <c r="C181" s="438"/>
      <c r="D181" s="438"/>
      <c r="E181" s="438"/>
      <c r="F181" s="438"/>
      <c r="G181" s="438"/>
      <c r="H181" s="438"/>
      <c r="I181" s="438"/>
      <c r="J181" s="438"/>
      <c r="K181" s="438"/>
      <c r="L181" s="438"/>
      <c r="M181" s="438"/>
      <c r="N181" s="438"/>
      <c r="O181" s="438"/>
      <c r="P181" s="436"/>
    </row>
    <row r="182" spans="2:16" ht="13.5" customHeight="1">
      <c r="B182" s="438"/>
      <c r="C182" s="438"/>
      <c r="D182" s="438"/>
      <c r="E182" s="438"/>
      <c r="F182" s="438"/>
      <c r="G182" s="438"/>
      <c r="H182" s="438"/>
      <c r="I182" s="438"/>
      <c r="J182" s="438"/>
      <c r="K182" s="438"/>
      <c r="L182" s="438"/>
      <c r="M182" s="438"/>
      <c r="N182" s="438"/>
      <c r="O182" s="438"/>
      <c r="P182" s="436"/>
    </row>
    <row r="183" spans="2:16" ht="13.5" customHeight="1">
      <c r="B183" s="438"/>
      <c r="C183" s="438"/>
      <c r="D183" s="438"/>
      <c r="E183" s="438"/>
      <c r="F183" s="438"/>
      <c r="G183" s="438"/>
      <c r="H183" s="438"/>
      <c r="I183" s="438"/>
      <c r="J183" s="438"/>
      <c r="K183" s="438"/>
      <c r="L183" s="438"/>
      <c r="M183" s="438"/>
      <c r="N183" s="438"/>
      <c r="O183" s="438"/>
      <c r="P183" s="436"/>
    </row>
    <row r="184" spans="2:16" ht="13.5" customHeight="1">
      <c r="B184" s="438"/>
      <c r="C184" s="438"/>
      <c r="D184" s="438"/>
      <c r="E184" s="438"/>
      <c r="F184" s="438"/>
      <c r="G184" s="438"/>
      <c r="H184" s="438"/>
      <c r="I184" s="438"/>
      <c r="J184" s="438"/>
      <c r="K184" s="438"/>
      <c r="L184" s="438"/>
      <c r="M184" s="438"/>
      <c r="N184" s="438"/>
      <c r="O184" s="438"/>
      <c r="P184" s="436"/>
    </row>
    <row r="185" spans="2:16" ht="13.5" customHeight="1">
      <c r="B185" s="438"/>
      <c r="C185" s="438"/>
      <c r="D185" s="438"/>
      <c r="E185" s="438"/>
      <c r="F185" s="438"/>
      <c r="G185" s="438"/>
      <c r="H185" s="438"/>
      <c r="I185" s="438"/>
      <c r="J185" s="438"/>
      <c r="K185" s="438"/>
      <c r="L185" s="438"/>
      <c r="M185" s="438"/>
      <c r="N185" s="438"/>
      <c r="O185" s="438"/>
      <c r="P185" s="436"/>
    </row>
    <row r="186" spans="2:16" ht="13.5" customHeight="1">
      <c r="B186" s="438"/>
      <c r="C186" s="438"/>
      <c r="D186" s="438"/>
      <c r="E186" s="438"/>
      <c r="F186" s="438"/>
      <c r="G186" s="438"/>
      <c r="H186" s="438"/>
      <c r="I186" s="438"/>
      <c r="J186" s="438"/>
      <c r="K186" s="438"/>
      <c r="L186" s="438"/>
      <c r="M186" s="438"/>
      <c r="N186" s="438"/>
      <c r="O186" s="438"/>
      <c r="P186" s="436"/>
    </row>
    <row r="187" spans="2:16" ht="13.5" customHeight="1">
      <c r="B187" s="438"/>
      <c r="C187" s="438"/>
      <c r="D187" s="438"/>
      <c r="E187" s="438"/>
      <c r="F187" s="438"/>
      <c r="G187" s="438"/>
      <c r="H187" s="438"/>
      <c r="I187" s="438"/>
      <c r="J187" s="438"/>
      <c r="K187" s="438"/>
      <c r="L187" s="438"/>
      <c r="M187" s="438"/>
      <c r="N187" s="438"/>
      <c r="O187" s="438"/>
      <c r="P187" s="436"/>
    </row>
    <row r="188" spans="2:16" ht="13.5" customHeight="1">
      <c r="B188" s="438"/>
      <c r="C188" s="438"/>
      <c r="D188" s="438"/>
      <c r="E188" s="438"/>
      <c r="F188" s="438"/>
      <c r="G188" s="438"/>
      <c r="H188" s="438"/>
      <c r="I188" s="438"/>
      <c r="J188" s="438"/>
      <c r="K188" s="438"/>
      <c r="L188" s="438"/>
      <c r="M188" s="438"/>
      <c r="N188" s="438"/>
      <c r="O188" s="438"/>
      <c r="P188" s="436"/>
    </row>
    <row r="189" spans="2:16" ht="13.5" customHeight="1">
      <c r="B189" s="438"/>
      <c r="C189" s="438"/>
      <c r="D189" s="438"/>
      <c r="E189" s="438"/>
      <c r="F189" s="438"/>
      <c r="G189" s="438"/>
      <c r="H189" s="438"/>
      <c r="I189" s="438"/>
      <c r="J189" s="438"/>
      <c r="K189" s="438"/>
      <c r="L189" s="438"/>
      <c r="M189" s="438"/>
      <c r="N189" s="438"/>
      <c r="O189" s="438"/>
      <c r="P189" s="436"/>
    </row>
    <row r="190" spans="2:16" ht="13.5" customHeight="1">
      <c r="B190" s="438"/>
      <c r="C190" s="438"/>
      <c r="D190" s="438"/>
      <c r="E190" s="438"/>
      <c r="F190" s="438"/>
      <c r="G190" s="438"/>
      <c r="H190" s="438"/>
      <c r="I190" s="438"/>
      <c r="J190" s="438"/>
      <c r="K190" s="438"/>
      <c r="L190" s="438"/>
      <c r="M190" s="438"/>
      <c r="N190" s="438"/>
      <c r="O190" s="438"/>
      <c r="P190" s="436"/>
    </row>
    <row r="191" spans="2:16" ht="13.5" customHeight="1">
      <c r="B191" s="438"/>
      <c r="C191" s="438"/>
      <c r="D191" s="438"/>
      <c r="E191" s="438"/>
      <c r="F191" s="438"/>
      <c r="G191" s="438"/>
      <c r="H191" s="438"/>
      <c r="I191" s="438"/>
      <c r="J191" s="438"/>
      <c r="K191" s="438"/>
      <c r="L191" s="438"/>
      <c r="M191" s="438"/>
      <c r="N191" s="438"/>
      <c r="O191" s="438"/>
      <c r="P191" s="436"/>
    </row>
    <row r="192" spans="2:16" ht="13.5" customHeight="1">
      <c r="B192" s="438"/>
      <c r="C192" s="438"/>
      <c r="D192" s="438"/>
      <c r="E192" s="438"/>
      <c r="F192" s="438"/>
      <c r="G192" s="438"/>
      <c r="H192" s="438"/>
      <c r="I192" s="438"/>
      <c r="J192" s="438"/>
      <c r="K192" s="438"/>
      <c r="L192" s="438"/>
      <c r="M192" s="438"/>
      <c r="N192" s="438"/>
      <c r="O192" s="438"/>
      <c r="P192" s="436"/>
    </row>
    <row r="193" spans="2:16" ht="13.5" customHeight="1">
      <c r="B193" s="438"/>
      <c r="C193" s="438"/>
      <c r="D193" s="438"/>
      <c r="E193" s="438"/>
      <c r="F193" s="438"/>
      <c r="G193" s="438"/>
      <c r="H193" s="438"/>
      <c r="I193" s="438"/>
      <c r="J193" s="438"/>
      <c r="K193" s="438"/>
      <c r="L193" s="438"/>
      <c r="M193" s="438"/>
      <c r="N193" s="438"/>
      <c r="O193" s="438"/>
      <c r="P193" s="436"/>
    </row>
    <row r="194" spans="2:16" ht="13.5" customHeight="1">
      <c r="B194" s="438"/>
      <c r="C194" s="438"/>
      <c r="D194" s="438"/>
      <c r="E194" s="438"/>
      <c r="F194" s="438"/>
      <c r="G194" s="438"/>
      <c r="H194" s="438"/>
      <c r="I194" s="438"/>
      <c r="J194" s="438"/>
      <c r="K194" s="438"/>
      <c r="L194" s="438"/>
      <c r="M194" s="438"/>
      <c r="N194" s="438"/>
      <c r="O194" s="438"/>
      <c r="P194" s="436"/>
    </row>
    <row r="195" spans="2:16" ht="13.5" customHeight="1">
      <c r="B195" s="438"/>
      <c r="C195" s="438"/>
      <c r="D195" s="438"/>
      <c r="E195" s="438"/>
      <c r="F195" s="438"/>
      <c r="G195" s="438"/>
      <c r="H195" s="438"/>
      <c r="I195" s="438"/>
      <c r="J195" s="438"/>
      <c r="K195" s="438"/>
      <c r="L195" s="438"/>
      <c r="M195" s="438"/>
      <c r="N195" s="438"/>
      <c r="O195" s="438"/>
      <c r="P195" s="436"/>
    </row>
    <row r="196" spans="2:16" ht="13.5" customHeight="1">
      <c r="B196" s="438"/>
      <c r="C196" s="438"/>
      <c r="D196" s="438"/>
      <c r="E196" s="438"/>
      <c r="F196" s="438"/>
      <c r="G196" s="438"/>
      <c r="H196" s="438"/>
      <c r="I196" s="438"/>
      <c r="J196" s="438"/>
      <c r="K196" s="438"/>
      <c r="L196" s="438"/>
      <c r="M196" s="438"/>
      <c r="N196" s="438"/>
      <c r="O196" s="438"/>
      <c r="P196" s="436"/>
    </row>
    <row r="197" spans="2:16" ht="13.5" customHeight="1">
      <c r="B197" s="438"/>
      <c r="C197" s="438"/>
      <c r="D197" s="438"/>
      <c r="E197" s="438"/>
      <c r="F197" s="438"/>
      <c r="G197" s="438"/>
      <c r="H197" s="438"/>
      <c r="I197" s="438"/>
      <c r="J197" s="438"/>
      <c r="K197" s="438"/>
      <c r="L197" s="438"/>
      <c r="M197" s="438"/>
      <c r="N197" s="438"/>
      <c r="O197" s="438"/>
      <c r="P197" s="436"/>
    </row>
    <row r="198" spans="2:16" ht="13.5" customHeight="1">
      <c r="B198" s="438"/>
      <c r="C198" s="438"/>
      <c r="D198" s="438"/>
      <c r="E198" s="438"/>
      <c r="F198" s="438"/>
      <c r="G198" s="438"/>
      <c r="H198" s="438"/>
      <c r="I198" s="438"/>
      <c r="J198" s="438"/>
      <c r="K198" s="438"/>
      <c r="L198" s="438"/>
      <c r="M198" s="438"/>
      <c r="N198" s="438"/>
      <c r="O198" s="438"/>
      <c r="P198" s="436"/>
    </row>
    <row r="199" spans="2:16" ht="13.5" customHeight="1">
      <c r="B199" s="438"/>
      <c r="C199" s="438"/>
      <c r="D199" s="438"/>
      <c r="E199" s="438"/>
      <c r="F199" s="438"/>
      <c r="G199" s="438"/>
      <c r="H199" s="438"/>
      <c r="I199" s="438"/>
      <c r="J199" s="438"/>
      <c r="K199" s="438"/>
      <c r="L199" s="438"/>
      <c r="M199" s="438"/>
      <c r="N199" s="438"/>
      <c r="O199" s="438"/>
      <c r="P199" s="436"/>
    </row>
    <row r="200" spans="2:16" ht="13.5" customHeight="1">
      <c r="B200" s="438"/>
      <c r="C200" s="438"/>
      <c r="D200" s="438"/>
      <c r="E200" s="438"/>
      <c r="F200" s="438"/>
      <c r="G200" s="438"/>
      <c r="H200" s="438"/>
      <c r="I200" s="438"/>
      <c r="J200" s="438"/>
      <c r="K200" s="438"/>
      <c r="L200" s="438"/>
      <c r="M200" s="438"/>
      <c r="N200" s="438"/>
      <c r="O200" s="438"/>
      <c r="P200" s="436"/>
    </row>
    <row r="201" spans="2:16" ht="13.5" customHeight="1">
      <c r="B201" s="438"/>
      <c r="C201" s="438"/>
      <c r="D201" s="438"/>
      <c r="E201" s="438"/>
      <c r="F201" s="438"/>
      <c r="G201" s="438"/>
      <c r="H201" s="438"/>
      <c r="I201" s="438"/>
      <c r="J201" s="438"/>
      <c r="K201" s="438"/>
      <c r="L201" s="438"/>
      <c r="M201" s="438"/>
      <c r="N201" s="438"/>
      <c r="O201" s="438"/>
      <c r="P201" s="436"/>
    </row>
    <row r="202" spans="2:16" ht="13.5" customHeight="1">
      <c r="B202" s="438"/>
      <c r="C202" s="438"/>
      <c r="D202" s="438"/>
      <c r="E202" s="438"/>
      <c r="F202" s="438"/>
      <c r="G202" s="438"/>
      <c r="H202" s="438"/>
      <c r="I202" s="438"/>
      <c r="J202" s="438"/>
      <c r="K202" s="438"/>
      <c r="L202" s="438"/>
      <c r="M202" s="438"/>
      <c r="N202" s="438"/>
      <c r="O202" s="438"/>
      <c r="P202" s="436"/>
    </row>
    <row r="203" spans="2:16" ht="13.5" customHeight="1">
      <c r="B203" s="438"/>
      <c r="C203" s="438"/>
      <c r="D203" s="438"/>
      <c r="E203" s="438"/>
      <c r="F203" s="438"/>
      <c r="G203" s="438"/>
      <c r="H203" s="438"/>
      <c r="I203" s="438"/>
      <c r="J203" s="438"/>
      <c r="K203" s="438"/>
      <c r="L203" s="438"/>
      <c r="M203" s="438"/>
      <c r="N203" s="438"/>
      <c r="O203" s="438"/>
      <c r="P203" s="436"/>
    </row>
    <row r="204" spans="2:16" ht="13.5" customHeight="1">
      <c r="B204" s="438"/>
      <c r="C204" s="438"/>
      <c r="D204" s="438"/>
      <c r="E204" s="438"/>
      <c r="F204" s="438"/>
      <c r="G204" s="438"/>
      <c r="H204" s="438"/>
      <c r="I204" s="438"/>
      <c r="J204" s="438"/>
      <c r="K204" s="438"/>
      <c r="L204" s="438"/>
      <c r="M204" s="438"/>
      <c r="N204" s="438"/>
      <c r="O204" s="438"/>
      <c r="P204" s="436"/>
    </row>
    <row r="205" spans="2:16" ht="13.5" customHeight="1">
      <c r="B205" s="438"/>
      <c r="C205" s="438"/>
      <c r="D205" s="438"/>
      <c r="E205" s="438"/>
      <c r="F205" s="438"/>
      <c r="G205" s="438"/>
      <c r="H205" s="438"/>
      <c r="I205" s="438"/>
      <c r="J205" s="438"/>
      <c r="K205" s="438"/>
      <c r="L205" s="438"/>
      <c r="M205" s="438"/>
      <c r="N205" s="438"/>
      <c r="O205" s="438"/>
      <c r="P205" s="436"/>
    </row>
    <row r="206" spans="2:16" ht="13.5" customHeight="1">
      <c r="B206" s="438"/>
      <c r="C206" s="438"/>
      <c r="D206" s="438"/>
      <c r="E206" s="438"/>
      <c r="F206" s="438"/>
      <c r="G206" s="438"/>
      <c r="H206" s="438"/>
      <c r="I206" s="438"/>
      <c r="J206" s="438"/>
      <c r="K206" s="438"/>
      <c r="L206" s="438"/>
      <c r="M206" s="438"/>
      <c r="N206" s="438"/>
      <c r="O206" s="438"/>
      <c r="P206" s="436"/>
    </row>
    <row r="207" spans="2:16" ht="13.5" customHeight="1">
      <c r="B207" s="438"/>
      <c r="C207" s="438"/>
      <c r="D207" s="438"/>
      <c r="E207" s="438"/>
      <c r="F207" s="438"/>
      <c r="G207" s="438"/>
      <c r="H207" s="438"/>
      <c r="I207" s="438"/>
      <c r="J207" s="438"/>
      <c r="K207" s="438"/>
      <c r="L207" s="438"/>
      <c r="M207" s="438"/>
      <c r="N207" s="438"/>
      <c r="O207" s="438"/>
      <c r="P207" s="436"/>
    </row>
    <row r="208" spans="2:16" ht="13.5" customHeight="1">
      <c r="B208" s="438"/>
      <c r="C208" s="438"/>
      <c r="D208" s="438"/>
      <c r="E208" s="438"/>
      <c r="F208" s="438"/>
      <c r="G208" s="438"/>
      <c r="H208" s="438"/>
      <c r="I208" s="438"/>
      <c r="J208" s="438"/>
      <c r="K208" s="438"/>
      <c r="L208" s="438"/>
      <c r="M208" s="438"/>
      <c r="N208" s="438"/>
      <c r="O208" s="438"/>
      <c r="P208" s="436"/>
    </row>
    <row r="209" spans="2:16" ht="13.5" customHeight="1">
      <c r="B209" s="438"/>
      <c r="C209" s="438"/>
      <c r="D209" s="438"/>
      <c r="E209" s="438"/>
      <c r="F209" s="438"/>
      <c r="G209" s="438"/>
      <c r="H209" s="438"/>
      <c r="I209" s="438"/>
      <c r="J209" s="438"/>
      <c r="K209" s="438"/>
      <c r="L209" s="438"/>
      <c r="M209" s="438"/>
      <c r="N209" s="438"/>
      <c r="O209" s="438"/>
      <c r="P209" s="436"/>
    </row>
    <row r="210" spans="2:16" ht="13.5" customHeight="1">
      <c r="B210" s="438"/>
      <c r="C210" s="438"/>
      <c r="D210" s="438"/>
      <c r="E210" s="438"/>
      <c r="F210" s="438"/>
      <c r="G210" s="438"/>
      <c r="H210" s="438"/>
      <c r="I210" s="438"/>
      <c r="J210" s="438"/>
      <c r="K210" s="438"/>
      <c r="L210" s="438"/>
      <c r="M210" s="438"/>
      <c r="N210" s="438"/>
      <c r="O210" s="438"/>
      <c r="P210" s="436"/>
    </row>
    <row r="211" spans="2:16" ht="13.5" customHeight="1">
      <c r="B211" s="438"/>
      <c r="C211" s="438"/>
      <c r="D211" s="438"/>
      <c r="E211" s="438"/>
      <c r="F211" s="438"/>
      <c r="G211" s="438"/>
      <c r="H211" s="438"/>
      <c r="I211" s="438"/>
      <c r="J211" s="438"/>
      <c r="K211" s="438"/>
      <c r="L211" s="438"/>
      <c r="M211" s="438"/>
      <c r="N211" s="438"/>
      <c r="O211" s="438"/>
      <c r="P211" s="436"/>
    </row>
    <row r="212" spans="2:16" ht="13.5" customHeight="1">
      <c r="B212" s="438"/>
      <c r="C212" s="438"/>
      <c r="D212" s="438"/>
      <c r="E212" s="438"/>
      <c r="F212" s="438"/>
      <c r="G212" s="438"/>
      <c r="H212" s="438"/>
      <c r="I212" s="438"/>
      <c r="J212" s="438"/>
      <c r="K212" s="438"/>
      <c r="L212" s="438"/>
      <c r="M212" s="438"/>
      <c r="N212" s="438"/>
      <c r="O212" s="438"/>
      <c r="P212" s="436"/>
    </row>
    <row r="213" spans="2:16" ht="13.5" customHeight="1">
      <c r="B213" s="438"/>
      <c r="C213" s="438"/>
      <c r="D213" s="438"/>
      <c r="E213" s="438"/>
      <c r="F213" s="438"/>
      <c r="G213" s="438"/>
      <c r="H213" s="438"/>
      <c r="I213" s="438"/>
      <c r="J213" s="438"/>
      <c r="K213" s="438"/>
      <c r="L213" s="438"/>
      <c r="M213" s="438"/>
      <c r="N213" s="438"/>
      <c r="O213" s="438"/>
      <c r="P213" s="436"/>
    </row>
    <row r="214" spans="2:16" ht="13.5" customHeight="1">
      <c r="B214" s="438"/>
      <c r="C214" s="438"/>
      <c r="D214" s="438"/>
      <c r="E214" s="438"/>
      <c r="F214" s="438"/>
      <c r="G214" s="438"/>
      <c r="H214" s="438"/>
      <c r="I214" s="438"/>
      <c r="J214" s="438"/>
      <c r="K214" s="438"/>
      <c r="L214" s="438"/>
      <c r="M214" s="438"/>
      <c r="N214" s="438"/>
      <c r="O214" s="438"/>
      <c r="P214" s="436"/>
    </row>
    <row r="215" spans="2:16" ht="13.5" customHeight="1">
      <c r="B215" s="438"/>
      <c r="C215" s="438"/>
      <c r="D215" s="438"/>
      <c r="E215" s="438"/>
      <c r="F215" s="438"/>
      <c r="G215" s="438"/>
      <c r="H215" s="438"/>
      <c r="I215" s="438"/>
      <c r="J215" s="438"/>
      <c r="K215" s="438"/>
      <c r="L215" s="438"/>
      <c r="M215" s="438"/>
      <c r="N215" s="438"/>
      <c r="O215" s="438"/>
      <c r="P215" s="436"/>
    </row>
    <row r="216" spans="2:16" ht="13.5" customHeight="1">
      <c r="B216" s="438"/>
      <c r="C216" s="438"/>
      <c r="D216" s="438"/>
      <c r="E216" s="438"/>
      <c r="F216" s="438"/>
      <c r="G216" s="438"/>
      <c r="H216" s="438"/>
      <c r="I216" s="438"/>
      <c r="J216" s="438"/>
      <c r="K216" s="438"/>
      <c r="L216" s="438"/>
      <c r="M216" s="438"/>
      <c r="N216" s="438"/>
      <c r="O216" s="438"/>
      <c r="P216" s="436"/>
    </row>
    <row r="217" spans="2:16" ht="13.5" customHeight="1">
      <c r="B217" s="438"/>
      <c r="C217" s="438"/>
      <c r="D217" s="438"/>
      <c r="E217" s="438"/>
      <c r="F217" s="438"/>
      <c r="G217" s="438"/>
      <c r="H217" s="438"/>
      <c r="I217" s="438"/>
      <c r="J217" s="438"/>
      <c r="K217" s="438"/>
      <c r="L217" s="438"/>
      <c r="M217" s="438"/>
      <c r="N217" s="438"/>
      <c r="O217" s="438"/>
      <c r="P217" s="436"/>
    </row>
    <row r="218" spans="2:16" ht="13.5" customHeight="1">
      <c r="B218" s="438"/>
      <c r="C218" s="438"/>
      <c r="D218" s="438"/>
      <c r="E218" s="438"/>
      <c r="F218" s="438"/>
      <c r="G218" s="438"/>
      <c r="H218" s="438"/>
      <c r="I218" s="438"/>
      <c r="J218" s="438"/>
      <c r="K218" s="438"/>
      <c r="L218" s="438"/>
      <c r="M218" s="438"/>
      <c r="N218" s="438"/>
      <c r="O218" s="438"/>
      <c r="P218" s="436"/>
    </row>
    <row r="219" spans="2:16" ht="13.5" customHeight="1">
      <c r="B219" s="438"/>
      <c r="C219" s="438"/>
      <c r="D219" s="438"/>
      <c r="E219" s="438"/>
      <c r="F219" s="438"/>
      <c r="G219" s="438"/>
      <c r="H219" s="438"/>
      <c r="I219" s="438"/>
      <c r="J219" s="438"/>
      <c r="K219" s="438"/>
      <c r="L219" s="438"/>
      <c r="M219" s="438"/>
      <c r="N219" s="438"/>
      <c r="O219" s="438"/>
      <c r="P219" s="436"/>
    </row>
    <row r="220" spans="2:16" ht="13.5" customHeight="1">
      <c r="B220" s="438"/>
      <c r="C220" s="438"/>
      <c r="D220" s="438"/>
      <c r="E220" s="438"/>
      <c r="F220" s="438"/>
      <c r="G220" s="438"/>
      <c r="H220" s="438"/>
      <c r="I220" s="438"/>
      <c r="J220" s="438"/>
      <c r="K220" s="438"/>
      <c r="L220" s="438"/>
      <c r="M220" s="438"/>
      <c r="N220" s="438"/>
      <c r="O220" s="438"/>
      <c r="P220" s="436"/>
    </row>
    <row r="221" spans="2:16" ht="13.5" customHeight="1">
      <c r="B221" s="438"/>
      <c r="C221" s="438"/>
      <c r="D221" s="438"/>
      <c r="E221" s="438"/>
      <c r="F221" s="438"/>
      <c r="G221" s="438"/>
      <c r="H221" s="438"/>
      <c r="I221" s="438"/>
      <c r="J221" s="438"/>
      <c r="K221" s="438"/>
      <c r="L221" s="438"/>
      <c r="M221" s="438"/>
      <c r="N221" s="438"/>
      <c r="O221" s="438"/>
      <c r="P221" s="436"/>
    </row>
    <row r="222" spans="2:16" ht="13.5" customHeight="1">
      <c r="B222" s="438"/>
      <c r="C222" s="438"/>
      <c r="D222" s="438"/>
      <c r="E222" s="438"/>
      <c r="F222" s="438"/>
      <c r="G222" s="438"/>
      <c r="H222" s="438"/>
      <c r="I222" s="438"/>
      <c r="J222" s="438"/>
      <c r="K222" s="438"/>
      <c r="L222" s="438"/>
      <c r="M222" s="438"/>
      <c r="N222" s="438"/>
      <c r="O222" s="438"/>
      <c r="P222" s="436"/>
    </row>
    <row r="223" spans="2:16" ht="13.5" customHeight="1">
      <c r="B223" s="438"/>
      <c r="C223" s="438"/>
      <c r="D223" s="438"/>
      <c r="E223" s="438"/>
      <c r="F223" s="438"/>
      <c r="G223" s="438"/>
      <c r="H223" s="438"/>
      <c r="I223" s="438"/>
      <c r="J223" s="438"/>
      <c r="K223" s="438"/>
      <c r="L223" s="438"/>
      <c r="M223" s="438"/>
      <c r="N223" s="438"/>
      <c r="O223" s="438"/>
      <c r="P223" s="436"/>
    </row>
    <row r="224" spans="2:16" ht="13.5" customHeight="1">
      <c r="B224" s="438"/>
      <c r="C224" s="438"/>
      <c r="D224" s="438"/>
      <c r="E224" s="438"/>
      <c r="F224" s="438"/>
      <c r="G224" s="438"/>
      <c r="H224" s="438"/>
      <c r="I224" s="438"/>
      <c r="J224" s="438"/>
      <c r="K224" s="438"/>
      <c r="L224" s="438"/>
      <c r="M224" s="438"/>
      <c r="N224" s="438"/>
      <c r="O224" s="438"/>
      <c r="P224" s="436"/>
    </row>
    <row r="225" spans="2:16" ht="13.5" customHeight="1">
      <c r="B225" s="438"/>
      <c r="C225" s="438"/>
      <c r="D225" s="438"/>
      <c r="E225" s="438"/>
      <c r="F225" s="438"/>
      <c r="G225" s="438"/>
      <c r="H225" s="438"/>
      <c r="I225" s="438"/>
      <c r="J225" s="438"/>
      <c r="K225" s="438"/>
      <c r="L225" s="438"/>
      <c r="M225" s="438"/>
      <c r="N225" s="438"/>
      <c r="O225" s="438"/>
      <c r="P225" s="436"/>
    </row>
    <row r="226" spans="2:16" ht="13.5" customHeight="1">
      <c r="B226" s="438"/>
      <c r="C226" s="438"/>
      <c r="D226" s="438"/>
      <c r="E226" s="438"/>
      <c r="F226" s="438"/>
      <c r="G226" s="438"/>
      <c r="H226" s="438"/>
      <c r="I226" s="438"/>
      <c r="J226" s="438"/>
      <c r="K226" s="438"/>
      <c r="L226" s="438"/>
      <c r="M226" s="438"/>
      <c r="N226" s="438"/>
      <c r="O226" s="438"/>
      <c r="P226" s="436"/>
    </row>
    <row r="227" spans="2:16" ht="13.5" customHeight="1">
      <c r="B227" s="438"/>
      <c r="C227" s="438"/>
      <c r="D227" s="438"/>
      <c r="E227" s="438"/>
      <c r="F227" s="438"/>
      <c r="G227" s="438"/>
      <c r="H227" s="438"/>
      <c r="I227" s="438"/>
      <c r="J227" s="438"/>
      <c r="K227" s="438"/>
      <c r="L227" s="438"/>
      <c r="M227" s="438"/>
      <c r="N227" s="438"/>
      <c r="O227" s="438"/>
      <c r="P227" s="436"/>
    </row>
    <row r="228" spans="2:16" ht="13.5" customHeight="1">
      <c r="B228" s="438"/>
      <c r="C228" s="438"/>
      <c r="D228" s="438"/>
      <c r="E228" s="438"/>
      <c r="F228" s="438"/>
      <c r="G228" s="438"/>
      <c r="H228" s="438"/>
      <c r="I228" s="438"/>
      <c r="J228" s="438"/>
      <c r="K228" s="438"/>
      <c r="L228" s="438"/>
      <c r="M228" s="438"/>
      <c r="N228" s="438"/>
      <c r="O228" s="438"/>
      <c r="P228" s="436"/>
    </row>
    <row r="229" spans="2:16" ht="13.5" customHeight="1">
      <c r="B229" s="438"/>
      <c r="C229" s="438"/>
      <c r="D229" s="438"/>
      <c r="E229" s="438"/>
      <c r="F229" s="438"/>
      <c r="G229" s="438"/>
      <c r="H229" s="438"/>
      <c r="I229" s="438"/>
      <c r="J229" s="438"/>
      <c r="K229" s="438"/>
      <c r="L229" s="438"/>
      <c r="M229" s="438"/>
      <c r="N229" s="438"/>
      <c r="O229" s="438"/>
      <c r="P229" s="436"/>
    </row>
    <row r="230" spans="2:16" ht="13.5" customHeight="1">
      <c r="B230" s="438"/>
      <c r="C230" s="438"/>
      <c r="D230" s="438"/>
      <c r="E230" s="438"/>
      <c r="F230" s="438"/>
      <c r="G230" s="438"/>
      <c r="H230" s="438"/>
      <c r="I230" s="438"/>
      <c r="J230" s="438"/>
      <c r="K230" s="438"/>
      <c r="L230" s="438"/>
      <c r="M230" s="438"/>
      <c r="N230" s="438"/>
      <c r="O230" s="438"/>
      <c r="P230" s="436"/>
    </row>
    <row r="231" spans="2:16" ht="13.5" customHeight="1">
      <c r="B231" s="438"/>
      <c r="C231" s="438"/>
      <c r="D231" s="438"/>
      <c r="E231" s="438"/>
      <c r="F231" s="438"/>
      <c r="G231" s="438"/>
      <c r="H231" s="438"/>
      <c r="I231" s="438"/>
      <c r="J231" s="438"/>
      <c r="K231" s="438"/>
      <c r="L231" s="438"/>
      <c r="M231" s="438"/>
      <c r="N231" s="438"/>
      <c r="O231" s="438"/>
      <c r="P231" s="436"/>
    </row>
    <row r="232" spans="2:16" ht="13.5" customHeight="1">
      <c r="B232" s="438"/>
      <c r="C232" s="438"/>
      <c r="D232" s="438"/>
      <c r="E232" s="438"/>
      <c r="F232" s="438"/>
      <c r="G232" s="438"/>
      <c r="H232" s="438"/>
      <c r="I232" s="438"/>
      <c r="J232" s="438"/>
      <c r="K232" s="438"/>
      <c r="L232" s="438"/>
      <c r="M232" s="438"/>
      <c r="N232" s="438"/>
      <c r="O232" s="438"/>
      <c r="P232" s="436"/>
    </row>
    <row r="233" spans="2:16" ht="13.5" customHeight="1">
      <c r="B233" s="438"/>
      <c r="C233" s="438"/>
      <c r="D233" s="438"/>
      <c r="E233" s="438"/>
      <c r="F233" s="438"/>
      <c r="G233" s="438"/>
      <c r="H233" s="438"/>
      <c r="I233" s="438"/>
      <c r="J233" s="438"/>
      <c r="K233" s="438"/>
      <c r="L233" s="438"/>
      <c r="M233" s="438"/>
      <c r="N233" s="438"/>
      <c r="O233" s="438"/>
      <c r="P233" s="436"/>
    </row>
    <row r="234" spans="2:16" ht="13.5" customHeight="1">
      <c r="B234" s="438"/>
      <c r="C234" s="438"/>
      <c r="D234" s="438"/>
      <c r="E234" s="438"/>
      <c r="F234" s="438"/>
      <c r="G234" s="438"/>
      <c r="H234" s="438"/>
      <c r="I234" s="438"/>
      <c r="J234" s="438"/>
      <c r="K234" s="438"/>
      <c r="L234" s="438"/>
      <c r="M234" s="438"/>
      <c r="N234" s="438"/>
      <c r="O234" s="438"/>
      <c r="P234" s="436"/>
    </row>
    <row r="235" spans="2:16" ht="13.5" customHeight="1">
      <c r="B235" s="438"/>
      <c r="C235" s="438"/>
      <c r="D235" s="438"/>
      <c r="E235" s="438"/>
      <c r="F235" s="438"/>
      <c r="G235" s="438"/>
      <c r="H235" s="438"/>
      <c r="I235" s="438"/>
      <c r="J235" s="438"/>
      <c r="K235" s="438"/>
      <c r="L235" s="438"/>
      <c r="M235" s="438"/>
      <c r="N235" s="438"/>
      <c r="O235" s="438"/>
      <c r="P235" s="436"/>
    </row>
    <row r="236" spans="2:16" ht="13.5" customHeight="1">
      <c r="B236" s="438"/>
      <c r="C236" s="438"/>
      <c r="D236" s="438"/>
      <c r="E236" s="438"/>
      <c r="F236" s="438"/>
      <c r="G236" s="438"/>
      <c r="H236" s="438"/>
      <c r="I236" s="438"/>
      <c r="J236" s="438"/>
      <c r="K236" s="438"/>
      <c r="L236" s="438"/>
      <c r="M236" s="438"/>
      <c r="N236" s="438"/>
      <c r="O236" s="438"/>
      <c r="P236" s="436"/>
    </row>
    <row r="237" spans="2:16" ht="13.5" customHeight="1">
      <c r="B237" s="438"/>
      <c r="C237" s="438"/>
      <c r="D237" s="438"/>
      <c r="E237" s="438"/>
      <c r="F237" s="438"/>
      <c r="G237" s="438"/>
      <c r="H237" s="438"/>
      <c r="I237" s="438"/>
      <c r="J237" s="438"/>
      <c r="K237" s="438"/>
      <c r="L237" s="438"/>
      <c r="M237" s="438"/>
      <c r="N237" s="438"/>
      <c r="O237" s="438"/>
      <c r="P237" s="436"/>
    </row>
    <row r="238" spans="2:16" ht="13.5" customHeight="1">
      <c r="B238" s="438"/>
      <c r="C238" s="438"/>
      <c r="D238" s="438"/>
      <c r="E238" s="438"/>
      <c r="F238" s="438"/>
      <c r="G238" s="438"/>
      <c r="H238" s="438"/>
      <c r="I238" s="438"/>
      <c r="J238" s="438"/>
      <c r="K238" s="438"/>
      <c r="L238" s="438"/>
      <c r="M238" s="438"/>
      <c r="N238" s="438"/>
      <c r="O238" s="438"/>
      <c r="P238" s="436"/>
    </row>
    <row r="239" spans="2:16" ht="13.5" customHeight="1">
      <c r="B239" s="438"/>
      <c r="C239" s="438"/>
      <c r="D239" s="438"/>
      <c r="E239" s="438"/>
      <c r="F239" s="438"/>
      <c r="G239" s="438"/>
      <c r="H239" s="438"/>
      <c r="I239" s="438"/>
      <c r="J239" s="438"/>
      <c r="K239" s="438"/>
      <c r="L239" s="438"/>
      <c r="M239" s="438"/>
      <c r="N239" s="438"/>
      <c r="O239" s="438"/>
      <c r="P239" s="436"/>
    </row>
    <row r="240" spans="2:16" ht="13.5" customHeight="1">
      <c r="B240" s="438"/>
      <c r="C240" s="438"/>
      <c r="D240" s="438"/>
      <c r="E240" s="438"/>
      <c r="F240" s="438"/>
      <c r="G240" s="438"/>
      <c r="H240" s="438"/>
      <c r="I240" s="438"/>
      <c r="J240" s="438"/>
      <c r="K240" s="438"/>
      <c r="L240" s="438"/>
      <c r="M240" s="438"/>
      <c r="N240" s="438"/>
      <c r="O240" s="438"/>
      <c r="P240" s="436"/>
    </row>
    <row r="241" spans="2:16" ht="13.5" customHeight="1">
      <c r="B241" s="438"/>
      <c r="C241" s="438"/>
      <c r="D241" s="438"/>
      <c r="E241" s="438"/>
      <c r="F241" s="438"/>
      <c r="G241" s="438"/>
      <c r="H241" s="438"/>
      <c r="I241" s="438"/>
      <c r="J241" s="438"/>
      <c r="K241" s="438"/>
      <c r="L241" s="438"/>
      <c r="M241" s="438"/>
      <c r="N241" s="438"/>
      <c r="O241" s="438"/>
      <c r="P241" s="436"/>
    </row>
    <row r="242" spans="2:16" ht="13.5" customHeight="1">
      <c r="B242" s="438"/>
      <c r="C242" s="438"/>
      <c r="D242" s="438"/>
      <c r="E242" s="438"/>
      <c r="F242" s="438"/>
      <c r="G242" s="438"/>
      <c r="H242" s="438"/>
      <c r="I242" s="438"/>
      <c r="J242" s="438"/>
      <c r="K242" s="438"/>
      <c r="L242" s="438"/>
      <c r="M242" s="438"/>
      <c r="N242" s="438"/>
      <c r="O242" s="438"/>
      <c r="P242" s="436"/>
    </row>
    <row r="243" spans="2:16" ht="13.5" customHeight="1">
      <c r="B243" s="438"/>
      <c r="C243" s="438"/>
      <c r="D243" s="438"/>
      <c r="E243" s="438"/>
      <c r="F243" s="438"/>
      <c r="G243" s="438"/>
      <c r="H243" s="438"/>
      <c r="I243" s="438"/>
      <c r="J243" s="438"/>
      <c r="K243" s="438"/>
      <c r="L243" s="438"/>
      <c r="M243" s="438"/>
      <c r="N243" s="438"/>
      <c r="O243" s="438"/>
      <c r="P243" s="436"/>
    </row>
    <row r="244" spans="2:16" ht="13.5" customHeight="1">
      <c r="B244" s="438"/>
      <c r="C244" s="438"/>
      <c r="D244" s="438"/>
      <c r="E244" s="438"/>
      <c r="F244" s="438"/>
      <c r="G244" s="438"/>
      <c r="H244" s="438"/>
      <c r="I244" s="438"/>
      <c r="J244" s="438"/>
      <c r="K244" s="438"/>
      <c r="L244" s="438"/>
      <c r="M244" s="438"/>
      <c r="N244" s="438"/>
      <c r="O244" s="438"/>
      <c r="P244" s="436"/>
    </row>
    <row r="245" spans="2:16" ht="13.5" customHeight="1">
      <c r="B245" s="438"/>
      <c r="C245" s="438"/>
      <c r="D245" s="438"/>
      <c r="E245" s="438"/>
      <c r="F245" s="438"/>
      <c r="G245" s="438"/>
      <c r="H245" s="438"/>
      <c r="I245" s="438"/>
      <c r="J245" s="438"/>
      <c r="K245" s="438"/>
      <c r="L245" s="438"/>
      <c r="M245" s="438"/>
      <c r="N245" s="438"/>
      <c r="O245" s="438"/>
      <c r="P245" s="436"/>
    </row>
    <row r="246" spans="2:16" ht="13.5" customHeight="1">
      <c r="B246" s="438"/>
      <c r="C246" s="438"/>
      <c r="D246" s="438"/>
      <c r="E246" s="438"/>
      <c r="F246" s="438"/>
      <c r="G246" s="438"/>
      <c r="H246" s="438"/>
      <c r="I246" s="438"/>
      <c r="J246" s="438"/>
      <c r="K246" s="438"/>
      <c r="L246" s="438"/>
      <c r="M246" s="438"/>
      <c r="N246" s="438"/>
      <c r="O246" s="438"/>
      <c r="P246" s="436"/>
    </row>
    <row r="247" spans="2:16" ht="13.5" customHeight="1">
      <c r="B247" s="438"/>
      <c r="C247" s="438"/>
      <c r="D247" s="438"/>
      <c r="E247" s="438"/>
      <c r="F247" s="438"/>
      <c r="G247" s="438"/>
      <c r="H247" s="438"/>
      <c r="I247" s="438"/>
      <c r="J247" s="438"/>
      <c r="K247" s="438"/>
      <c r="L247" s="438"/>
      <c r="M247" s="438"/>
      <c r="N247" s="438"/>
      <c r="O247" s="438"/>
      <c r="P247" s="436"/>
    </row>
    <row r="248" spans="2:16" ht="13.5" customHeight="1">
      <c r="B248" s="438"/>
      <c r="C248" s="438"/>
      <c r="D248" s="438"/>
      <c r="E248" s="438"/>
      <c r="F248" s="438"/>
      <c r="G248" s="438"/>
      <c r="H248" s="438"/>
      <c r="I248" s="438"/>
      <c r="J248" s="438"/>
      <c r="K248" s="438"/>
      <c r="L248" s="438"/>
      <c r="M248" s="438"/>
      <c r="N248" s="438"/>
      <c r="O248" s="438"/>
      <c r="P248" s="436"/>
    </row>
    <row r="249" spans="2:16" ht="13.5" customHeight="1">
      <c r="B249" s="438"/>
      <c r="C249" s="438"/>
      <c r="D249" s="438"/>
      <c r="E249" s="438"/>
      <c r="F249" s="438"/>
      <c r="G249" s="438"/>
      <c r="H249" s="438"/>
      <c r="I249" s="438"/>
      <c r="J249" s="438"/>
      <c r="K249" s="438"/>
      <c r="L249" s="438"/>
      <c r="M249" s="438"/>
      <c r="N249" s="438"/>
      <c r="O249" s="438"/>
      <c r="P249" s="436"/>
    </row>
    <row r="250" spans="2:16" ht="13.5" customHeight="1">
      <c r="B250" s="438"/>
      <c r="C250" s="438"/>
      <c r="D250" s="438"/>
      <c r="E250" s="438"/>
      <c r="F250" s="438"/>
      <c r="G250" s="438"/>
      <c r="H250" s="438"/>
      <c r="I250" s="438"/>
      <c r="J250" s="438"/>
      <c r="K250" s="438"/>
      <c r="L250" s="438"/>
      <c r="M250" s="438"/>
      <c r="N250" s="438"/>
      <c r="O250" s="438"/>
      <c r="P250" s="436"/>
    </row>
    <row r="251" spans="2:16" ht="13.5" customHeight="1">
      <c r="B251" s="438"/>
      <c r="C251" s="438"/>
      <c r="D251" s="438"/>
      <c r="E251" s="438"/>
      <c r="F251" s="438"/>
      <c r="G251" s="438"/>
      <c r="H251" s="438"/>
      <c r="I251" s="438"/>
      <c r="J251" s="438"/>
      <c r="K251" s="438"/>
      <c r="L251" s="438"/>
      <c r="M251" s="438"/>
      <c r="N251" s="438"/>
      <c r="O251" s="438"/>
      <c r="P251" s="436"/>
    </row>
    <row r="252" spans="2:16" ht="13.5" customHeight="1">
      <c r="B252" s="438"/>
      <c r="C252" s="438"/>
      <c r="D252" s="438"/>
      <c r="E252" s="438"/>
      <c r="F252" s="438"/>
      <c r="G252" s="438"/>
      <c r="H252" s="438"/>
      <c r="I252" s="438"/>
      <c r="J252" s="438"/>
      <c r="K252" s="438"/>
      <c r="L252" s="438"/>
      <c r="M252" s="438"/>
      <c r="N252" s="438"/>
      <c r="O252" s="438"/>
      <c r="P252" s="436"/>
    </row>
    <row r="253" spans="2:16" ht="13.5" customHeight="1">
      <c r="B253" s="438"/>
      <c r="C253" s="438"/>
      <c r="D253" s="438"/>
      <c r="E253" s="438"/>
      <c r="F253" s="438"/>
      <c r="G253" s="438"/>
      <c r="H253" s="438"/>
      <c r="I253" s="438"/>
      <c r="J253" s="438"/>
      <c r="K253" s="438"/>
      <c r="L253" s="438"/>
      <c r="M253" s="438"/>
      <c r="N253" s="438"/>
      <c r="O253" s="438"/>
      <c r="P253" s="436"/>
    </row>
    <row r="254" spans="2:16" ht="13.5" customHeight="1">
      <c r="B254" s="438"/>
      <c r="C254" s="438"/>
      <c r="D254" s="438"/>
      <c r="E254" s="438"/>
      <c r="F254" s="438"/>
      <c r="G254" s="438"/>
      <c r="H254" s="438"/>
      <c r="I254" s="438"/>
      <c r="J254" s="438"/>
      <c r="K254" s="438"/>
      <c r="L254" s="438"/>
      <c r="M254" s="438"/>
      <c r="N254" s="438"/>
      <c r="O254" s="438"/>
      <c r="P254" s="436"/>
    </row>
    <row r="255" spans="2:16" ht="13.5" customHeight="1">
      <c r="B255" s="438"/>
      <c r="C255" s="438"/>
      <c r="D255" s="438"/>
      <c r="E255" s="438"/>
      <c r="F255" s="438"/>
      <c r="G255" s="438"/>
      <c r="H255" s="438"/>
      <c r="I255" s="438"/>
      <c r="J255" s="438"/>
      <c r="K255" s="438"/>
      <c r="L255" s="438"/>
      <c r="M255" s="438"/>
      <c r="N255" s="438"/>
      <c r="O255" s="438"/>
      <c r="P255" s="436"/>
    </row>
    <row r="256" spans="2:16" ht="13.5" customHeight="1">
      <c r="B256" s="438"/>
      <c r="C256" s="438"/>
      <c r="D256" s="438"/>
      <c r="E256" s="438"/>
      <c r="F256" s="438"/>
      <c r="G256" s="438"/>
      <c r="H256" s="438"/>
      <c r="I256" s="438"/>
      <c r="J256" s="438"/>
      <c r="K256" s="438"/>
      <c r="L256" s="438"/>
      <c r="M256" s="438"/>
      <c r="N256" s="438"/>
      <c r="O256" s="438"/>
      <c r="P256" s="436"/>
    </row>
    <row r="257" spans="2:16" ht="13.5" customHeight="1">
      <c r="B257" s="438"/>
      <c r="C257" s="438"/>
      <c r="D257" s="438"/>
      <c r="E257" s="438"/>
      <c r="F257" s="438"/>
      <c r="G257" s="438"/>
      <c r="H257" s="438"/>
      <c r="I257" s="438"/>
      <c r="J257" s="438"/>
      <c r="K257" s="438"/>
      <c r="L257" s="438"/>
      <c r="M257" s="438"/>
      <c r="N257" s="438"/>
      <c r="O257" s="438"/>
      <c r="P257" s="436"/>
    </row>
    <row r="258" spans="2:16" ht="13.5" customHeight="1">
      <c r="B258" s="438"/>
      <c r="C258" s="438"/>
      <c r="D258" s="438"/>
      <c r="E258" s="438"/>
      <c r="F258" s="438"/>
      <c r="G258" s="438"/>
      <c r="H258" s="438"/>
      <c r="I258" s="438"/>
      <c r="J258" s="438"/>
      <c r="K258" s="438"/>
      <c r="L258" s="438"/>
      <c r="M258" s="438"/>
      <c r="N258" s="438"/>
      <c r="O258" s="438"/>
      <c r="P258" s="436"/>
    </row>
    <row r="259" spans="2:16" ht="13.5" customHeight="1">
      <c r="B259" s="438"/>
      <c r="C259" s="438"/>
      <c r="D259" s="438"/>
      <c r="E259" s="438"/>
      <c r="F259" s="438"/>
      <c r="G259" s="438"/>
      <c r="H259" s="438"/>
      <c r="I259" s="438"/>
      <c r="J259" s="438"/>
      <c r="K259" s="438"/>
      <c r="L259" s="438"/>
      <c r="M259" s="438"/>
      <c r="N259" s="438"/>
      <c r="O259" s="438"/>
      <c r="P259" s="436"/>
    </row>
    <row r="260" spans="2:16" ht="13.5" customHeight="1">
      <c r="B260" s="438"/>
      <c r="C260" s="438"/>
      <c r="D260" s="438"/>
      <c r="E260" s="438"/>
      <c r="F260" s="438"/>
      <c r="G260" s="438"/>
      <c r="H260" s="438"/>
      <c r="I260" s="438"/>
      <c r="J260" s="438"/>
      <c r="K260" s="438"/>
      <c r="L260" s="438"/>
      <c r="M260" s="438"/>
      <c r="N260" s="438"/>
      <c r="O260" s="438"/>
      <c r="P260" s="436"/>
    </row>
    <row r="261" spans="2:16" ht="13.5" customHeight="1">
      <c r="B261" s="438"/>
      <c r="C261" s="438"/>
      <c r="D261" s="438"/>
      <c r="E261" s="438"/>
      <c r="F261" s="438"/>
      <c r="G261" s="438"/>
      <c r="H261" s="438"/>
      <c r="I261" s="438"/>
      <c r="J261" s="438"/>
      <c r="K261" s="438"/>
      <c r="L261" s="438"/>
      <c r="M261" s="438"/>
      <c r="N261" s="438"/>
      <c r="O261" s="438"/>
      <c r="P261" s="436"/>
    </row>
    <row r="262" spans="2:16" ht="13.5" customHeight="1">
      <c r="B262" s="438"/>
      <c r="C262" s="438"/>
      <c r="D262" s="438"/>
      <c r="E262" s="438"/>
      <c r="F262" s="438"/>
      <c r="G262" s="438"/>
      <c r="H262" s="438"/>
      <c r="I262" s="438"/>
      <c r="J262" s="438"/>
      <c r="K262" s="438"/>
      <c r="L262" s="438"/>
      <c r="M262" s="438"/>
      <c r="N262" s="438"/>
      <c r="O262" s="438"/>
      <c r="P262" s="436"/>
    </row>
    <row r="263" spans="2:16" ht="13.5" customHeight="1">
      <c r="B263" s="438"/>
      <c r="C263" s="438"/>
      <c r="D263" s="438"/>
      <c r="E263" s="438"/>
      <c r="F263" s="438"/>
      <c r="G263" s="438"/>
      <c r="H263" s="438"/>
      <c r="I263" s="438"/>
      <c r="J263" s="438"/>
      <c r="K263" s="438"/>
      <c r="L263" s="438"/>
      <c r="M263" s="438"/>
      <c r="N263" s="438"/>
      <c r="O263" s="438"/>
      <c r="P263" s="436"/>
    </row>
    <row r="264" spans="2:16" ht="13.5" customHeight="1">
      <c r="B264" s="438"/>
      <c r="C264" s="438"/>
      <c r="D264" s="438"/>
      <c r="E264" s="438"/>
      <c r="F264" s="438"/>
      <c r="G264" s="438"/>
      <c r="H264" s="438"/>
      <c r="I264" s="438"/>
      <c r="J264" s="438"/>
      <c r="K264" s="438"/>
      <c r="L264" s="438"/>
      <c r="M264" s="438"/>
      <c r="N264" s="438"/>
      <c r="O264" s="438"/>
      <c r="P264" s="436"/>
    </row>
    <row r="265" spans="2:16" ht="13.5" customHeight="1">
      <c r="B265" s="438"/>
      <c r="C265" s="438"/>
      <c r="D265" s="438"/>
      <c r="E265" s="438"/>
      <c r="F265" s="438"/>
      <c r="G265" s="438"/>
      <c r="H265" s="438"/>
      <c r="I265" s="438"/>
      <c r="J265" s="438"/>
      <c r="K265" s="438"/>
      <c r="L265" s="438"/>
      <c r="M265" s="438"/>
      <c r="N265" s="438"/>
      <c r="O265" s="438"/>
      <c r="P265" s="436"/>
    </row>
    <row r="266" spans="2:16" ht="13.5" customHeight="1">
      <c r="B266" s="438"/>
      <c r="C266" s="438"/>
      <c r="D266" s="438"/>
      <c r="E266" s="438"/>
      <c r="F266" s="438"/>
      <c r="G266" s="438"/>
      <c r="H266" s="438"/>
      <c r="I266" s="438"/>
      <c r="J266" s="438"/>
      <c r="K266" s="438"/>
      <c r="L266" s="438"/>
      <c r="M266" s="438"/>
      <c r="N266" s="438"/>
      <c r="O266" s="438"/>
      <c r="P266" s="436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1" r:id="rId1"/>
  <headerFooter alignWithMargins="0">
    <oddHeader>&amp;L15. melléklet a 2015. évi   2/2015.(II.25.) Önkormányzati költségvetési rendelethez&amp;R2015.02.25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AU257"/>
  <sheetViews>
    <sheetView view="pageLayout" workbookViewId="0" topLeftCell="A1">
      <selection activeCell="N14" sqref="N14"/>
    </sheetView>
  </sheetViews>
  <sheetFormatPr defaultColWidth="9.140625" defaultRowHeight="13.5" customHeight="1"/>
  <cols>
    <col min="1" max="1" width="4.7109375" style="47" customWidth="1"/>
    <col min="2" max="2" width="23.7109375" style="47" customWidth="1"/>
    <col min="3" max="4" width="12.7109375" style="47" bestFit="1" customWidth="1"/>
    <col min="5" max="5" width="10.140625" style="47" bestFit="1" customWidth="1"/>
    <col min="6" max="6" width="8.28125" style="47" bestFit="1" customWidth="1"/>
    <col min="7" max="9" width="10.140625" style="47" bestFit="1" customWidth="1"/>
    <col min="10" max="10" width="9.8515625" style="47" bestFit="1" customWidth="1"/>
    <col min="11" max="11" width="11.00390625" style="47" bestFit="1" customWidth="1"/>
    <col min="12" max="12" width="10.140625" style="47" bestFit="1" customWidth="1"/>
    <col min="13" max="13" width="11.57421875" style="47" bestFit="1" customWidth="1"/>
    <col min="14" max="14" width="11.140625" style="47" bestFit="1" customWidth="1"/>
    <col min="15" max="15" width="11.00390625" style="435" customWidth="1"/>
    <col min="16" max="17" width="11.7109375" style="95" hidden="1" customWidth="1"/>
    <col min="18" max="18" width="11.7109375" style="95" customWidth="1"/>
    <col min="19" max="20" width="9.7109375" style="95" customWidth="1"/>
    <col min="21" max="21" width="10.57421875" style="95" customWidth="1"/>
    <col min="22" max="22" width="13.00390625" style="95" customWidth="1"/>
    <col min="23" max="23" width="9.28125" style="95" customWidth="1"/>
    <col min="24" max="47" width="9.140625" style="95" customWidth="1"/>
    <col min="48" max="16384" width="9.140625" style="47" customWidth="1"/>
  </cols>
  <sheetData>
    <row r="3" spans="1:15" ht="32.25" customHeight="1" thickBot="1">
      <c r="A3" s="743" t="s">
        <v>445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</row>
    <row r="4" spans="1:15" ht="13.5" customHeight="1" thickBot="1">
      <c r="A4" s="188" t="s">
        <v>289</v>
      </c>
      <c r="B4" s="189" t="s">
        <v>67</v>
      </c>
      <c r="C4" s="189" t="s">
        <v>290</v>
      </c>
      <c r="D4" s="189" t="s">
        <v>291</v>
      </c>
      <c r="E4" s="189" t="s">
        <v>292</v>
      </c>
      <c r="F4" s="189" t="s">
        <v>293</v>
      </c>
      <c r="G4" s="189" t="s">
        <v>294</v>
      </c>
      <c r="H4" s="189" t="s">
        <v>295</v>
      </c>
      <c r="I4" s="189" t="s">
        <v>296</v>
      </c>
      <c r="J4" s="189" t="s">
        <v>297</v>
      </c>
      <c r="K4" s="189" t="s">
        <v>298</v>
      </c>
      <c r="L4" s="189" t="s">
        <v>299</v>
      </c>
      <c r="M4" s="189" t="s">
        <v>300</v>
      </c>
      <c r="N4" s="189" t="s">
        <v>301</v>
      </c>
      <c r="O4" s="190" t="s">
        <v>302</v>
      </c>
    </row>
    <row r="5" spans="1:15" ht="13.5" customHeight="1" thickBot="1">
      <c r="A5" s="191" t="s">
        <v>20</v>
      </c>
      <c r="B5" s="192" t="s">
        <v>97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201"/>
    </row>
    <row r="6" spans="1:15" ht="13.5" customHeight="1">
      <c r="A6" s="194" t="s">
        <v>21</v>
      </c>
      <c r="B6" s="195" t="s">
        <v>323</v>
      </c>
      <c r="C6" s="211">
        <v>77957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 t="s">
        <v>324</v>
      </c>
    </row>
    <row r="7" spans="1:17" ht="13.5" customHeight="1">
      <c r="A7" s="196" t="s">
        <v>22</v>
      </c>
      <c r="B7" s="197" t="s">
        <v>304</v>
      </c>
      <c r="C7" s="214">
        <f>+'ÖK elői.felhaszn. terve'!D8+'Könyvtár elői.felhaszn.terve'!D9+'Városellátó elői.felhaszn.terve'!D9+'ESZESZ elői.felhaszn.terve'!D9+'PH elői.felhaszn.terve'!D11</f>
        <v>8289</v>
      </c>
      <c r="D7" s="214">
        <f>+'ÖK elői.felhaszn. terve'!E8+'Könyvtár elői.felhaszn.terve'!E9+'Városellátó elői.felhaszn.terve'!E9+'ESZESZ elői.felhaszn.terve'!E9+'PH elői.felhaszn.terve'!E11</f>
        <v>8289</v>
      </c>
      <c r="E7" s="214">
        <f>+'ÖK elői.felhaszn. terve'!F8+'Könyvtár elői.felhaszn.terve'!F9+'Városellátó elői.felhaszn.terve'!F9+'ESZESZ elői.felhaszn.terve'!F9+'PH elői.felhaszn.terve'!F11</f>
        <v>13789</v>
      </c>
      <c r="F7" s="214">
        <f>+'ÖK elői.felhaszn. terve'!G8+'Könyvtár elői.felhaszn.terve'!G9+'Városellátó elői.felhaszn.terve'!G9+'ESZESZ elői.felhaszn.terve'!G9+'PH elői.felhaszn.terve'!G11</f>
        <v>8289</v>
      </c>
      <c r="G7" s="214">
        <f>+'ÖK elői.felhaszn. terve'!H8+'Könyvtár elői.felhaszn.terve'!H9+'Városellátó elői.felhaszn.terve'!H9+'ESZESZ elői.felhaszn.terve'!H9+'PH elői.felhaszn.terve'!H11</f>
        <v>8289</v>
      </c>
      <c r="H7" s="214">
        <f>+'ÖK elői.felhaszn. terve'!I8+'Könyvtár elői.felhaszn.terve'!I9+'Városellátó elői.felhaszn.terve'!I9+'ESZESZ elői.felhaszn.terve'!I9+'PH elői.felhaszn.terve'!I11</f>
        <v>11520</v>
      </c>
      <c r="I7" s="214">
        <f>+'ÖK elői.felhaszn. terve'!J8+'Könyvtár elői.felhaszn.terve'!J9+'Városellátó elői.felhaszn.terve'!J9+'ESZESZ elői.felhaszn.terve'!J9+'PH elői.felhaszn.terve'!J11</f>
        <v>8289</v>
      </c>
      <c r="J7" s="214">
        <f>+'ÖK elői.felhaszn. terve'!K8+'Könyvtár elői.felhaszn.terve'!K9+'Városellátó elői.felhaszn.terve'!K9+'ESZESZ elői.felhaszn.terve'!K9+'PH elői.felhaszn.terve'!K11</f>
        <v>8289</v>
      </c>
      <c r="K7" s="214">
        <f>+'ÖK elői.felhaszn. terve'!L8+'Könyvtár elői.felhaszn.terve'!L9+'Városellátó elői.felhaszn.terve'!L9+'ESZESZ elői.felhaszn.terve'!L9+'PH elői.felhaszn.terve'!L11</f>
        <v>15464</v>
      </c>
      <c r="L7" s="214">
        <f>+'ÖK elői.felhaszn. terve'!M8+'Könyvtár elői.felhaszn.terve'!M9+'Városellátó elői.felhaszn.terve'!M9+'ESZESZ elői.felhaszn.terve'!M9+'PH elői.felhaszn.terve'!M11</f>
        <v>8289</v>
      </c>
      <c r="M7" s="214">
        <f>+'ÖK elői.felhaszn. terve'!N8+'Könyvtár elői.felhaszn.terve'!N9+'Városellátó elői.felhaszn.terve'!N9+'ESZESZ elői.felhaszn.terve'!N9+'PH elői.felhaszn.terve'!N11</f>
        <v>12224</v>
      </c>
      <c r="N7" s="214">
        <f>+'ÖK elői.felhaszn. terve'!O8+'Könyvtár elői.felhaszn.terve'!O9+'Városellátó elői.felhaszn.terve'!O9+'ESZESZ elői.felhaszn.terve'!O9+'PH elői.felhaszn.terve'!O11</f>
        <v>36812</v>
      </c>
      <c r="O7" s="215">
        <f>SUM(C7:N7)</f>
        <v>147832</v>
      </c>
      <c r="P7" s="95">
        <f>+Bevétel!F7</f>
        <v>147832</v>
      </c>
      <c r="Q7" s="95">
        <f>+P7-O7</f>
        <v>0</v>
      </c>
    </row>
    <row r="8" spans="1:17" ht="22.5" customHeight="1">
      <c r="A8" s="196" t="s">
        <v>23</v>
      </c>
      <c r="B8" s="198" t="s">
        <v>347</v>
      </c>
      <c r="C8" s="214">
        <f>+'ÖK elői.felhaszn. terve'!D9+'Könyvtár elői.felhaszn.terve'!D10+'Városellátó elői.felhaszn.terve'!D10+'ESZESZ elői.felhaszn.terve'!D10+'PH elői.felhaszn.terve'!D12</f>
        <v>23008</v>
      </c>
      <c r="D8" s="216">
        <f>+'ÖK elői.felhaszn. terve'!E9</f>
        <v>22760</v>
      </c>
      <c r="E8" s="216">
        <f>+'ÖK elői.felhaszn. terve'!F9</f>
        <v>33467</v>
      </c>
      <c r="F8" s="216">
        <f>+'ÖK elői.felhaszn. terve'!G9</f>
        <v>41064</v>
      </c>
      <c r="G8" s="216">
        <f>+'ÖK elői.felhaszn. terve'!H9</f>
        <v>33064</v>
      </c>
      <c r="H8" s="216">
        <f>+'ÖK elői.felhaszn. terve'!I9</f>
        <v>309552</v>
      </c>
      <c r="I8" s="216">
        <f>+'ÖK elői.felhaszn. terve'!J9</f>
        <v>35064</v>
      </c>
      <c r="J8" s="216">
        <f>+'ÖK elői.felhaszn. terve'!K9</f>
        <v>28064</v>
      </c>
      <c r="K8" s="216">
        <f>+'ÖK elői.felhaszn. terve'!L9</f>
        <v>28064</v>
      </c>
      <c r="L8" s="216">
        <f>+'ÖK elői.felhaszn. terve'!M9</f>
        <v>28064</v>
      </c>
      <c r="M8" s="216">
        <f>+'ÖK elői.felhaszn. terve'!N9</f>
        <v>47694</v>
      </c>
      <c r="N8" s="216">
        <f>+'ÖK elői.felhaszn. terve'!O9</f>
        <v>27431</v>
      </c>
      <c r="O8" s="217">
        <f>SUM(C8:N8)</f>
        <v>657296</v>
      </c>
      <c r="P8" s="95">
        <f>+Bevétel!F21</f>
        <v>657296</v>
      </c>
      <c r="Q8" s="95">
        <f aca="true" t="shared" si="0" ref="Q8:Q29">+P8-O8</f>
        <v>0</v>
      </c>
    </row>
    <row r="9" spans="1:17" ht="13.5" customHeight="1">
      <c r="A9" s="196" t="s">
        <v>24</v>
      </c>
      <c r="B9" s="197" t="s">
        <v>306</v>
      </c>
      <c r="C9" s="214">
        <f>+'ÖK elői.felhaszn. terve'!D10+'Könyvtár elői.felhaszn.terve'!D11+'Városellátó elői.felhaszn.terve'!D11+'ESZESZ elői.felhaszn.terve'!D11+'PH elői.felhaszn.terve'!D13</f>
        <v>12937</v>
      </c>
      <c r="D9" s="214">
        <f>+'ÖK elői.felhaszn. terve'!E10+'Könyvtár elői.felhaszn.terve'!E11+'Városellátó elői.felhaszn.terve'!E11+'ESZESZ elői.felhaszn.terve'!E11+'PH elői.felhaszn.terve'!E13</f>
        <v>12937</v>
      </c>
      <c r="E9" s="214">
        <f>+'ÖK elői.felhaszn. terve'!F10+'Könyvtár elői.felhaszn.terve'!F11+'Városellátó elői.felhaszn.terve'!F11+'ESZESZ elői.felhaszn.terve'!F11+'PH elői.felhaszn.terve'!F13</f>
        <v>12937</v>
      </c>
      <c r="F9" s="214">
        <f>+'ÖK elői.felhaszn. terve'!G10+'Könyvtár elői.felhaszn.terve'!G11+'Városellátó elői.felhaszn.terve'!G11+'ESZESZ elői.felhaszn.terve'!G11+'PH elői.felhaszn.terve'!G13</f>
        <v>13837</v>
      </c>
      <c r="G9" s="214">
        <f>+'ÖK elői.felhaszn. terve'!H10+'Könyvtár elői.felhaszn.terve'!H11+'Városellátó elői.felhaszn.terve'!H11+'ESZESZ elői.felhaszn.terve'!H11+'PH elői.felhaszn.terve'!H13</f>
        <v>13837</v>
      </c>
      <c r="H9" s="214">
        <f>+'ÖK elői.felhaszn. terve'!I10+'Könyvtár elői.felhaszn.terve'!I11+'Városellátó elői.felhaszn.terve'!I11+'ESZESZ elői.felhaszn.terve'!I11+'PH elői.felhaszn.terve'!I13</f>
        <v>13980</v>
      </c>
      <c r="I9" s="214">
        <f>+'ÖK elői.felhaszn. terve'!J10+'Könyvtár elői.felhaszn.terve'!J11+'Városellátó elői.felhaszn.terve'!J11+'ESZESZ elői.felhaszn.terve'!J11+'PH elői.felhaszn.terve'!J13</f>
        <v>13837</v>
      </c>
      <c r="J9" s="214">
        <f>+'ÖK elői.felhaszn. terve'!K10+'Könyvtár elői.felhaszn.terve'!K11+'Városellátó elői.felhaszn.terve'!K11+'ESZESZ elői.felhaszn.terve'!K11+'PH elői.felhaszn.terve'!K13</f>
        <v>13837</v>
      </c>
      <c r="K9" s="214">
        <f>+'ÖK elői.felhaszn. terve'!L10+'Könyvtár elői.felhaszn.terve'!L11+'Városellátó elői.felhaszn.terve'!L11+'ESZESZ elői.felhaszn.terve'!L11+'PH elői.felhaszn.terve'!L13</f>
        <v>13837</v>
      </c>
      <c r="L9" s="214">
        <f>+'ÖK elői.felhaszn. terve'!M10+'Könyvtár elői.felhaszn.terve'!M11+'Városellátó elői.felhaszn.terve'!M11+'ESZESZ elői.felhaszn.terve'!M11+'PH elői.felhaszn.terve'!M13</f>
        <v>13837</v>
      </c>
      <c r="M9" s="214">
        <f>+'ÖK elői.felhaszn. terve'!N10+'Könyvtár elői.felhaszn.terve'!N11+'Városellátó elői.felhaszn.terve'!N11+'ESZESZ elői.felhaszn.terve'!N11+'PH elői.felhaszn.terve'!N13</f>
        <v>13837</v>
      </c>
      <c r="N9" s="214">
        <f>+'ÖK elői.felhaszn. terve'!O10+'Könyvtár elői.felhaszn.terve'!O11+'Városellátó elői.felhaszn.terve'!O11+'ESZESZ elői.felhaszn.terve'!O11+'PH elői.felhaszn.terve'!O13</f>
        <v>5763</v>
      </c>
      <c r="O9" s="215">
        <f aca="true" t="shared" si="1" ref="O9:O27">SUM(C9:N9)</f>
        <v>155413</v>
      </c>
      <c r="P9" s="95">
        <f>+Bevétel!F17+Bevétel!F8+Bevétel!F10+Bevétel!F11+Bevétel!F12+Bevétel!F13</f>
        <v>155380</v>
      </c>
      <c r="Q9" s="95">
        <f t="shared" si="0"/>
        <v>-33</v>
      </c>
    </row>
    <row r="10" spans="1:17" ht="13.5" customHeight="1">
      <c r="A10" s="196" t="s">
        <v>25</v>
      </c>
      <c r="B10" s="197" t="s">
        <v>307</v>
      </c>
      <c r="C10" s="214">
        <f>+'ÖK elői.felhaszn. terve'!D11+'Könyvtár elői.felhaszn.terve'!D12+'Városellátó elői.felhaszn.terve'!D12+'ESZESZ elői.felhaszn.terve'!D12+'PH elői.felhaszn.terve'!D14</f>
        <v>5000</v>
      </c>
      <c r="D10" s="214">
        <f>+'ÖK elői.felhaszn. terve'!E11+'Könyvtár elői.felhaszn.terve'!E12+'Városellátó elői.felhaszn.terve'!E12+'ESZESZ elői.felhaszn.terve'!E12+'PH elői.felhaszn.terve'!E14</f>
        <v>10000</v>
      </c>
      <c r="E10" s="214">
        <f>+'ÖK elői.felhaszn. terve'!F11+'Könyvtár elői.felhaszn.terve'!F12+'Városellátó elői.felhaszn.terve'!F12+'ESZESZ elői.felhaszn.terve'!F12+'PH elői.felhaszn.terve'!F14</f>
        <v>6094</v>
      </c>
      <c r="F10" s="214">
        <f>+'ÖK elői.felhaszn. terve'!G11+'Könyvtár elői.felhaszn.terve'!G12+'Városellátó elői.felhaszn.terve'!G12+'ESZESZ elői.felhaszn.terve'!G12+'PH elői.felhaszn.terve'!G14</f>
        <v>1100</v>
      </c>
      <c r="G10" s="214">
        <f>+'ÖK elői.felhaszn. terve'!H11+'Könyvtár elői.felhaszn.terve'!H12+'Városellátó elői.felhaszn.terve'!H12+'ESZESZ elői.felhaszn.terve'!H12+'PH elői.felhaszn.terve'!H14</f>
        <v>0</v>
      </c>
      <c r="H10" s="214">
        <f>+'ÖK elői.felhaszn. terve'!I11+'Könyvtár elői.felhaszn.terve'!I12+'Városellátó elői.felhaszn.terve'!I12+'ESZESZ elői.felhaszn.terve'!I12+'PH elői.felhaszn.terve'!I14</f>
        <v>0</v>
      </c>
      <c r="I10" s="214">
        <f>+'ÖK elői.felhaszn. terve'!J11+'Könyvtár elői.felhaszn.terve'!J12+'Városellátó elői.felhaszn.terve'!J12+'ESZESZ elői.felhaszn.terve'!J12+'PH elői.felhaszn.terve'!J14</f>
        <v>0</v>
      </c>
      <c r="J10" s="214">
        <f>+'ÖK elői.felhaszn. terve'!K11+'Könyvtár elői.felhaszn.terve'!K12+'Városellátó elői.felhaszn.terve'!K12+'ESZESZ elői.felhaszn.terve'!K12+'PH elői.felhaszn.terve'!K14</f>
        <v>0</v>
      </c>
      <c r="K10" s="214">
        <f>+'ÖK elői.felhaszn. terve'!L11+'Könyvtár elői.felhaszn.terve'!L12+'Városellátó elői.felhaszn.terve'!L12+'ESZESZ elői.felhaszn.terve'!L12+'PH elői.felhaszn.terve'!L14</f>
        <v>14137</v>
      </c>
      <c r="L10" s="214">
        <f>+'ÖK elői.felhaszn. terve'!M11+'Könyvtár elői.felhaszn.terve'!M12+'Városellátó elői.felhaszn.terve'!M12+'ESZESZ elői.felhaszn.terve'!M12+'PH elői.felhaszn.terve'!M14</f>
        <v>0</v>
      </c>
      <c r="M10" s="214">
        <f>+'ÖK elői.felhaszn. terve'!N11+'Könyvtár elői.felhaszn.terve'!N12+'Városellátó elői.felhaszn.terve'!N12+'ESZESZ elői.felhaszn.terve'!N12+'PH elői.felhaszn.terve'!N14+1000</f>
        <v>26179</v>
      </c>
      <c r="N10" s="214">
        <f>+'ÖK elői.felhaszn. terve'!O11+'Könyvtár elői.felhaszn.terve'!O12+'Városellátó elői.felhaszn.terve'!O12+'ESZESZ elői.felhaszn.terve'!O12+'PH elői.felhaszn.terve'!O14</f>
        <v>1236</v>
      </c>
      <c r="O10" s="215">
        <f t="shared" si="1"/>
        <v>63746</v>
      </c>
      <c r="P10" s="95">
        <f>+Bevétel!F15+Bevétel!F97</f>
        <v>62746</v>
      </c>
      <c r="Q10" s="95">
        <f t="shared" si="0"/>
        <v>-1000</v>
      </c>
    </row>
    <row r="11" spans="1:17" ht="13.5" customHeight="1">
      <c r="A11" s="196" t="s">
        <v>26</v>
      </c>
      <c r="B11" s="197" t="s">
        <v>308</v>
      </c>
      <c r="C11" s="214">
        <f>+'ÖK elői.felhaszn. terve'!D12+'Könyvtár elői.felhaszn.terve'!D13+'Városellátó elői.felhaszn.terve'!D13+'ESZESZ elői.felhaszn.terve'!D13+'PH elői.felhaszn.terve'!D15</f>
        <v>18461</v>
      </c>
      <c r="D11" s="214">
        <f>+'ÖK elői.felhaszn. terve'!E12+'Könyvtár elői.felhaszn.terve'!E13+'Városellátó elői.felhaszn.terve'!E13+'ESZESZ elői.felhaszn.terve'!E13+'PH elői.felhaszn.terve'!E15</f>
        <v>25239</v>
      </c>
      <c r="E11" s="214">
        <f>+'ÖK elői.felhaszn. terve'!F12+'Könyvtár elői.felhaszn.terve'!F13+'Városellátó elői.felhaszn.terve'!F13+'ESZESZ elői.felhaszn.terve'!F13+'PH elői.felhaszn.terve'!F15</f>
        <v>58441</v>
      </c>
      <c r="F11" s="214">
        <f>+'ÖK elői.felhaszn. terve'!G12+'Könyvtár elői.felhaszn.terve'!G13+'Városellátó elői.felhaszn.terve'!G13+'ESZESZ elői.felhaszn.terve'!G13+'PH elői.felhaszn.terve'!G15</f>
        <v>26890</v>
      </c>
      <c r="G11" s="214">
        <f>+'ÖK elői.felhaszn. terve'!H12+'Könyvtár elői.felhaszn.terve'!H13+'Városellátó elői.felhaszn.terve'!H13+'ESZESZ elői.felhaszn.terve'!H13+'PH elői.felhaszn.terve'!H15</f>
        <v>26890</v>
      </c>
      <c r="H11" s="214">
        <f>+'ÖK elői.felhaszn. terve'!I12+'Könyvtár elői.felhaszn.terve'!I13+'Városellátó elői.felhaszn.terve'!I13+'ESZESZ elői.felhaszn.terve'!I13+'PH elői.felhaszn.terve'!I15</f>
        <v>9060</v>
      </c>
      <c r="I11" s="214">
        <f>+'ÖK elői.felhaszn. terve'!J12+'Könyvtár elői.felhaszn.terve'!J13+'Városellátó elői.felhaszn.terve'!J13+'ESZESZ elői.felhaszn.terve'!J13+'PH elői.felhaszn.terve'!J15</f>
        <v>25890</v>
      </c>
      <c r="J11" s="214">
        <f>+'ÖK elői.felhaszn. terve'!K12+'Könyvtár elői.felhaszn.terve'!K13+'Városellátó elői.felhaszn.terve'!K13+'ESZESZ elői.felhaszn.terve'!K13+'PH elői.felhaszn.terve'!K15</f>
        <v>25890</v>
      </c>
      <c r="K11" s="214">
        <f>+'ÖK elői.felhaszn. terve'!L12+'Könyvtár elői.felhaszn.terve'!L13+'Városellátó elői.felhaszn.terve'!L13+'ESZESZ elői.felhaszn.terve'!L13+'PH elői.felhaszn.terve'!L15</f>
        <v>26924</v>
      </c>
      <c r="L11" s="214">
        <f>+'ÖK elői.felhaszn. terve'!M12+'Könyvtár elői.felhaszn.terve'!M13+'Városellátó elői.felhaszn.terve'!M13+'ESZESZ elői.felhaszn.terve'!M13+'PH elői.felhaszn.terve'!M15</f>
        <v>53201</v>
      </c>
      <c r="M11" s="214">
        <f>+'ÖK elői.felhaszn. terve'!N12+'Könyvtár elői.felhaszn.terve'!N13+'Városellátó elői.felhaszn.terve'!N13+'ESZESZ elői.felhaszn.terve'!N13+'PH elői.felhaszn.terve'!N15-1000</f>
        <v>42432</v>
      </c>
      <c r="N11" s="214">
        <f>+'ÖK elői.felhaszn. terve'!O12+'Könyvtár elői.felhaszn.terve'!O13+'Városellátó elői.felhaszn.terve'!O13+'ESZESZ elői.felhaszn.terve'!O13+'PH elői.felhaszn.terve'!O15</f>
        <v>62829</v>
      </c>
      <c r="O11" s="215">
        <f t="shared" si="1"/>
        <v>402147</v>
      </c>
      <c r="P11" s="95">
        <f>+Bevétel!F50</f>
        <v>403147</v>
      </c>
      <c r="Q11" s="95">
        <f t="shared" si="0"/>
        <v>1000</v>
      </c>
    </row>
    <row r="12" spans="1:17" ht="13.5" customHeight="1">
      <c r="A12" s="196" t="s">
        <v>27</v>
      </c>
      <c r="B12" s="197" t="s">
        <v>309</v>
      </c>
      <c r="C12" s="214">
        <f>+'ÖK elői.felhaszn. terve'!D13+'Könyvtár elői.felhaszn.terve'!D14+'Városellátó elői.felhaszn.terve'!D14+'ESZESZ elői.felhaszn.terve'!D14+'PH elői.felhaszn.terve'!D16</f>
        <v>13</v>
      </c>
      <c r="D12" s="214">
        <f>+'ÖK elői.felhaszn. terve'!E13+'Könyvtár elői.felhaszn.terve'!E14+'Városellátó elői.felhaszn.terve'!E14+'ESZESZ elői.felhaszn.terve'!E14+'PH elői.felhaszn.terve'!E16</f>
        <v>13</v>
      </c>
      <c r="E12" s="214">
        <f>+'ÖK elői.felhaszn. terve'!F13+'Könyvtár elői.felhaszn.terve'!F14+'Városellátó elői.felhaszn.terve'!F14+'ESZESZ elői.felhaszn.terve'!F14+'PH elői.felhaszn.terve'!F16</f>
        <v>13</v>
      </c>
      <c r="F12" s="214">
        <f>+'ÖK elői.felhaszn. terve'!G13+'Könyvtár elői.felhaszn.terve'!G14+'Városellátó elői.felhaszn.terve'!G14+'ESZESZ elői.felhaszn.terve'!G14+'PH elői.felhaszn.terve'!G16</f>
        <v>13</v>
      </c>
      <c r="G12" s="214">
        <f>+'ÖK elői.felhaszn. terve'!H13+'Könyvtár elői.felhaszn.terve'!H14+'Városellátó elői.felhaszn.terve'!H14+'ESZESZ elői.felhaszn.terve'!H14+'PH elői.felhaszn.terve'!H16</f>
        <v>13</v>
      </c>
      <c r="H12" s="214">
        <f>+'ÖK elői.felhaszn. terve'!I13+'Könyvtár elői.felhaszn.terve'!I14+'Városellátó elői.felhaszn.terve'!I14+'ESZESZ elői.felhaszn.terve'!I14+'PH elői.felhaszn.terve'!I16</f>
        <v>13</v>
      </c>
      <c r="I12" s="214">
        <f>+'ÖK elői.felhaszn. terve'!J13+'Könyvtár elői.felhaszn.terve'!J14+'Városellátó elői.felhaszn.terve'!J14+'ESZESZ elői.felhaszn.terve'!J14+'PH elői.felhaszn.terve'!J16</f>
        <v>13</v>
      </c>
      <c r="J12" s="214">
        <f>+'ÖK elői.felhaszn. terve'!K13+'Könyvtár elői.felhaszn.terve'!K14+'Városellátó elői.felhaszn.terve'!K14+'ESZESZ elői.felhaszn.terve'!K14+'PH elői.felhaszn.terve'!K16</f>
        <v>13</v>
      </c>
      <c r="K12" s="214">
        <f>+'ÖK elői.felhaszn. terve'!L13+'Könyvtár elői.felhaszn.terve'!L14+'Városellátó elői.felhaszn.terve'!L14+'ESZESZ elői.felhaszn.terve'!L14+'PH elői.felhaszn.terve'!L16</f>
        <v>13</v>
      </c>
      <c r="L12" s="214">
        <f>+'ÖK elői.felhaszn. terve'!M13+'Könyvtár elői.felhaszn.terve'!M14+'Városellátó elői.felhaszn.terve'!M14+'ESZESZ elői.felhaszn.terve'!M14+'PH elői.felhaszn.terve'!M16</f>
        <v>13</v>
      </c>
      <c r="M12" s="214">
        <f>+'ÖK elői.felhaszn. terve'!N13+'Könyvtár elői.felhaszn.terve'!N14+'Városellátó elői.felhaszn.terve'!N14+'ESZESZ elői.felhaszn.terve'!N14+'PH elői.felhaszn.terve'!N16</f>
        <v>13</v>
      </c>
      <c r="N12" s="214">
        <f>+'ÖK elői.felhaszn. terve'!O13+'Könyvtár elői.felhaszn.terve'!O14+'Városellátó elői.felhaszn.terve'!O14+'ESZESZ elői.felhaszn.terve'!O14+'PH elői.felhaszn.terve'!O16</f>
        <v>52</v>
      </c>
      <c r="O12" s="215">
        <f t="shared" si="1"/>
        <v>195</v>
      </c>
      <c r="P12" s="95">
        <f>+Bevétel!F105</f>
        <v>195</v>
      </c>
      <c r="Q12" s="95">
        <f t="shared" si="0"/>
        <v>0</v>
      </c>
    </row>
    <row r="13" spans="1:17" ht="21" customHeight="1">
      <c r="A13" s="196" t="s">
        <v>28</v>
      </c>
      <c r="B13" s="199" t="s">
        <v>310</v>
      </c>
      <c r="C13" s="214">
        <f>+'ÖK elői.felhaszn. terve'!D14+'Könyvtár elői.felhaszn.terve'!D15+'Városellátó elői.felhaszn.terve'!D15+'ESZESZ elői.felhaszn.terve'!D15+'PH elői.felhaszn.terve'!D17</f>
        <v>0</v>
      </c>
      <c r="D13" s="214">
        <f>+'ÖK elői.felhaszn. terve'!E14+'PH elői.felhaszn.terve'!E17+'ESZESZ elői.felhaszn.terve'!E15+'Városellátó elői.felhaszn.terve'!E15+'Könyvtár elői.felhaszn.terve'!E15</f>
        <v>2500</v>
      </c>
      <c r="E13" s="214">
        <f>+'ÖK elői.felhaszn. terve'!F14+'PH elői.felhaszn.terve'!F17+'ESZESZ elői.felhaszn.terve'!F15+'Városellátó elői.felhaszn.terve'!F15+'Könyvtár elői.felhaszn.terve'!F15</f>
        <v>75457</v>
      </c>
      <c r="F13" s="214">
        <f>+'ÖK elői.felhaszn. terve'!G14+'PH elői.felhaszn.terve'!G17+'ESZESZ elői.felhaszn.terve'!G15+'Városellátó elői.felhaszn.terve'!G15+'Könyvtár elői.felhaszn.terve'!G15</f>
        <v>0</v>
      </c>
      <c r="G13" s="214">
        <f>+'ÖK elői.felhaszn. terve'!H14+'PH elői.felhaszn.terve'!H17+'ESZESZ elői.felhaszn.terve'!H15+'Városellátó elői.felhaszn.terve'!H15+'Könyvtár elői.felhaszn.terve'!H15</f>
        <v>0</v>
      </c>
      <c r="H13" s="214">
        <f>+'ÖK elői.felhaszn. terve'!I14+'PH elői.felhaszn.terve'!I17+'ESZESZ elői.felhaszn.terve'!I15+'Városellátó elői.felhaszn.terve'!I15+'Könyvtár elői.felhaszn.terve'!I15</f>
        <v>0</v>
      </c>
      <c r="I13" s="214">
        <f>+'ÖK elői.felhaszn. terve'!J14+'PH elői.felhaszn.terve'!J17+'ESZESZ elői.felhaszn.terve'!J15+'Városellátó elői.felhaszn.terve'!J15+'Könyvtár elői.felhaszn.terve'!J15</f>
        <v>0</v>
      </c>
      <c r="J13" s="214">
        <f>+'ÖK elői.felhaszn. terve'!K14+'PH elői.felhaszn.terve'!K17+'ESZESZ elői.felhaszn.terve'!K15+'Városellátó elői.felhaszn.terve'!K15+'Könyvtár elői.felhaszn.terve'!K15</f>
        <v>0</v>
      </c>
      <c r="K13" s="214">
        <f>+'ÖK elői.felhaszn. terve'!L14+'PH elői.felhaszn.terve'!L17+'ESZESZ elői.felhaszn.terve'!L15+'Városellátó elői.felhaszn.terve'!L15+'Könyvtár elői.felhaszn.terve'!L15</f>
        <v>0</v>
      </c>
      <c r="L13" s="214">
        <f>+'ÖK elői.felhaszn. terve'!M14+'PH elői.felhaszn.terve'!M17+'ESZESZ elői.felhaszn.terve'!M15+'Városellátó elői.felhaszn.terve'!M15+'Könyvtár elői.felhaszn.terve'!M15</f>
        <v>0</v>
      </c>
      <c r="M13" s="214">
        <f>+'ÖK elői.felhaszn. terve'!N14+'PH elői.felhaszn.terve'!N17+'ESZESZ elői.felhaszn.terve'!N15+'Városellátó elői.felhaszn.terve'!N15+'Könyvtár elői.felhaszn.terve'!N15</f>
        <v>0</v>
      </c>
      <c r="N13" s="214">
        <f>+'ÖK elői.felhaszn. terve'!O14+'PH elői.felhaszn.terve'!O17+'ESZESZ elői.felhaszn.terve'!O15+'Városellátó elői.felhaszn.terve'!O15+'Könyvtár elői.felhaszn.terve'!O15</f>
        <v>1952</v>
      </c>
      <c r="O13" s="215">
        <f t="shared" si="1"/>
        <v>79909</v>
      </c>
      <c r="P13" s="95">
        <f>+Bevétel!F110</f>
        <v>79909</v>
      </c>
      <c r="Q13" s="95">
        <f t="shared" si="0"/>
        <v>0</v>
      </c>
    </row>
    <row r="14" spans="1:17" ht="13.5" customHeight="1" thickBot="1">
      <c r="A14" s="196" t="s">
        <v>29</v>
      </c>
      <c r="B14" s="197" t="s">
        <v>325</v>
      </c>
      <c r="C14" s="214">
        <f>+'ÖK elői.felhaszn. terve'!D15</f>
        <v>0</v>
      </c>
      <c r="D14" s="214">
        <f>+'ÖK elői.felhaszn. terve'!E15</f>
        <v>0</v>
      </c>
      <c r="E14" s="214">
        <f>+'ÖK elői.felhaszn. terve'!F15</f>
        <v>0</v>
      </c>
      <c r="F14" s="214">
        <f>+'ÖK elői.felhaszn. terve'!G15</f>
        <v>0</v>
      </c>
      <c r="G14" s="214">
        <f>+'ÖK elői.felhaszn. terve'!H15</f>
        <v>0</v>
      </c>
      <c r="H14" s="214">
        <f>+'ÖK elői.felhaszn. terve'!I15</f>
        <v>0</v>
      </c>
      <c r="I14" s="214">
        <f>+'ÖK elői.felhaszn. terve'!J15</f>
        <v>0</v>
      </c>
      <c r="J14" s="214">
        <f>+'ÖK elői.felhaszn. terve'!K15</f>
        <v>0</v>
      </c>
      <c r="K14" s="214">
        <f>+'ÖK elői.felhaszn. terve'!L15</f>
        <v>0</v>
      </c>
      <c r="L14" s="214">
        <f>+'ÖK elői.felhaszn. terve'!M15</f>
        <v>0</v>
      </c>
      <c r="M14" s="214">
        <f>+'ÖK elői.felhaszn. terve'!N15</f>
        <v>0</v>
      </c>
      <c r="N14" s="214">
        <f>+'ÖK elői.felhaszn. terve'!O15</f>
        <v>144566</v>
      </c>
      <c r="O14" s="215">
        <f t="shared" si="1"/>
        <v>144566</v>
      </c>
      <c r="P14" s="95">
        <f>+Bevétel!F109</f>
        <v>134000</v>
      </c>
      <c r="Q14" s="95">
        <f t="shared" si="0"/>
        <v>-10566</v>
      </c>
    </row>
    <row r="15" spans="1:47" s="435" customFormat="1" ht="13.5" customHeight="1" thickBot="1">
      <c r="A15" s="191" t="s">
        <v>30</v>
      </c>
      <c r="B15" s="200" t="s">
        <v>311</v>
      </c>
      <c r="C15" s="218">
        <f>SUM(C7:C14)</f>
        <v>67708</v>
      </c>
      <c r="D15" s="218">
        <f aca="true" t="shared" si="2" ref="D15:N15">SUM(D7:D14)</f>
        <v>81738</v>
      </c>
      <c r="E15" s="218">
        <f t="shared" si="2"/>
        <v>200198</v>
      </c>
      <c r="F15" s="218">
        <f t="shared" si="2"/>
        <v>91193</v>
      </c>
      <c r="G15" s="218">
        <f t="shared" si="2"/>
        <v>82093</v>
      </c>
      <c r="H15" s="218">
        <f t="shared" si="2"/>
        <v>344125</v>
      </c>
      <c r="I15" s="218">
        <f t="shared" si="2"/>
        <v>83093</v>
      </c>
      <c r="J15" s="218">
        <f t="shared" si="2"/>
        <v>76093</v>
      </c>
      <c r="K15" s="218">
        <f t="shared" si="2"/>
        <v>98439</v>
      </c>
      <c r="L15" s="218">
        <f t="shared" si="2"/>
        <v>103404</v>
      </c>
      <c r="M15" s="218">
        <f t="shared" si="2"/>
        <v>142379</v>
      </c>
      <c r="N15" s="218">
        <f t="shared" si="2"/>
        <v>280641</v>
      </c>
      <c r="O15" s="218">
        <f>SUM(O7:O14)</f>
        <v>1651104</v>
      </c>
      <c r="P15" s="95"/>
      <c r="Q15" s="95">
        <f t="shared" si="0"/>
        <v>-1651104</v>
      </c>
      <c r="R15" s="95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</row>
    <row r="16" spans="1:47" s="435" customFormat="1" ht="13.5" customHeight="1" thickBot="1">
      <c r="A16" s="191" t="s">
        <v>31</v>
      </c>
      <c r="B16" s="192" t="s">
        <v>119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201"/>
      <c r="P16" s="95"/>
      <c r="Q16" s="95">
        <f t="shared" si="0"/>
        <v>0</v>
      </c>
      <c r="R16" s="95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</row>
    <row r="17" spans="1:17" ht="13.5" customHeight="1">
      <c r="A17" s="202" t="s">
        <v>32</v>
      </c>
      <c r="B17" s="203" t="s">
        <v>208</v>
      </c>
      <c r="C17" s="216">
        <f>+'ÖK elői.felhaszn. terve'!D18+'Könyvtár elői.felhaszn.terve'!D19+'Városellátó elői.felhaszn.terve'!D19+'ESZESZ elői.felhaszn.terve'!D19+'PH elői.felhaszn.terve'!D21</f>
        <v>39682</v>
      </c>
      <c r="D17" s="216">
        <f>+'ÖK elői.felhaszn. terve'!E18+'Könyvtár elői.felhaszn.terve'!E19+'Városellátó elői.felhaszn.terve'!E19+'ESZESZ elői.felhaszn.terve'!E19+'PH elői.felhaszn.terve'!E21</f>
        <v>43808</v>
      </c>
      <c r="E17" s="216">
        <f>+'ÖK elői.felhaszn. terve'!F18+'Könyvtár elői.felhaszn.terve'!F19+'Városellátó elői.felhaszn.terve'!F19+'ESZESZ elői.felhaszn.terve'!F19+'PH elői.felhaszn.terve'!F21</f>
        <v>46177</v>
      </c>
      <c r="F17" s="216">
        <f>+'ÖK elői.felhaszn. terve'!G18+'Könyvtár elői.felhaszn.terve'!G19+'Városellátó elői.felhaszn.terve'!G19+'ESZESZ elői.felhaszn.terve'!G19+'PH elői.felhaszn.terve'!G21</f>
        <v>63653</v>
      </c>
      <c r="G17" s="216">
        <f>+'ÖK elői.felhaszn. terve'!H18+'Könyvtár elői.felhaszn.terve'!H19+'Városellátó elői.felhaszn.terve'!H19+'ESZESZ elői.felhaszn.terve'!H19+'PH elői.felhaszn.terve'!H21</f>
        <v>24974</v>
      </c>
      <c r="H17" s="216">
        <f>+'ÖK elői.felhaszn. terve'!I18+'Könyvtár elői.felhaszn.terve'!I19+'Városellátó elői.felhaszn.terve'!I19+'ESZESZ elői.felhaszn.terve'!I19+'PH elői.felhaszn.terve'!I21</f>
        <v>28969</v>
      </c>
      <c r="I17" s="216">
        <f>+'ÖK elői.felhaszn. terve'!J18+'Könyvtár elői.felhaszn.terve'!J19+'Városellátó elői.felhaszn.terve'!J19+'ESZESZ elői.felhaszn.terve'!J19+'PH elői.felhaszn.terve'!J21</f>
        <v>30840</v>
      </c>
      <c r="J17" s="216">
        <f>+'ÖK elői.felhaszn. terve'!K18+'Könyvtár elői.felhaszn.terve'!K19+'Városellátó elői.felhaszn.terve'!K19+'ESZESZ elői.felhaszn.terve'!K19+'PH elői.felhaszn.terve'!K21</f>
        <v>31936</v>
      </c>
      <c r="K17" s="216">
        <f>+'ÖK elői.felhaszn. terve'!L18+'Könyvtár elői.felhaszn.terve'!L19+'Városellátó elői.felhaszn.terve'!L19+'ESZESZ elői.felhaszn.terve'!L19+'PH elői.felhaszn.terve'!L21</f>
        <v>30436</v>
      </c>
      <c r="L17" s="216">
        <f>+'ÖK elői.felhaszn. terve'!M18+'Könyvtár elői.felhaszn.terve'!M19+'Városellátó elői.felhaszn.terve'!M19+'ESZESZ elői.felhaszn.terve'!M19+'PH elői.felhaszn.terve'!M21</f>
        <v>27909</v>
      </c>
      <c r="M17" s="216">
        <f>+'ÖK elői.felhaszn. terve'!N18+'Könyvtár elői.felhaszn.terve'!N19+'Városellátó elői.felhaszn.terve'!N19+'ESZESZ elői.felhaszn.terve'!N19+'PH elői.felhaszn.terve'!N21</f>
        <v>29101</v>
      </c>
      <c r="N17" s="216">
        <f>+'ÖK elői.felhaszn. terve'!O18+'Könyvtár elői.felhaszn.terve'!O19+'Városellátó elői.felhaszn.terve'!O19+'ESZESZ elői.felhaszn.terve'!O19+'PH elői.felhaszn.terve'!O21</f>
        <v>101832</v>
      </c>
      <c r="O17" s="217">
        <f>SUM(C17:N17)</f>
        <v>499317</v>
      </c>
      <c r="P17" s="95">
        <f>+'Kiad.intézményenként'!D36</f>
        <v>499317</v>
      </c>
      <c r="Q17" s="95">
        <f t="shared" si="0"/>
        <v>0</v>
      </c>
    </row>
    <row r="18" spans="1:17" ht="24.75" customHeight="1">
      <c r="A18" s="196" t="s">
        <v>33</v>
      </c>
      <c r="B18" s="199" t="s">
        <v>312</v>
      </c>
      <c r="C18" s="216">
        <f>+'ÖK elői.felhaszn. terve'!D19+'Könyvtár elői.felhaszn.terve'!D20+'Városellátó elői.felhaszn.terve'!D20+'ESZESZ elői.felhaszn.terve'!D20+'PH elői.felhaszn.terve'!D22</f>
        <v>7885</v>
      </c>
      <c r="D18" s="216">
        <f>+'ÖK elői.felhaszn. terve'!E19+'Könyvtár elői.felhaszn.terve'!E20+'Városellátó elői.felhaszn.terve'!E20+'ESZESZ elői.felhaszn.terve'!E20+'PH elői.felhaszn.terve'!E22</f>
        <v>8422</v>
      </c>
      <c r="E18" s="216">
        <f>+'ÖK elői.felhaszn. terve'!F19+'Könyvtár elői.felhaszn.terve'!F20+'Városellátó elői.felhaszn.terve'!F20+'ESZESZ elői.felhaszn.terve'!F20+'PH elői.felhaszn.terve'!F22</f>
        <v>8589</v>
      </c>
      <c r="F18" s="216">
        <f>+'ÖK elői.felhaszn. terve'!G19+'Könyvtár elői.felhaszn.terve'!G20+'Városellátó elői.felhaszn.terve'!G20+'ESZESZ elői.felhaszn.terve'!G20+'PH elői.felhaszn.terve'!G22</f>
        <v>8726</v>
      </c>
      <c r="G18" s="216">
        <f>+'ÖK elői.felhaszn. terve'!H19+'Könyvtár elői.felhaszn.terve'!H20+'Városellátó elői.felhaszn.terve'!H20+'ESZESZ elői.felhaszn.terve'!H20+'PH elői.felhaszn.terve'!H22</f>
        <v>8447</v>
      </c>
      <c r="H18" s="216">
        <f>+'ÖK elői.felhaszn. terve'!I19+'Könyvtár elői.felhaszn.terve'!I20+'Városellátó elői.felhaszn.terve'!I20+'ESZESZ elői.felhaszn.terve'!I20+'PH elői.felhaszn.terve'!I22</f>
        <v>6564</v>
      </c>
      <c r="I18" s="216">
        <f>+'ÖK elői.felhaszn. terve'!J19+'Könyvtár elői.felhaszn.terve'!J20+'Városellátó elői.felhaszn.terve'!J20+'ESZESZ elői.felhaszn.terve'!J20+'PH elői.felhaszn.terve'!J22</f>
        <v>6463</v>
      </c>
      <c r="J18" s="216">
        <f>+'ÖK elői.felhaszn. terve'!K19+'Könyvtár elői.felhaszn.terve'!K20+'Városellátó elői.felhaszn.terve'!K20+'ESZESZ elői.felhaszn.terve'!K20+'PH elői.felhaszn.terve'!K22</f>
        <v>6764</v>
      </c>
      <c r="K18" s="216">
        <f>+'ÖK elői.felhaszn. terve'!L19+'Könyvtár elői.felhaszn.terve'!L20+'Városellátó elői.felhaszn.terve'!L20+'ESZESZ elői.felhaszn.terve'!L20+'PH elői.felhaszn.terve'!L22</f>
        <v>6764</v>
      </c>
      <c r="L18" s="216">
        <f>+'ÖK elői.felhaszn. terve'!M19+'Könyvtár elői.felhaszn.terve'!M20+'Városellátó elői.felhaszn.terve'!M20+'ESZESZ elői.felhaszn.terve'!M20+'PH elői.felhaszn.terve'!M22</f>
        <v>7349</v>
      </c>
      <c r="M18" s="216">
        <f>+'ÖK elői.felhaszn. terve'!N19+'Könyvtár elői.felhaszn.terve'!N20+'Városellátó elői.felhaszn.terve'!N20+'ESZESZ elői.felhaszn.terve'!N20+'PH elői.felhaszn.terve'!N22</f>
        <v>6679</v>
      </c>
      <c r="N18" s="216">
        <f>+'ÖK elői.felhaszn. terve'!O19+'Könyvtár elői.felhaszn.terve'!O20+'Városellátó elői.felhaszn.terve'!O20+'ESZESZ elői.felhaszn.terve'!O20+'PH elői.felhaszn.terve'!O22</f>
        <v>19572</v>
      </c>
      <c r="O18" s="215">
        <f t="shared" si="1"/>
        <v>102224</v>
      </c>
      <c r="P18" s="95">
        <f>+'Kiad.intézményenként'!E36</f>
        <v>102224</v>
      </c>
      <c r="Q18" s="95">
        <f t="shared" si="0"/>
        <v>0</v>
      </c>
    </row>
    <row r="19" spans="1:17" ht="13.5" customHeight="1">
      <c r="A19" s="196" t="s">
        <v>34</v>
      </c>
      <c r="B19" s="197" t="s">
        <v>244</v>
      </c>
      <c r="C19" s="216">
        <f>+'ÖK elői.felhaszn. terve'!D20+'Könyvtár elői.felhaszn.terve'!D21+'Városellátó elői.felhaszn.terve'!D21+'ESZESZ elői.felhaszn.terve'!D21+'PH elői.felhaszn.terve'!D23</f>
        <v>35902</v>
      </c>
      <c r="D19" s="216">
        <f>+'ÖK elői.felhaszn. terve'!E20+'Könyvtár elői.felhaszn.terve'!E21+'Városellátó elői.felhaszn.terve'!E21+'ESZESZ elői.felhaszn.terve'!E21+'PH elői.felhaszn.terve'!E23</f>
        <v>42704</v>
      </c>
      <c r="E19" s="216">
        <f>+'ÖK elői.felhaszn. terve'!F20+'Könyvtár elői.felhaszn.terve'!F21+'Városellátó elői.felhaszn.terve'!F21+'ESZESZ elői.felhaszn.terve'!F21+'PH elői.felhaszn.terve'!F23</f>
        <v>37092</v>
      </c>
      <c r="F19" s="216">
        <f>+'ÖK elői.felhaszn. terve'!G20+'Könyvtár elői.felhaszn.terve'!G21+'Városellátó elői.felhaszn.terve'!G21+'ESZESZ elői.felhaszn.terve'!G21+'PH elői.felhaszn.terve'!G23</f>
        <v>23049</v>
      </c>
      <c r="G19" s="216">
        <f>+'ÖK elői.felhaszn. terve'!H20+'Könyvtár elői.felhaszn.terve'!H21+'Városellátó elői.felhaszn.terve'!H21+'ESZESZ elői.felhaszn.terve'!H21+'PH elői.felhaszn.terve'!H23</f>
        <v>19592</v>
      </c>
      <c r="H19" s="216">
        <f>+'ÖK elői.felhaszn. terve'!I20+'Könyvtár elői.felhaszn.terve'!I21+'Városellátó elői.felhaszn.terve'!I21+'ESZESZ elői.felhaszn.terve'!I21+'PH elői.felhaszn.terve'!I23</f>
        <v>34222</v>
      </c>
      <c r="I19" s="216">
        <f>+'ÖK elői.felhaszn. terve'!J20+'Könyvtár elői.felhaszn.terve'!J21+'Városellátó elői.felhaszn.terve'!J21+'ESZESZ elői.felhaszn.terve'!J21+'PH elői.felhaszn.terve'!J23</f>
        <v>25342</v>
      </c>
      <c r="J19" s="216">
        <f>+'ÖK elői.felhaszn. terve'!K20+'Könyvtár elői.felhaszn.terve'!K21+'Városellátó elői.felhaszn.terve'!K21+'ESZESZ elői.felhaszn.terve'!K21+'PH elői.felhaszn.terve'!K23</f>
        <v>26057</v>
      </c>
      <c r="K19" s="216">
        <f>+'ÖK elői.felhaszn. terve'!L20+'Könyvtár elői.felhaszn.terve'!L21+'Városellátó elői.felhaszn.terve'!L21+'ESZESZ elői.felhaszn.terve'!L21+'PH elői.felhaszn.terve'!L23</f>
        <v>18119</v>
      </c>
      <c r="L19" s="216">
        <f>+'ÖK elői.felhaszn. terve'!M20+'Könyvtár elői.felhaszn.terve'!M21+'Városellátó elői.felhaszn.terve'!M21+'ESZESZ elői.felhaszn.terve'!M21+'PH elői.felhaszn.terve'!M23</f>
        <v>20420</v>
      </c>
      <c r="M19" s="216">
        <f>+'ÖK elői.felhaszn. terve'!N20+'Könyvtár elői.felhaszn.terve'!N21+'Városellátó elői.felhaszn.terve'!N21+'ESZESZ elői.felhaszn.terve'!N21+'PH elői.felhaszn.terve'!N23</f>
        <v>26386</v>
      </c>
      <c r="N19" s="216">
        <f>+'ÖK elői.felhaszn. terve'!O20+'Könyvtár elői.felhaszn.terve'!O21+'Városellátó elői.felhaszn.terve'!O21+'ESZESZ elői.felhaszn.terve'!O21+'PH elői.felhaszn.terve'!O23</f>
        <v>69616</v>
      </c>
      <c r="O19" s="215">
        <f t="shared" si="1"/>
        <v>378501</v>
      </c>
      <c r="P19" s="95">
        <f>+'Kiad.intézményenként'!F36</f>
        <v>378501</v>
      </c>
      <c r="Q19" s="95">
        <f t="shared" si="0"/>
        <v>0</v>
      </c>
    </row>
    <row r="20" spans="1:17" ht="13.5" customHeight="1">
      <c r="A20" s="196" t="s">
        <v>35</v>
      </c>
      <c r="B20" s="197" t="s">
        <v>313</v>
      </c>
      <c r="C20" s="216">
        <f>+'ÖK elői.felhaszn. terve'!D21+'Könyvtár elői.felhaszn.terve'!D22+'Városellátó elői.felhaszn.terve'!D22+'ESZESZ elői.felhaszn.terve'!D22+'PH elői.felhaszn.terve'!D24</f>
        <v>0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>
        <f t="shared" si="1"/>
        <v>0</v>
      </c>
      <c r="Q20" s="95">
        <f t="shared" si="0"/>
        <v>0</v>
      </c>
    </row>
    <row r="21" spans="1:17" ht="13.5" customHeight="1">
      <c r="A21" s="196" t="s">
        <v>36</v>
      </c>
      <c r="B21" s="197" t="s">
        <v>314</v>
      </c>
      <c r="C21" s="216">
        <f>+'ÖK elői.felhaszn. terve'!D22+'Könyvtár elői.felhaszn.terve'!D23+'Városellátó elői.felhaszn.terve'!D23+'ESZESZ elői.felhaszn.terve'!D23+'PH elői.felhaszn.terve'!D25</f>
        <v>0</v>
      </c>
      <c r="D21" s="216">
        <f>+'ÖK elői.felhaszn. terve'!E22+'Könyvtár elői.felhaszn.terve'!E23+'Városellátó elői.felhaszn.terve'!E23+'ESZESZ elői.felhaszn.terve'!E23+'PH elői.felhaszn.terve'!E25</f>
        <v>0</v>
      </c>
      <c r="E21" s="216">
        <f>+'ÖK elői.felhaszn. terve'!F22+'Könyvtár elői.felhaszn.terve'!F23+'Városellátó elői.felhaszn.terve'!F23+'ESZESZ elői.felhaszn.terve'!F23+'PH elői.felhaszn.terve'!F25</f>
        <v>0</v>
      </c>
      <c r="F21" s="216">
        <f>+'ÖK elői.felhaszn. terve'!G22+'Könyvtár elői.felhaszn.terve'!G23+'Városellátó elői.felhaszn.terve'!G23+'ESZESZ elői.felhaszn.terve'!G23+'PH elői.felhaszn.terve'!G25</f>
        <v>0</v>
      </c>
      <c r="G21" s="216">
        <f>+'ÖK elői.felhaszn. terve'!H22+'Könyvtár elői.felhaszn.terve'!H23+'Városellátó elői.felhaszn.terve'!H23+'ESZESZ elői.felhaszn.terve'!H23+'PH elői.felhaszn.terve'!H25</f>
        <v>0</v>
      </c>
      <c r="H21" s="216">
        <f>+'ÖK elői.felhaszn. terve'!I22+'Könyvtár elői.felhaszn.terve'!I23+'Városellátó elői.felhaszn.terve'!I23+'ESZESZ elői.felhaszn.terve'!I23+'PH elői.felhaszn.terve'!I25</f>
        <v>0</v>
      </c>
      <c r="I21" s="216">
        <f>+'ÖK elői.felhaszn. terve'!J22+'Könyvtár elői.felhaszn.terve'!J23+'Városellátó elői.felhaszn.terve'!J23+'ESZESZ elői.felhaszn.terve'!J23+'PH elői.felhaszn.terve'!J25</f>
        <v>0</v>
      </c>
      <c r="J21" s="216">
        <f>+'ÖK elői.felhaszn. terve'!K22+'Könyvtár elői.felhaszn.terve'!K23+'Városellátó elői.felhaszn.terve'!K23+'ESZESZ elői.felhaszn.terve'!K23+'PH elői.felhaszn.terve'!K25</f>
        <v>0</v>
      </c>
      <c r="K21" s="216">
        <f>+'ÖK elői.felhaszn. terve'!L22+'Könyvtár elői.felhaszn.terve'!L23+'Városellátó elői.felhaszn.terve'!L23+'ESZESZ elői.felhaszn.terve'!L23+'PH elői.felhaszn.terve'!L25</f>
        <v>0</v>
      </c>
      <c r="L21" s="216">
        <f>+'ÖK elői.felhaszn. terve'!M22+'Könyvtár elői.felhaszn.terve'!M23+'Városellátó elői.felhaszn.terve'!M23+'ESZESZ elői.felhaszn.terve'!M23+'PH elői.felhaszn.terve'!M25</f>
        <v>0</v>
      </c>
      <c r="M21" s="216">
        <f>+'ÖK elői.felhaszn. terve'!N22+'Könyvtár elői.felhaszn.terve'!N23+'Városellátó elői.felhaszn.terve'!N23+'ESZESZ elői.felhaszn.terve'!N23+'PH elői.felhaszn.terve'!N25</f>
        <v>0</v>
      </c>
      <c r="N21" s="216">
        <f>+'ÖK elői.felhaszn. terve'!O22+'Könyvtár elői.felhaszn.terve'!O23+'Városellátó elői.felhaszn.terve'!O23+'ESZESZ elői.felhaszn.terve'!O23+'PH elői.felhaszn.terve'!O25</f>
        <v>0</v>
      </c>
      <c r="O21" s="215">
        <f t="shared" si="1"/>
        <v>0</v>
      </c>
      <c r="Q21" s="95">
        <f t="shared" si="0"/>
        <v>0</v>
      </c>
    </row>
    <row r="22" spans="1:17" ht="13.5" customHeight="1">
      <c r="A22" s="196" t="s">
        <v>37</v>
      </c>
      <c r="B22" s="197" t="s">
        <v>315</v>
      </c>
      <c r="C22" s="216">
        <f>+'ÖK elői.felhaszn. terve'!D23+'Könyvtár elői.felhaszn.terve'!D24+'Városellátó elői.felhaszn.terve'!D24+'ESZESZ elői.felhaszn.terve'!D24+'PH elői.felhaszn.terve'!D26</f>
        <v>2239</v>
      </c>
      <c r="D22" s="216">
        <f>+'ÖK elői.felhaszn. terve'!E23+'Könyvtár elői.felhaszn.terve'!E24+'Városellátó elői.felhaszn.terve'!E24+'ESZESZ elői.felhaszn.terve'!E24+'PH elői.felhaszn.terve'!E26</f>
        <v>2239</v>
      </c>
      <c r="E22" s="216">
        <f>+'ÖK elői.felhaszn. terve'!F23+'Könyvtár elői.felhaszn.terve'!F24+'Városellátó elői.felhaszn.terve'!F24+'ESZESZ elői.felhaszn.terve'!F24+'PH elői.felhaszn.terve'!F26</f>
        <v>2239</v>
      </c>
      <c r="F22" s="216">
        <f>+'ÖK elői.felhaszn. terve'!G23+'Könyvtár elői.felhaszn.terve'!G24+'Városellátó elői.felhaszn.terve'!G24+'ESZESZ elői.felhaszn.terve'!G24+'PH elői.felhaszn.terve'!G26</f>
        <v>37428</v>
      </c>
      <c r="G22" s="216">
        <f>+'ÖK elői.felhaszn. terve'!H23+'Könyvtár elői.felhaszn.terve'!H24+'Városellátó elői.felhaszn.terve'!H24+'ESZESZ elői.felhaszn.terve'!H24+'PH elői.felhaszn.terve'!H26</f>
        <v>2239</v>
      </c>
      <c r="H22" s="216">
        <f>+'ÖK elői.felhaszn. terve'!I23+'Könyvtár elői.felhaszn.terve'!I24+'Városellátó elői.felhaszn.terve'!I24+'ESZESZ elői.felhaszn.terve'!I24+'PH elői.felhaszn.terve'!I26</f>
        <v>2693</v>
      </c>
      <c r="I22" s="216">
        <f>+'ÖK elői.felhaszn. terve'!J23+'Könyvtár elői.felhaszn.terve'!J24+'Városellátó elői.felhaszn.terve'!J24+'ESZESZ elői.felhaszn.terve'!J24+'PH elői.felhaszn.terve'!J26</f>
        <v>1022</v>
      </c>
      <c r="J22" s="216">
        <f>+'ÖK elői.felhaszn. terve'!K23+'Könyvtár elői.felhaszn.terve'!K24+'Városellátó elői.felhaszn.terve'!K24+'ESZESZ elői.felhaszn.terve'!K24+'PH elői.felhaszn.terve'!K26</f>
        <v>2239</v>
      </c>
      <c r="K22" s="216">
        <f>+'ÖK elői.felhaszn. terve'!L23+'Könyvtár elői.felhaszn.terve'!L24+'Városellátó elői.felhaszn.terve'!L24+'ESZESZ elői.felhaszn.terve'!L24+'PH elői.felhaszn.terve'!L26</f>
        <v>2239</v>
      </c>
      <c r="L22" s="216">
        <f>+'ÖK elői.felhaszn. terve'!M23+'Könyvtár elői.felhaszn.terve'!M24+'Városellátó elői.felhaszn.terve'!M24+'ESZESZ elői.felhaszn.terve'!M24+'PH elői.felhaszn.terve'!M26</f>
        <v>2239</v>
      </c>
      <c r="M22" s="216">
        <f>+'ÖK elői.felhaszn. terve'!N23+'Könyvtár elői.felhaszn.terve'!N24+'Városellátó elői.felhaszn.terve'!N24+'ESZESZ elői.felhaszn.terve'!N24+'PH elői.felhaszn.terve'!N26</f>
        <v>3449</v>
      </c>
      <c r="N22" s="216">
        <f>+'ÖK elői.felhaszn. terve'!O23+'Könyvtár elői.felhaszn.terve'!O24+'Városellátó elői.felhaszn.terve'!O24+'ESZESZ elői.felhaszn.terve'!O24+'PH elői.felhaszn.terve'!O26</f>
        <v>4978</v>
      </c>
      <c r="O22" s="215">
        <f t="shared" si="1"/>
        <v>65243</v>
      </c>
      <c r="P22" s="95">
        <f>+'Kiad.intézményenként'!H36</f>
        <v>65243</v>
      </c>
      <c r="Q22" s="95">
        <f t="shared" si="0"/>
        <v>0</v>
      </c>
    </row>
    <row r="23" spans="1:17" ht="21" customHeight="1">
      <c r="A23" s="196" t="s">
        <v>40</v>
      </c>
      <c r="B23" s="199" t="s">
        <v>316</v>
      </c>
      <c r="C23" s="216">
        <f>+'ÖK elői.felhaszn. terve'!D24+'Könyvtár elői.felhaszn.terve'!D25+'Városellátó elői.felhaszn.terve'!D25+'ESZESZ elői.felhaszn.terve'!D25+'PH elői.felhaszn.terve'!D27</f>
        <v>9861</v>
      </c>
      <c r="D23" s="216">
        <f>+'ÖK elői.felhaszn. terve'!E24+'Könyvtár elői.felhaszn.terve'!E25+'Városellátó elői.felhaszn.terve'!E25+'ESZESZ elői.felhaszn.terve'!E25+'PH elői.felhaszn.terve'!E27</f>
        <v>9861</v>
      </c>
      <c r="E23" s="216">
        <f>+'ÖK elői.felhaszn. terve'!F24+'Könyvtár elői.felhaszn.terve'!F25+'Városellátó elői.felhaszn.terve'!F25+'ESZESZ elői.felhaszn.terve'!F25+'PH elői.felhaszn.terve'!F27</f>
        <v>9861</v>
      </c>
      <c r="F23" s="216">
        <f>+'ÖK elői.felhaszn. terve'!G24+'Könyvtár elői.felhaszn.terve'!G25+'Városellátó elői.felhaszn.terve'!G25+'ESZESZ elői.felhaszn.terve'!G25+'PH elői.felhaszn.terve'!G27</f>
        <v>9861</v>
      </c>
      <c r="G23" s="216">
        <f>+'ÖK elői.felhaszn. terve'!H24+'Könyvtár elői.felhaszn.terve'!H25+'Városellátó elői.felhaszn.terve'!H25+'ESZESZ elői.felhaszn.terve'!H25+'PH elői.felhaszn.terve'!H27</f>
        <v>9861</v>
      </c>
      <c r="H23" s="216">
        <f>+'ÖK elői.felhaszn. terve'!I24+'Könyvtár elői.felhaszn.terve'!I25+'Városellátó elői.felhaszn.terve'!I25+'ESZESZ elői.felhaszn.terve'!I25+'PH elői.felhaszn.terve'!I27</f>
        <v>10131</v>
      </c>
      <c r="I23" s="216">
        <f>+'ÖK elői.felhaszn. terve'!J24+'Könyvtár elői.felhaszn.terve'!J25+'Városellátó elői.felhaszn.terve'!J25+'ESZESZ elői.felhaszn.terve'!J25+'PH elői.felhaszn.terve'!J27</f>
        <v>9861</v>
      </c>
      <c r="J23" s="216">
        <f>+'ÖK elői.felhaszn. terve'!K24+'Könyvtár elői.felhaszn.terve'!K25+'Városellátó elői.felhaszn.terve'!K25+'ESZESZ elői.felhaszn.terve'!K25+'PH elői.felhaszn.terve'!K27</f>
        <v>19907</v>
      </c>
      <c r="K23" s="216">
        <f>+'ÖK elői.felhaszn. terve'!L24+'Könyvtár elői.felhaszn.terve'!L25+'Városellátó elői.felhaszn.terve'!L25+'ESZESZ elői.felhaszn.terve'!L25+'PH elői.felhaszn.terve'!L27</f>
        <v>9861</v>
      </c>
      <c r="L23" s="216">
        <f>+'ÖK elői.felhaszn. terve'!M24+'Könyvtár elői.felhaszn.terve'!M25+'Városellátó elői.felhaszn.terve'!M25+'ESZESZ elői.felhaszn.terve'!M25+'PH elői.felhaszn.terve'!M27</f>
        <v>9861</v>
      </c>
      <c r="M23" s="216">
        <f>+'ÖK elői.felhaszn. terve'!N24+'Könyvtár elői.felhaszn.terve'!N25+'Városellátó elői.felhaszn.terve'!N25+'ESZESZ elői.felhaszn.terve'!N25+'PH elői.felhaszn.terve'!N27</f>
        <v>9861</v>
      </c>
      <c r="N23" s="216">
        <f>+'ÖK elői.felhaszn. terve'!O24+'Könyvtár elői.felhaszn.terve'!O25+'Városellátó elői.felhaszn.terve'!O25+'ESZESZ elői.felhaszn.terve'!O25+'PH elői.felhaszn.terve'!O27</f>
        <v>37017</v>
      </c>
      <c r="O23" s="215">
        <f t="shared" si="1"/>
        <v>155804</v>
      </c>
      <c r="P23" s="95">
        <f>+'Kiad.intézményenként'!I36</f>
        <v>155804</v>
      </c>
      <c r="Q23" s="95">
        <f t="shared" si="0"/>
        <v>0</v>
      </c>
    </row>
    <row r="24" spans="1:17" ht="13.5" customHeight="1">
      <c r="A24" s="196" t="s">
        <v>42</v>
      </c>
      <c r="B24" s="197" t="s">
        <v>435</v>
      </c>
      <c r="C24" s="216">
        <f>+'ÖK elői.felhaszn. terve'!D25+'Könyvtár elői.felhaszn.terve'!D26+'Városellátó elői.felhaszn.terve'!D26+'ESZESZ elői.felhaszn.terve'!D26+'PH elői.felhaszn.terve'!D28</f>
        <v>0</v>
      </c>
      <c r="D24" s="216">
        <f>+'ÖK elői.felhaszn. terve'!E25+'Könyvtár elői.felhaszn.terve'!E26+'Városellátó elői.felhaszn.terve'!E26+'ESZESZ elői.felhaszn.terve'!E26+'PH elői.felhaszn.terve'!E28</f>
        <v>1000</v>
      </c>
      <c r="E24" s="216">
        <f>+'ÖK elői.felhaszn. terve'!F25+'Könyvtár elői.felhaszn.terve'!F26+'Városellátó elői.felhaszn.terve'!F26+'ESZESZ elői.felhaszn.terve'!F26+'PH elői.felhaszn.terve'!F28</f>
        <v>2000</v>
      </c>
      <c r="F24" s="216">
        <f>+'ÖK elői.felhaszn. terve'!G25+'Könyvtár elői.felhaszn.terve'!G26+'Városellátó elői.felhaszn.terve'!G26+'ESZESZ elői.felhaszn.terve'!G26+'PH elői.felhaszn.terve'!G28</f>
        <v>0</v>
      </c>
      <c r="G24" s="216">
        <f>+'ÖK elői.felhaszn. terve'!H25+'Könyvtár elői.felhaszn.terve'!H26+'Városellátó elői.felhaszn.terve'!H26+'ESZESZ elői.felhaszn.terve'!H26+'PH elői.felhaszn.terve'!H28</f>
        <v>0</v>
      </c>
      <c r="H24" s="216">
        <f>+'ÖK elői.felhaszn. terve'!I25+'Könyvtár elői.felhaszn.terve'!I26+'Városellátó elői.felhaszn.terve'!I26+'ESZESZ elői.felhaszn.terve'!I26+'PH elői.felhaszn.terve'!I28</f>
        <v>1000</v>
      </c>
      <c r="I24" s="216">
        <f>+'ÖK elői.felhaszn. terve'!J25+'Könyvtár elői.felhaszn.terve'!J26+'Városellátó elői.felhaszn.terve'!J26+'ESZESZ elői.felhaszn.terve'!J26+'PH elői.felhaszn.terve'!J28</f>
        <v>0</v>
      </c>
      <c r="J24" s="216">
        <f>+'ÖK elői.felhaszn. terve'!K25+'Könyvtár elői.felhaszn.terve'!K26+'Városellátó elői.felhaszn.terve'!K26+'ESZESZ elői.felhaszn.terve'!K26+'PH elői.felhaszn.terve'!K28</f>
        <v>0</v>
      </c>
      <c r="K24" s="216">
        <f>+'ÖK elői.felhaszn. terve'!L25+'Könyvtár elői.felhaszn.terve'!L26+'Városellátó elői.felhaszn.terve'!L26+'ESZESZ elői.felhaszn.terve'!L26+'PH elői.felhaszn.terve'!L28</f>
        <v>0</v>
      </c>
      <c r="L24" s="216">
        <f>+'ÖK elői.felhaszn. terve'!M25+'Könyvtár elői.felhaszn.terve'!M26+'Városellátó elői.felhaszn.terve'!M26+'ESZESZ elői.felhaszn.terve'!M26+'PH elői.felhaszn.terve'!M28</f>
        <v>0</v>
      </c>
      <c r="M24" s="216">
        <f>+'ÖK elői.felhaszn. terve'!N25+'Könyvtár elői.felhaszn.terve'!N26+'Városellátó elői.felhaszn.terve'!N26+'ESZESZ elői.felhaszn.terve'!N26+'PH elői.felhaszn.terve'!N28</f>
        <v>0</v>
      </c>
      <c r="N24" s="216">
        <f>+'ÖK elői.felhaszn. terve'!O25+'Könyvtár elői.felhaszn.terve'!O26+'Városellátó elői.felhaszn.terve'!O26+'ESZESZ elői.felhaszn.terve'!O26+'PH elői.felhaszn.terve'!O28</f>
        <v>0</v>
      </c>
      <c r="O24" s="215">
        <f t="shared" si="1"/>
        <v>4000</v>
      </c>
      <c r="P24" s="95">
        <f>+'Kiad.intézményenként'!K36</f>
        <v>4000</v>
      </c>
      <c r="Q24" s="95">
        <f t="shared" si="0"/>
        <v>0</v>
      </c>
    </row>
    <row r="25" spans="1:17" ht="13.5" customHeight="1">
      <c r="A25" s="196" t="s">
        <v>43</v>
      </c>
      <c r="B25" s="197" t="str">
        <f>+'ÖK elői.felhaszn. terve'!C26</f>
        <v>Finanszírozási műveletek</v>
      </c>
      <c r="C25" s="216">
        <f>+'ÖK elői.felhaszn. terve'!D26+'Könyvtár elői.felhaszn.terve'!D27+'Városellátó elői.felhaszn.terve'!D27+'ESZESZ elői.felhaszn.terve'!D27+'PH elői.felhaszn.terve'!D29</f>
        <v>0</v>
      </c>
      <c r="D25" s="214"/>
      <c r="E25" s="214"/>
      <c r="F25" s="214"/>
      <c r="G25" s="214"/>
      <c r="H25" s="214">
        <f>+'ÖK elői.felhaszn. terve'!I26</f>
        <v>232405</v>
      </c>
      <c r="I25" s="214"/>
      <c r="J25" s="214"/>
      <c r="K25" s="214"/>
      <c r="L25" s="214"/>
      <c r="M25" s="214"/>
      <c r="N25" s="214">
        <v>134000</v>
      </c>
      <c r="O25" s="215">
        <f t="shared" si="1"/>
        <v>366405</v>
      </c>
      <c r="Q25" s="95">
        <f t="shared" si="0"/>
        <v>-366405</v>
      </c>
    </row>
    <row r="26" spans="1:17" ht="13.5" customHeight="1">
      <c r="A26" s="196" t="s">
        <v>44</v>
      </c>
      <c r="B26" s="197" t="s">
        <v>319</v>
      </c>
      <c r="C26" s="216">
        <f>+'ÖK elői.felhaszn. terve'!D27+'Könyvtár elői.felhaszn.terve'!D28+'Városellátó elői.felhaszn.terve'!D28+'ESZESZ elői.felhaszn.terve'!D28+'PH elői.felhaszn.terve'!D30</f>
        <v>0</v>
      </c>
      <c r="D26" s="216">
        <f>+'ÖK elői.felhaszn. terve'!E27+'Könyvtár elői.felhaszn.terve'!E28+'Városellátó elői.felhaszn.terve'!E28+'ESZESZ elői.felhaszn.terve'!E28+'PH elői.felhaszn.terve'!E30</f>
        <v>0</v>
      </c>
      <c r="E26" s="216">
        <f>+'ÖK elői.felhaszn. terve'!F27+'Könyvtár elői.felhaszn.terve'!F28+'Városellátó elői.felhaszn.terve'!F28+'ESZESZ elői.felhaszn.terve'!F28+'PH elői.felhaszn.terve'!F30</f>
        <v>0</v>
      </c>
      <c r="F26" s="216">
        <f>+'ÖK elői.felhaszn. terve'!G27+'Könyvtár elői.felhaszn.terve'!G28+'Városellátó elői.felhaszn.terve'!G28+'ESZESZ elői.felhaszn.terve'!G28+'PH elői.felhaszn.terve'!G30</f>
        <v>7194</v>
      </c>
      <c r="G26" s="216">
        <f>+'ÖK elői.felhaszn. terve'!H27+'Könyvtár elői.felhaszn.terve'!H28+'Városellátó elői.felhaszn.terve'!H28+'ESZESZ elői.felhaszn.terve'!H28+'PH elői.felhaszn.terve'!H30</f>
        <v>1650</v>
      </c>
      <c r="H26" s="216">
        <f>+'ÖK elői.felhaszn. terve'!I27+'Könyvtár elői.felhaszn.terve'!I28+'Városellátó elői.felhaszn.terve'!I28+'ESZESZ elői.felhaszn.terve'!I28+'PH elői.felhaszn.terve'!I30</f>
        <v>8620</v>
      </c>
      <c r="I26" s="216">
        <f>+'ÖK elői.felhaszn. terve'!J27+'Könyvtár elői.felhaszn.terve'!J28+'Városellátó elői.felhaszn.terve'!J28+'ESZESZ elői.felhaszn.terve'!J28+'PH elői.felhaszn.terve'!J30</f>
        <v>0</v>
      </c>
      <c r="J26" s="216">
        <f>+'ÖK elői.felhaszn. terve'!K27+'Könyvtár elői.felhaszn.terve'!K28+'Városellátó elői.felhaszn.terve'!K28+'ESZESZ elői.felhaszn.terve'!K28+'PH elői.felhaszn.terve'!K30</f>
        <v>2000</v>
      </c>
      <c r="K26" s="216">
        <f>+'ÖK elői.felhaszn. terve'!L27+'Könyvtár elői.felhaszn.terve'!L28+'Városellátó elői.felhaszn.terve'!L28+'ESZESZ elői.felhaszn.terve'!L28+'PH elői.felhaszn.terve'!L30</f>
        <v>800</v>
      </c>
      <c r="L26" s="216">
        <f>+'ÖK elői.felhaszn. terve'!M27+'Könyvtár elői.felhaszn.terve'!M28+'Városellátó elői.felhaszn.terve'!M28+'ESZESZ elői.felhaszn.terve'!M28+'PH elői.felhaszn.terve'!M30</f>
        <v>10483</v>
      </c>
      <c r="M26" s="216">
        <f>+'ÖK elői.felhaszn. terve'!N27+'Könyvtár elői.felhaszn.terve'!N28+'Városellátó elői.felhaszn.terve'!N28+'ESZESZ elői.felhaszn.terve'!N28+'PH elői.felhaszn.terve'!N30</f>
        <v>22707</v>
      </c>
      <c r="N26" s="216">
        <f>+'ÖK elői.felhaszn. terve'!O27+'Könyvtár elői.felhaszn.terve'!O28+'Városellátó elői.felhaszn.terve'!O28+'ESZESZ elői.felhaszn.terve'!O28+'PH elői.felhaszn.terve'!O30</f>
        <v>26156</v>
      </c>
      <c r="O26" s="215">
        <f t="shared" si="1"/>
        <v>79610</v>
      </c>
      <c r="P26" s="95">
        <f>+'Kiad.intézményenként'!L36</f>
        <v>79610</v>
      </c>
      <c r="Q26" s="95">
        <f t="shared" si="0"/>
        <v>0</v>
      </c>
    </row>
    <row r="27" spans="1:47" s="435" customFormat="1" ht="13.5" customHeight="1" thickBot="1">
      <c r="A27" s="196" t="s">
        <v>45</v>
      </c>
      <c r="B27" s="197" t="s">
        <v>320</v>
      </c>
      <c r="C27" s="216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5">
        <f t="shared" si="1"/>
        <v>0</v>
      </c>
      <c r="P27" s="95"/>
      <c r="Q27" s="95">
        <f t="shared" si="0"/>
        <v>0</v>
      </c>
      <c r="R27" s="95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</row>
    <row r="28" spans="1:47" s="435" customFormat="1" ht="13.5" customHeight="1" thickBot="1">
      <c r="A28" s="204" t="s">
        <v>46</v>
      </c>
      <c r="B28" s="200" t="s">
        <v>321</v>
      </c>
      <c r="C28" s="218">
        <f>SUM(C17:C27)</f>
        <v>95569</v>
      </c>
      <c r="D28" s="218">
        <f aca="true" t="shared" si="3" ref="D28:N28">SUM(D17:D27)</f>
        <v>108034</v>
      </c>
      <c r="E28" s="218">
        <f t="shared" si="3"/>
        <v>105958</v>
      </c>
      <c r="F28" s="218">
        <f t="shared" si="3"/>
        <v>149911</v>
      </c>
      <c r="G28" s="218">
        <f t="shared" si="3"/>
        <v>66763</v>
      </c>
      <c r="H28" s="218">
        <f t="shared" si="3"/>
        <v>324604</v>
      </c>
      <c r="I28" s="218">
        <f t="shared" si="3"/>
        <v>73528</v>
      </c>
      <c r="J28" s="218">
        <f t="shared" si="3"/>
        <v>88903</v>
      </c>
      <c r="K28" s="218">
        <f t="shared" si="3"/>
        <v>68219</v>
      </c>
      <c r="L28" s="218">
        <f t="shared" si="3"/>
        <v>78261</v>
      </c>
      <c r="M28" s="218">
        <f t="shared" si="3"/>
        <v>98183</v>
      </c>
      <c r="N28" s="218">
        <f t="shared" si="3"/>
        <v>393171</v>
      </c>
      <c r="O28" s="219">
        <f>SUM(C28:N28)</f>
        <v>1651104</v>
      </c>
      <c r="P28" s="436">
        <f>+'Kiad.intézményenként'!N36</f>
        <v>1651104</v>
      </c>
      <c r="Q28" s="95">
        <f t="shared" si="0"/>
        <v>0</v>
      </c>
      <c r="R28" s="95">
        <f>SUM(O17:O26)</f>
        <v>1651104</v>
      </c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</row>
    <row r="29" spans="1:47" s="43" customFormat="1" ht="28.5" customHeight="1" thickBot="1">
      <c r="A29" s="204" t="s">
        <v>47</v>
      </c>
      <c r="B29" s="205" t="s">
        <v>326</v>
      </c>
      <c r="C29" s="220">
        <f>+C6+C15-C28</f>
        <v>50096</v>
      </c>
      <c r="D29" s="220">
        <f>+C29+D15-D28</f>
        <v>23800</v>
      </c>
      <c r="E29" s="220">
        <f aca="true" t="shared" si="4" ref="E29:N29">+D29+E15-E28</f>
        <v>118040</v>
      </c>
      <c r="F29" s="220">
        <f t="shared" si="4"/>
        <v>59322</v>
      </c>
      <c r="G29" s="220">
        <f t="shared" si="4"/>
        <v>74652</v>
      </c>
      <c r="H29" s="220">
        <f t="shared" si="4"/>
        <v>94173</v>
      </c>
      <c r="I29" s="220">
        <f t="shared" si="4"/>
        <v>103738</v>
      </c>
      <c r="J29" s="220">
        <f t="shared" si="4"/>
        <v>90928</v>
      </c>
      <c r="K29" s="220">
        <f t="shared" si="4"/>
        <v>121148</v>
      </c>
      <c r="L29" s="220">
        <f t="shared" si="4"/>
        <v>146291</v>
      </c>
      <c r="M29" s="220">
        <f t="shared" si="4"/>
        <v>190487</v>
      </c>
      <c r="N29" s="220">
        <f t="shared" si="4"/>
        <v>77957</v>
      </c>
      <c r="O29" s="221" t="s">
        <v>324</v>
      </c>
      <c r="P29" s="6"/>
      <c r="Q29" s="95" t="e">
        <f t="shared" si="0"/>
        <v>#VALUE!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15" ht="13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436"/>
    </row>
    <row r="31" spans="1:15" ht="13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436"/>
    </row>
    <row r="32" spans="1:15" ht="13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436"/>
    </row>
    <row r="33" spans="1:15" ht="13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436"/>
    </row>
    <row r="34" spans="1:15" ht="13.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436"/>
    </row>
    <row r="35" spans="1:15" ht="13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436"/>
    </row>
    <row r="36" spans="1:15" ht="13.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436"/>
    </row>
    <row r="37" spans="1:15" ht="13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436"/>
    </row>
    <row r="38" spans="1:15" ht="13.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436"/>
    </row>
    <row r="39" spans="1:15" ht="13.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436"/>
    </row>
    <row r="40" spans="1:15" ht="13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436"/>
    </row>
    <row r="41" spans="1:15" ht="13.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436"/>
    </row>
    <row r="42" spans="1:15" ht="13.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436"/>
    </row>
    <row r="43" spans="1:15" ht="13.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436"/>
    </row>
    <row r="44" spans="1:15" ht="13.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436"/>
    </row>
    <row r="45" spans="1:15" ht="13.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436"/>
    </row>
    <row r="46" spans="1:15" ht="13.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436"/>
    </row>
    <row r="47" spans="1:15" ht="13.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436"/>
    </row>
    <row r="48" spans="1:15" ht="13.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436"/>
    </row>
    <row r="49" spans="1:15" ht="13.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436"/>
    </row>
    <row r="50" spans="1:15" ht="13.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436"/>
    </row>
    <row r="51" spans="1:15" ht="13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436"/>
    </row>
    <row r="52" spans="1:15" ht="13.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436"/>
    </row>
    <row r="53" spans="1:15" ht="13.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436"/>
    </row>
    <row r="54" spans="1:15" ht="13.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436"/>
    </row>
    <row r="55" spans="1:15" ht="13.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436"/>
    </row>
    <row r="56" spans="1:15" ht="13.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436"/>
    </row>
    <row r="57" spans="1:15" ht="13.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436"/>
    </row>
    <row r="58" spans="1:15" ht="13.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436"/>
    </row>
    <row r="59" spans="1:15" ht="13.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436"/>
    </row>
    <row r="60" spans="1:15" ht="13.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436"/>
    </row>
    <row r="61" spans="1:15" ht="13.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436"/>
    </row>
    <row r="62" spans="1:15" ht="13.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436"/>
    </row>
    <row r="63" spans="1:15" ht="13.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436"/>
    </row>
    <row r="64" spans="1:15" ht="13.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436"/>
    </row>
    <row r="65" spans="1:15" ht="13.5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436"/>
    </row>
    <row r="66" spans="1:15" ht="13.5" customHeight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436"/>
    </row>
    <row r="67" spans="1:15" ht="13.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436"/>
    </row>
    <row r="68" spans="1:15" ht="13.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436"/>
    </row>
    <row r="69" spans="1:15" ht="13.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436"/>
    </row>
    <row r="70" spans="1:15" ht="13.5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436"/>
    </row>
    <row r="71" spans="1:15" ht="13.5" customHeight="1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436"/>
    </row>
    <row r="72" spans="1:15" ht="13.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436"/>
    </row>
    <row r="73" spans="1:15" ht="13.5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436"/>
    </row>
    <row r="74" spans="1:15" ht="13.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436"/>
    </row>
    <row r="75" spans="1:15" ht="13.5" customHeight="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436"/>
    </row>
    <row r="76" spans="1:15" ht="13.5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436"/>
    </row>
    <row r="77" spans="1:15" ht="13.5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436"/>
    </row>
    <row r="78" spans="1:15" ht="13.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436"/>
    </row>
    <row r="79" spans="1:15" ht="13.5" customHeigh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436"/>
    </row>
    <row r="80" spans="1:15" ht="13.5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436"/>
    </row>
    <row r="81" spans="1:15" ht="13.5" customHeight="1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436"/>
    </row>
    <row r="82" spans="1:15" ht="13.5" customHeight="1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436"/>
    </row>
    <row r="83" spans="1:15" ht="13.5" customHeight="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436"/>
    </row>
    <row r="84" spans="1:15" ht="13.5" customHeight="1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436"/>
    </row>
    <row r="85" spans="1:15" ht="13.5" customHeight="1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436"/>
    </row>
    <row r="86" spans="1:15" ht="13.5" customHeight="1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436"/>
    </row>
    <row r="87" spans="1:15" ht="13.5" customHeight="1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436"/>
    </row>
    <row r="88" spans="1:15" ht="13.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436"/>
    </row>
    <row r="89" spans="1:15" ht="13.5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436"/>
    </row>
    <row r="90" spans="1:15" ht="13.5" customHeight="1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436"/>
    </row>
    <row r="91" spans="1:15" ht="13.5" customHeight="1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436"/>
    </row>
    <row r="92" spans="1:15" ht="13.5" customHeight="1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436"/>
    </row>
    <row r="93" spans="1:15" ht="13.5" customHeight="1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436"/>
    </row>
    <row r="94" spans="1:15" ht="13.5" customHeight="1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436"/>
    </row>
    <row r="95" spans="1:15" ht="13.5" customHeight="1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436"/>
    </row>
    <row r="96" spans="1:15" ht="13.5" customHeight="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436"/>
    </row>
    <row r="97" spans="1:15" ht="13.5" customHeight="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436"/>
    </row>
    <row r="98" spans="1:15" ht="13.5" customHeight="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436"/>
    </row>
    <row r="99" spans="1:15" ht="13.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436"/>
    </row>
    <row r="100" spans="1:15" ht="13.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436"/>
    </row>
    <row r="101" spans="1:15" ht="13.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436"/>
    </row>
    <row r="102" spans="1:15" ht="13.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436"/>
    </row>
    <row r="103" spans="1:15" ht="13.5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436"/>
    </row>
    <row r="104" spans="1:15" ht="13.5" customHeight="1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436"/>
    </row>
    <row r="105" spans="1:15" ht="13.5" customHeight="1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436"/>
    </row>
    <row r="106" spans="1:15" ht="13.5" customHeight="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436"/>
    </row>
    <row r="107" spans="1:15" ht="13.5" customHeight="1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436"/>
    </row>
    <row r="108" spans="1:15" ht="13.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436"/>
    </row>
    <row r="109" spans="1:15" ht="13.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436"/>
    </row>
    <row r="110" spans="1:15" ht="13.5" customHeight="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436"/>
    </row>
    <row r="111" spans="1:15" ht="13.5" customHeight="1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436"/>
    </row>
    <row r="112" spans="1:15" ht="13.5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436"/>
    </row>
    <row r="113" spans="1:15" ht="13.5" customHeigh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436"/>
    </row>
    <row r="114" spans="1:15" ht="13.5" customHeigh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436"/>
    </row>
    <row r="115" spans="1:15" ht="13.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436"/>
    </row>
    <row r="116" spans="1:15" ht="13.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436"/>
    </row>
    <row r="117" spans="1:15" ht="13.5" customHeigh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436"/>
    </row>
    <row r="118" spans="1:15" ht="13.5" customHeigh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436"/>
    </row>
    <row r="119" spans="1:15" ht="13.5" customHeight="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436"/>
    </row>
    <row r="120" spans="1:15" ht="13.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436"/>
    </row>
    <row r="121" spans="1:15" ht="13.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436"/>
    </row>
    <row r="122" spans="1:15" ht="13.5" customHeigh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436"/>
    </row>
    <row r="123" spans="1:15" ht="13.5" customHeigh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436"/>
    </row>
    <row r="124" spans="1:15" ht="13.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436"/>
    </row>
    <row r="125" spans="1:15" ht="13.5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436"/>
    </row>
    <row r="126" spans="1:15" ht="13.5" customHeigh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436"/>
    </row>
    <row r="127" spans="1:15" ht="13.5" customHeigh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436"/>
    </row>
    <row r="128" spans="1:15" ht="13.5" customHeigh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436"/>
    </row>
    <row r="129" spans="1:15" ht="13.5" customHeigh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436"/>
    </row>
    <row r="130" spans="1:15" ht="13.5" customHeigh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436"/>
    </row>
    <row r="131" spans="1:15" ht="13.5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436"/>
    </row>
    <row r="132" spans="1:15" ht="13.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436"/>
    </row>
    <row r="133" spans="1:15" ht="13.5" customHeigh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436"/>
    </row>
    <row r="134" spans="1:15" ht="13.5" customHeigh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436"/>
    </row>
    <row r="135" spans="1:15" ht="13.5" customHeigh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436"/>
    </row>
    <row r="136" spans="1:15" ht="13.5" customHeigh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436"/>
    </row>
    <row r="137" spans="1:15" ht="13.5" customHeigh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436"/>
    </row>
    <row r="138" spans="1:15" ht="13.5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436"/>
    </row>
    <row r="139" spans="1:15" ht="13.5" customHeigh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436"/>
    </row>
    <row r="140" spans="1:15" ht="13.5" customHeigh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436"/>
    </row>
    <row r="141" spans="1:15" ht="13.5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436"/>
    </row>
    <row r="142" spans="1:15" ht="13.5" customHeigh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436"/>
    </row>
    <row r="143" spans="1:15" ht="13.5" customHeigh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436"/>
    </row>
    <row r="144" spans="1:15" ht="13.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436"/>
    </row>
    <row r="145" spans="1:15" ht="13.5" customHeigh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436"/>
    </row>
    <row r="146" spans="1:15" ht="13.5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436"/>
    </row>
    <row r="147" spans="1:15" ht="13.5" customHeigh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436"/>
    </row>
    <row r="148" spans="1:15" ht="13.5" customHeigh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436"/>
    </row>
    <row r="149" spans="1:15" ht="13.5" customHeigh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436"/>
    </row>
    <row r="150" spans="1:15" ht="13.5" customHeigh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436"/>
    </row>
    <row r="151" spans="1:15" ht="13.5" customHeigh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436"/>
    </row>
    <row r="152" spans="1:15" ht="13.5" customHeigh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436"/>
    </row>
    <row r="153" spans="1:15" ht="13.5" customHeigh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436"/>
    </row>
    <row r="154" spans="1:15" ht="13.5" customHeigh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436"/>
    </row>
    <row r="155" spans="1:15" ht="13.5" customHeigh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436"/>
    </row>
    <row r="156" spans="1:15" ht="13.5" customHeigh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436"/>
    </row>
    <row r="157" spans="1:15" ht="13.5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436"/>
    </row>
    <row r="158" spans="1:15" ht="13.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436"/>
    </row>
    <row r="159" spans="1:15" ht="13.5" customHeigh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436"/>
    </row>
    <row r="160" spans="1:15" ht="13.5" customHeigh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436"/>
    </row>
    <row r="161" spans="1:15" ht="13.5" customHeigh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436"/>
    </row>
    <row r="162" spans="1:15" ht="13.5" customHeigh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436"/>
    </row>
    <row r="163" spans="1:15" ht="13.5" customHeigh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436"/>
    </row>
    <row r="164" spans="1:15" ht="13.5" customHeigh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436"/>
    </row>
    <row r="165" spans="1:15" ht="13.5" customHeigh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436"/>
    </row>
    <row r="166" spans="1:15" ht="13.5" customHeigh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436"/>
    </row>
    <row r="167" spans="1:15" ht="13.5" customHeigh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436"/>
    </row>
    <row r="168" spans="1:15" ht="13.5" customHeigh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436"/>
    </row>
    <row r="169" spans="1:15" ht="13.5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436"/>
    </row>
    <row r="170" spans="1:15" ht="13.5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436"/>
    </row>
    <row r="171" spans="1:15" ht="13.5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436"/>
    </row>
    <row r="172" spans="1:15" ht="13.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436"/>
    </row>
    <row r="173" spans="1:15" ht="13.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436"/>
    </row>
    <row r="174" spans="1:15" ht="13.5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436"/>
    </row>
    <row r="175" spans="1:15" ht="13.5" customHeigh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436"/>
    </row>
    <row r="176" spans="1:15" ht="13.5" customHeigh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436"/>
    </row>
    <row r="177" spans="1:15" ht="13.5" customHeigh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436"/>
    </row>
    <row r="178" spans="1:15" ht="13.5" customHeigh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436"/>
    </row>
    <row r="179" spans="1:15" ht="13.5" customHeigh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436"/>
    </row>
    <row r="180" spans="1:15" ht="13.5" customHeigh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436"/>
    </row>
    <row r="181" spans="1:15" ht="13.5" customHeigh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436"/>
    </row>
    <row r="182" spans="1:15" ht="13.5" customHeigh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436"/>
    </row>
    <row r="183" spans="1:15" ht="13.5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436"/>
    </row>
    <row r="184" spans="1:15" ht="13.5" customHeigh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436"/>
    </row>
    <row r="185" spans="1:15" ht="13.5" customHeigh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436"/>
    </row>
    <row r="186" spans="1:15" ht="13.5" customHeigh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436"/>
    </row>
    <row r="187" spans="1:15" ht="13.5" customHeigh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436"/>
    </row>
    <row r="188" spans="1:15" ht="13.5" customHeigh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436"/>
    </row>
    <row r="189" spans="1:15" ht="13.5" customHeigh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436"/>
    </row>
    <row r="190" spans="1:15" ht="13.5" customHeigh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436"/>
    </row>
    <row r="191" spans="1:15" ht="13.5" customHeight="1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436"/>
    </row>
    <row r="192" spans="1:15" ht="13.5" customHeight="1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436"/>
    </row>
    <row r="193" spans="1:15" ht="13.5" customHeight="1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436"/>
    </row>
    <row r="194" spans="1:15" ht="13.5" customHeigh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436"/>
    </row>
    <row r="195" spans="1:15" ht="13.5" customHeight="1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436"/>
    </row>
    <row r="196" spans="1:15" ht="13.5" customHeight="1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436"/>
    </row>
    <row r="197" spans="1:15" ht="13.5" customHeight="1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436"/>
    </row>
    <row r="198" spans="1:15" ht="13.5" customHeight="1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436"/>
    </row>
    <row r="199" spans="1:15" ht="13.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436"/>
    </row>
    <row r="200" spans="1:15" ht="13.5" customHeight="1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436"/>
    </row>
    <row r="201" spans="1:15" ht="13.5" customHeight="1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436"/>
    </row>
    <row r="202" spans="1:15" ht="13.5" customHeight="1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436"/>
    </row>
    <row r="203" spans="1:15" ht="13.5" customHeight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436"/>
    </row>
    <row r="204" spans="1:15" ht="13.5" customHeight="1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436"/>
    </row>
    <row r="205" spans="1:15" ht="13.5" customHeight="1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436"/>
    </row>
    <row r="206" spans="1:15" ht="13.5" customHeigh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436"/>
    </row>
    <row r="207" spans="1:15" ht="13.5" customHeight="1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436"/>
    </row>
    <row r="208" spans="1:15" ht="13.5" customHeight="1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436"/>
    </row>
    <row r="209" spans="1:15" ht="13.5" customHeight="1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436"/>
    </row>
    <row r="210" spans="1:15" ht="13.5" customHeigh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436"/>
    </row>
    <row r="211" spans="1:15" ht="13.5" customHeigh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436"/>
    </row>
    <row r="212" spans="1:15" ht="13.5" customHeight="1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436"/>
    </row>
    <row r="213" spans="1:15" ht="13.5" customHeight="1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436"/>
    </row>
    <row r="214" spans="1:15" ht="13.5" customHeight="1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436"/>
    </row>
    <row r="215" spans="1:15" ht="13.5" customHeight="1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436"/>
    </row>
    <row r="216" spans="1:15" ht="13.5" customHeight="1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436"/>
    </row>
    <row r="217" spans="1:15" ht="13.5" customHeight="1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436"/>
    </row>
    <row r="218" spans="1:15" ht="13.5" customHeight="1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436"/>
    </row>
    <row r="219" spans="1:15" ht="13.5" customHeight="1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436"/>
    </row>
    <row r="220" spans="1:15" ht="13.5" customHeight="1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436"/>
    </row>
    <row r="221" spans="1:15" ht="13.5" customHeight="1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436"/>
    </row>
    <row r="222" spans="1:15" ht="13.5" customHeight="1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436"/>
    </row>
    <row r="223" spans="1:15" ht="13.5" customHeight="1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436"/>
    </row>
    <row r="224" spans="1:15" ht="13.5" customHeight="1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436"/>
    </row>
    <row r="225" spans="1:15" ht="13.5" customHeight="1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436"/>
    </row>
    <row r="226" spans="1:15" ht="13.5" customHeight="1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436"/>
    </row>
    <row r="227" spans="1:15" ht="13.5" customHeight="1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436"/>
    </row>
    <row r="228" spans="1:15" ht="13.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436"/>
    </row>
    <row r="229" spans="1:15" ht="13.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436"/>
    </row>
    <row r="230" spans="1:15" ht="13.5" customHeight="1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436"/>
    </row>
    <row r="231" spans="1:15" ht="13.5" customHeight="1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436"/>
    </row>
    <row r="232" spans="1:15" ht="13.5" customHeight="1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436"/>
    </row>
    <row r="233" spans="1:15" ht="13.5" customHeight="1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436"/>
    </row>
    <row r="234" spans="1:15" ht="13.5" customHeight="1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436"/>
    </row>
    <row r="235" spans="1:15" ht="13.5" customHeight="1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436"/>
    </row>
    <row r="236" spans="1:15" ht="13.5" customHeight="1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436"/>
    </row>
    <row r="237" spans="1:15" ht="13.5" customHeight="1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436"/>
    </row>
    <row r="238" spans="1:15" ht="13.5" customHeight="1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436"/>
    </row>
    <row r="239" spans="1:15" ht="13.5" customHeight="1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436"/>
    </row>
    <row r="240" spans="1:15" ht="13.5" customHeight="1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436"/>
    </row>
    <row r="241" spans="1:15" ht="13.5" customHeight="1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436"/>
    </row>
    <row r="242" spans="1:15" ht="13.5" customHeight="1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436"/>
    </row>
    <row r="243" spans="1:15" ht="13.5" customHeight="1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436"/>
    </row>
    <row r="244" spans="1:15" ht="13.5" customHeight="1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436"/>
    </row>
    <row r="245" spans="1:15" ht="13.5" customHeight="1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436"/>
    </row>
    <row r="246" spans="1:15" ht="13.5" customHeight="1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436"/>
    </row>
    <row r="247" spans="1:15" ht="13.5" customHeight="1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436"/>
    </row>
    <row r="248" spans="1:15" ht="13.5" customHeight="1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436"/>
    </row>
    <row r="249" spans="1:15" ht="13.5" customHeight="1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436"/>
    </row>
    <row r="250" spans="1:15" ht="13.5" customHeight="1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436"/>
    </row>
    <row r="251" spans="1:15" ht="13.5" customHeight="1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436"/>
    </row>
    <row r="252" spans="1:15" ht="13.5" customHeight="1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436"/>
    </row>
    <row r="253" spans="1:15" ht="13.5" customHeight="1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436"/>
    </row>
    <row r="254" spans="1:15" ht="13.5" customHeight="1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436"/>
    </row>
    <row r="255" spans="1:15" ht="13.5" customHeight="1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436"/>
    </row>
    <row r="256" spans="1:15" ht="13.5" customHeight="1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436"/>
    </row>
    <row r="257" spans="1:15" ht="13.5" customHeight="1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436"/>
    </row>
  </sheetData>
  <sheetProtection/>
  <mergeCells count="1">
    <mergeCell ref="A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&amp;L16. melléklet a 2015. évi   2/2015.(II.25.) Önkormányzati költségvetési rendelethez&amp;R2015.02.25</oddHeader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.421875" style="48" customWidth="1"/>
    <col min="2" max="2" width="4.8515625" style="48" bestFit="1" customWidth="1"/>
    <col min="3" max="3" width="35.57421875" style="48" customWidth="1"/>
    <col min="4" max="16384" width="9.140625" style="48" customWidth="1"/>
  </cols>
  <sheetData>
    <row r="1" spans="2:16" ht="12.75"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748"/>
      <c r="P1" s="748"/>
    </row>
    <row r="2" spans="2:16" ht="15.75">
      <c r="B2" s="749" t="s">
        <v>344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</row>
    <row r="3" spans="2:16" ht="15.75">
      <c r="B3" s="749" t="s">
        <v>410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</row>
    <row r="4" spans="2:16" ht="15.75"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2" t="s">
        <v>288</v>
      </c>
    </row>
    <row r="5" spans="1:16" ht="16.5" thickBot="1">
      <c r="A5" s="48" t="s">
        <v>11</v>
      </c>
      <c r="B5" s="673" t="s">
        <v>12</v>
      </c>
      <c r="C5" s="674" t="s">
        <v>13</v>
      </c>
      <c r="D5" s="674" t="s">
        <v>14</v>
      </c>
      <c r="E5" s="674" t="s">
        <v>15</v>
      </c>
      <c r="F5" s="674" t="s">
        <v>16</v>
      </c>
      <c r="G5" s="674" t="s">
        <v>17</v>
      </c>
      <c r="H5" s="674" t="s">
        <v>18</v>
      </c>
      <c r="I5" s="674" t="s">
        <v>63</v>
      </c>
      <c r="J5" s="674" t="s">
        <v>355</v>
      </c>
      <c r="K5" s="674" t="s">
        <v>349</v>
      </c>
      <c r="L5" s="674" t="s">
        <v>350</v>
      </c>
      <c r="M5" s="674" t="s">
        <v>352</v>
      </c>
      <c r="N5" s="674" t="s">
        <v>356</v>
      </c>
      <c r="O5" s="674" t="s">
        <v>357</v>
      </c>
      <c r="P5" s="674" t="s">
        <v>358</v>
      </c>
    </row>
    <row r="6" spans="1:16" ht="24.75" thickBot="1">
      <c r="A6" s="48" t="s">
        <v>20</v>
      </c>
      <c r="B6" s="675" t="s">
        <v>289</v>
      </c>
      <c r="C6" s="647" t="s">
        <v>67</v>
      </c>
      <c r="D6" s="647" t="s">
        <v>290</v>
      </c>
      <c r="E6" s="647" t="s">
        <v>291</v>
      </c>
      <c r="F6" s="647" t="s">
        <v>292</v>
      </c>
      <c r="G6" s="647" t="s">
        <v>293</v>
      </c>
      <c r="H6" s="647" t="s">
        <v>294</v>
      </c>
      <c r="I6" s="647" t="s">
        <v>295</v>
      </c>
      <c r="J6" s="647" t="s">
        <v>296</v>
      </c>
      <c r="K6" s="647" t="s">
        <v>297</v>
      </c>
      <c r="L6" s="647" t="s">
        <v>298</v>
      </c>
      <c r="M6" s="647" t="s">
        <v>299</v>
      </c>
      <c r="N6" s="647" t="s">
        <v>300</v>
      </c>
      <c r="O6" s="647" t="s">
        <v>301</v>
      </c>
      <c r="P6" s="648" t="s">
        <v>302</v>
      </c>
    </row>
    <row r="7" spans="1:16" ht="13.5" thickBot="1">
      <c r="A7" s="48" t="s">
        <v>21</v>
      </c>
      <c r="B7" s="676" t="s">
        <v>20</v>
      </c>
      <c r="C7" s="744" t="s">
        <v>97</v>
      </c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6"/>
    </row>
    <row r="8" spans="1:16" ht="12.75">
      <c r="A8" s="48" t="s">
        <v>22</v>
      </c>
      <c r="B8" s="677" t="s">
        <v>21</v>
      </c>
      <c r="C8" s="652" t="s">
        <v>303</v>
      </c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9">
        <f>SUM(D8:O8)</f>
        <v>0</v>
      </c>
    </row>
    <row r="9" spans="1:18" ht="12.75">
      <c r="A9" s="48" t="s">
        <v>23</v>
      </c>
      <c r="B9" s="680" t="s">
        <v>22</v>
      </c>
      <c r="C9" s="656" t="s">
        <v>304</v>
      </c>
      <c r="D9" s="681">
        <v>742</v>
      </c>
      <c r="E9" s="681">
        <f>+D9</f>
        <v>742</v>
      </c>
      <c r="F9" s="681">
        <f aca="true" t="shared" si="0" ref="F9:N9">+E9</f>
        <v>742</v>
      </c>
      <c r="G9" s="681">
        <f t="shared" si="0"/>
        <v>742</v>
      </c>
      <c r="H9" s="681">
        <f t="shared" si="0"/>
        <v>742</v>
      </c>
      <c r="I9" s="681">
        <f t="shared" si="0"/>
        <v>742</v>
      </c>
      <c r="J9" s="681">
        <f t="shared" si="0"/>
        <v>742</v>
      </c>
      <c r="K9" s="681">
        <v>742</v>
      </c>
      <c r="L9" s="681">
        <v>742</v>
      </c>
      <c r="M9" s="681">
        <f t="shared" si="0"/>
        <v>742</v>
      </c>
      <c r="N9" s="681">
        <f t="shared" si="0"/>
        <v>742</v>
      </c>
      <c r="O9" s="681">
        <f>+N9-1+1638</f>
        <v>2379</v>
      </c>
      <c r="P9" s="682">
        <f aca="true" t="shared" si="1" ref="P9:P15">SUM(D9:O9)</f>
        <v>10541</v>
      </c>
      <c r="Q9" s="47">
        <f>+'Bev.intézményenként'!D13</f>
        <v>10541</v>
      </c>
      <c r="R9" s="47">
        <f>+Q9-P9</f>
        <v>0</v>
      </c>
    </row>
    <row r="10" spans="1:16" ht="12.75">
      <c r="A10" s="48" t="s">
        <v>24</v>
      </c>
      <c r="B10" s="680" t="s">
        <v>23</v>
      </c>
      <c r="C10" s="659" t="s">
        <v>305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2">
        <f t="shared" si="1"/>
        <v>0</v>
      </c>
    </row>
    <row r="11" spans="1:16" ht="12.75">
      <c r="A11" s="48" t="s">
        <v>25</v>
      </c>
      <c r="B11" s="680" t="s">
        <v>24</v>
      </c>
      <c r="C11" s="656" t="s">
        <v>306</v>
      </c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2">
        <f t="shared" si="1"/>
        <v>0</v>
      </c>
    </row>
    <row r="12" spans="1:16" ht="12.75">
      <c r="A12" s="48" t="s">
        <v>26</v>
      </c>
      <c r="B12" s="680" t="s">
        <v>25</v>
      </c>
      <c r="C12" s="656" t="s">
        <v>307</v>
      </c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2">
        <f t="shared" si="1"/>
        <v>0</v>
      </c>
    </row>
    <row r="13" spans="1:18" ht="12.75">
      <c r="A13" s="48" t="s">
        <v>27</v>
      </c>
      <c r="B13" s="680" t="s">
        <v>26</v>
      </c>
      <c r="C13" s="656" t="s">
        <v>308</v>
      </c>
      <c r="D13" s="681">
        <v>2708</v>
      </c>
      <c r="E13" s="681">
        <f>+D13+54</f>
        <v>2762</v>
      </c>
      <c r="F13" s="681">
        <f>+E13+2356+800-54</f>
        <v>5864</v>
      </c>
      <c r="G13" s="681">
        <f>2708+1000</f>
        <v>3708</v>
      </c>
      <c r="H13" s="681">
        <v>2708</v>
      </c>
      <c r="I13" s="681">
        <f>+H13</f>
        <v>2708</v>
      </c>
      <c r="J13" s="681">
        <f>+I13</f>
        <v>2708</v>
      </c>
      <c r="K13" s="681">
        <f>+J13</f>
        <v>2708</v>
      </c>
      <c r="L13" s="681">
        <f>+K13</f>
        <v>2708</v>
      </c>
      <c r="M13" s="681">
        <f>+L13</f>
        <v>2708</v>
      </c>
      <c r="N13" s="681">
        <f>+M13+3074</f>
        <v>5782</v>
      </c>
      <c r="O13" s="681">
        <f>2712+9898</f>
        <v>12610</v>
      </c>
      <c r="P13" s="682">
        <f t="shared" si="1"/>
        <v>49682</v>
      </c>
      <c r="Q13" s="47">
        <f>+'Bev.intézményenként'!F13+'Bev.intézményenként'!G13</f>
        <v>49682</v>
      </c>
      <c r="R13" s="47">
        <f>+Q13-P13</f>
        <v>0</v>
      </c>
    </row>
    <row r="14" spans="1:18" ht="12.75">
      <c r="A14" s="48" t="s">
        <v>28</v>
      </c>
      <c r="B14" s="680" t="s">
        <v>27</v>
      </c>
      <c r="C14" s="656" t="s">
        <v>309</v>
      </c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2">
        <f t="shared" si="1"/>
        <v>0</v>
      </c>
      <c r="R14" s="47">
        <f>+Q14-P14</f>
        <v>0</v>
      </c>
    </row>
    <row r="15" spans="1:18" ht="22.5">
      <c r="A15" s="48" t="s">
        <v>29</v>
      </c>
      <c r="B15" s="680" t="s">
        <v>28</v>
      </c>
      <c r="C15" s="662" t="s">
        <v>310</v>
      </c>
      <c r="D15" s="681"/>
      <c r="E15" s="681">
        <v>616</v>
      </c>
      <c r="F15" s="681"/>
      <c r="G15" s="681"/>
      <c r="H15" s="681"/>
      <c r="I15" s="681"/>
      <c r="J15" s="681"/>
      <c r="K15" s="681"/>
      <c r="L15" s="681"/>
      <c r="M15" s="681"/>
      <c r="N15" s="681"/>
      <c r="O15" s="681">
        <v>284</v>
      </c>
      <c r="P15" s="682">
        <f t="shared" si="1"/>
        <v>900</v>
      </c>
      <c r="Q15" s="48">
        <f>+'Bev.intézményenként'!E13</f>
        <v>900</v>
      </c>
      <c r="R15" s="47">
        <f>+Q15-P15</f>
        <v>0</v>
      </c>
    </row>
    <row r="16" spans="1:18" ht="13.5" thickBot="1">
      <c r="A16" s="48" t="s">
        <v>30</v>
      </c>
      <c r="B16" s="680" t="s">
        <v>29</v>
      </c>
      <c r="C16" s="656" t="s">
        <v>215</v>
      </c>
      <c r="D16" s="681">
        <f>+D30-D8-D9-D10-D11-D12-D13-D14-D15</f>
        <v>8996</v>
      </c>
      <c r="E16" s="681">
        <f aca="true" t="shared" si="2" ref="E16:O16">+E30-E8-E9-E10-E11-E12-E13-E14-E15</f>
        <v>9135</v>
      </c>
      <c r="F16" s="681">
        <f t="shared" si="2"/>
        <v>4716</v>
      </c>
      <c r="G16" s="681">
        <f t="shared" si="2"/>
        <v>7072</v>
      </c>
      <c r="H16" s="681">
        <f t="shared" si="2"/>
        <v>7722</v>
      </c>
      <c r="I16" s="681">
        <f t="shared" si="2"/>
        <v>8222</v>
      </c>
      <c r="J16" s="681">
        <f t="shared" si="2"/>
        <v>7072</v>
      </c>
      <c r="K16" s="681">
        <f t="shared" si="2"/>
        <v>9614</v>
      </c>
      <c r="L16" s="681">
        <f t="shared" si="2"/>
        <v>7614</v>
      </c>
      <c r="M16" s="681">
        <f t="shared" si="2"/>
        <v>7614</v>
      </c>
      <c r="N16" s="681">
        <f t="shared" si="2"/>
        <v>8946</v>
      </c>
      <c r="O16" s="681">
        <f t="shared" si="2"/>
        <v>4551</v>
      </c>
      <c r="P16" s="684">
        <f>SUM(D16:O16)</f>
        <v>91274</v>
      </c>
      <c r="Q16" s="47">
        <f>+'Bev.intézményenként'!J13</f>
        <v>91274</v>
      </c>
      <c r="R16" s="47">
        <f>+Q16-P16</f>
        <v>0</v>
      </c>
    </row>
    <row r="17" spans="1:18" ht="13.5" thickBot="1">
      <c r="A17" s="48" t="s">
        <v>31</v>
      </c>
      <c r="B17" s="676" t="s">
        <v>30</v>
      </c>
      <c r="C17" s="663" t="s">
        <v>311</v>
      </c>
      <c r="D17" s="685">
        <f>SUM(D8:D16)</f>
        <v>12446</v>
      </c>
      <c r="E17" s="685">
        <f aca="true" t="shared" si="3" ref="E17:P17">SUM(E8:E16)</f>
        <v>13255</v>
      </c>
      <c r="F17" s="685">
        <f t="shared" si="3"/>
        <v>11322</v>
      </c>
      <c r="G17" s="685">
        <f t="shared" si="3"/>
        <v>11522</v>
      </c>
      <c r="H17" s="685">
        <f t="shared" si="3"/>
        <v>11172</v>
      </c>
      <c r="I17" s="685">
        <f t="shared" si="3"/>
        <v>11672</v>
      </c>
      <c r="J17" s="685">
        <f t="shared" si="3"/>
        <v>10522</v>
      </c>
      <c r="K17" s="685">
        <f t="shared" si="3"/>
        <v>13064</v>
      </c>
      <c r="L17" s="685">
        <f t="shared" si="3"/>
        <v>11064</v>
      </c>
      <c r="M17" s="685">
        <f t="shared" si="3"/>
        <v>11064</v>
      </c>
      <c r="N17" s="685">
        <f t="shared" si="3"/>
        <v>15470</v>
      </c>
      <c r="O17" s="685">
        <f t="shared" si="3"/>
        <v>19824</v>
      </c>
      <c r="P17" s="685">
        <f t="shared" si="3"/>
        <v>152397</v>
      </c>
      <c r="R17" s="47">
        <f>+Q17-P17</f>
        <v>-152397</v>
      </c>
    </row>
    <row r="18" spans="1:16" ht="13.5" thickBot="1">
      <c r="A18" s="48" t="s">
        <v>32</v>
      </c>
      <c r="B18" s="676" t="s">
        <v>31</v>
      </c>
      <c r="C18" s="744" t="s">
        <v>119</v>
      </c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7"/>
    </row>
    <row r="19" spans="1:19" ht="12.75">
      <c r="A19" s="48" t="s">
        <v>33</v>
      </c>
      <c r="B19" s="686" t="s">
        <v>32</v>
      </c>
      <c r="C19" s="665" t="s">
        <v>208</v>
      </c>
      <c r="D19" s="683">
        <f>5542+334</f>
        <v>5876</v>
      </c>
      <c r="E19" s="683">
        <f>+D19+1</f>
        <v>5877</v>
      </c>
      <c r="F19" s="683">
        <v>5542</v>
      </c>
      <c r="G19" s="683">
        <f aca="true" t="shared" si="4" ref="G19:M19">+F19</f>
        <v>5542</v>
      </c>
      <c r="H19" s="683">
        <f t="shared" si="4"/>
        <v>5542</v>
      </c>
      <c r="I19" s="683">
        <f>+H19+906</f>
        <v>6448</v>
      </c>
      <c r="J19" s="683">
        <v>5542</v>
      </c>
      <c r="K19" s="683">
        <f>+J19+427</f>
        <v>5969</v>
      </c>
      <c r="L19" s="683">
        <f t="shared" si="4"/>
        <v>5969</v>
      </c>
      <c r="M19" s="683">
        <f t="shared" si="4"/>
        <v>5969</v>
      </c>
      <c r="N19" s="683">
        <f>+M19+541+508+1074</f>
        <v>8092</v>
      </c>
      <c r="O19" s="683">
        <f>5969+8359</f>
        <v>14328</v>
      </c>
      <c r="P19" s="687">
        <f>SUM(D19:O19)</f>
        <v>80696</v>
      </c>
      <c r="Q19" s="47">
        <f>+'Kiad.intézményenként'!D12</f>
        <v>80696</v>
      </c>
      <c r="R19" s="47">
        <f>+Q19-P19</f>
        <v>0</v>
      </c>
      <c r="S19" s="48">
        <f>+R19/5</f>
        <v>0</v>
      </c>
    </row>
    <row r="20" spans="1:19" ht="24.75" customHeight="1">
      <c r="A20" s="48" t="s">
        <v>34</v>
      </c>
      <c r="B20" s="680" t="s">
        <v>33</v>
      </c>
      <c r="C20" s="662" t="s">
        <v>312</v>
      </c>
      <c r="D20" s="681">
        <f>1482+90</f>
        <v>1572</v>
      </c>
      <c r="E20" s="681">
        <f>+D20</f>
        <v>1572</v>
      </c>
      <c r="F20" s="681">
        <v>1482</v>
      </c>
      <c r="G20" s="681">
        <f aca="true" t="shared" si="5" ref="G20:M20">+F20</f>
        <v>1482</v>
      </c>
      <c r="H20" s="681">
        <f t="shared" si="5"/>
        <v>1482</v>
      </c>
      <c r="I20" s="681">
        <f>+H20+244</f>
        <v>1726</v>
      </c>
      <c r="J20" s="681">
        <v>1482</v>
      </c>
      <c r="K20" s="681">
        <f>+J20+115</f>
        <v>1597</v>
      </c>
      <c r="L20" s="681">
        <f t="shared" si="5"/>
        <v>1597</v>
      </c>
      <c r="M20" s="681">
        <f t="shared" si="5"/>
        <v>1597</v>
      </c>
      <c r="N20" s="681">
        <f>+M20+146+137+110</f>
        <v>1990</v>
      </c>
      <c r="O20" s="681">
        <f>1608+2118</f>
        <v>3726</v>
      </c>
      <c r="P20" s="687">
        <f aca="true" t="shared" si="6" ref="P20:P28">SUM(D20:O20)</f>
        <v>21305</v>
      </c>
      <c r="Q20" s="47">
        <f>+'Kiad.intézményenként'!E12</f>
        <v>21305</v>
      </c>
      <c r="R20" s="47">
        <f>+Q20-P20</f>
        <v>0</v>
      </c>
      <c r="S20" s="48">
        <f>+R20/5</f>
        <v>0</v>
      </c>
    </row>
    <row r="21" spans="1:18" ht="12.75">
      <c r="A21" s="48" t="s">
        <v>35</v>
      </c>
      <c r="B21" s="680" t="s">
        <v>34</v>
      </c>
      <c r="C21" s="656" t="s">
        <v>244</v>
      </c>
      <c r="D21" s="681">
        <f>3498+1500</f>
        <v>4998</v>
      </c>
      <c r="E21" s="681">
        <f>5752+54</f>
        <v>5806</v>
      </c>
      <c r="F21" s="681">
        <f>3498+800</f>
        <v>4298</v>
      </c>
      <c r="G21" s="681">
        <f>3498+1000</f>
        <v>4498</v>
      </c>
      <c r="H21" s="681">
        <v>3498</v>
      </c>
      <c r="I21" s="681">
        <f>+H21</f>
        <v>3498</v>
      </c>
      <c r="J21" s="681">
        <f>+I21</f>
        <v>3498</v>
      </c>
      <c r="K21" s="681">
        <f>+J21</f>
        <v>3498</v>
      </c>
      <c r="L21" s="681">
        <f>+K21</f>
        <v>3498</v>
      </c>
      <c r="M21" s="681">
        <f>+L21</f>
        <v>3498</v>
      </c>
      <c r="N21" s="681">
        <f>+M21+1890</f>
        <v>5388</v>
      </c>
      <c r="O21" s="681">
        <f>3494-1724</f>
        <v>1770</v>
      </c>
      <c r="P21" s="687">
        <f t="shared" si="6"/>
        <v>47746</v>
      </c>
      <c r="Q21" s="47">
        <f>+'Kiad.intézményenként'!F12</f>
        <v>47746</v>
      </c>
      <c r="R21" s="47">
        <f>+Q21-P21</f>
        <v>0</v>
      </c>
    </row>
    <row r="22" spans="1:16" ht="12.75">
      <c r="A22" s="48" t="s">
        <v>36</v>
      </c>
      <c r="B22" s="680" t="s">
        <v>35</v>
      </c>
      <c r="C22" s="656" t="s">
        <v>313</v>
      </c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7">
        <f t="shared" si="6"/>
        <v>0</v>
      </c>
    </row>
    <row r="23" spans="1:16" ht="12.75">
      <c r="A23" s="48" t="s">
        <v>37</v>
      </c>
      <c r="B23" s="680" t="s">
        <v>36</v>
      </c>
      <c r="C23" s="656" t="s">
        <v>314</v>
      </c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7">
        <f t="shared" si="6"/>
        <v>0</v>
      </c>
    </row>
    <row r="24" spans="1:16" ht="12.75">
      <c r="A24" s="48" t="s">
        <v>40</v>
      </c>
      <c r="B24" s="680" t="s">
        <v>37</v>
      </c>
      <c r="C24" s="656" t="s">
        <v>315</v>
      </c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7">
        <f t="shared" si="6"/>
        <v>0</v>
      </c>
    </row>
    <row r="25" spans="1:16" ht="21" customHeight="1">
      <c r="A25" s="48" t="s">
        <v>42</v>
      </c>
      <c r="B25" s="680" t="s">
        <v>40</v>
      </c>
      <c r="C25" s="662" t="s">
        <v>316</v>
      </c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7">
        <f t="shared" si="6"/>
        <v>0</v>
      </c>
    </row>
    <row r="26" spans="1:16" ht="12.75">
      <c r="A26" s="48" t="s">
        <v>43</v>
      </c>
      <c r="B26" s="680" t="s">
        <v>42</v>
      </c>
      <c r="C26" s="656" t="s">
        <v>317</v>
      </c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7">
        <f t="shared" si="6"/>
        <v>0</v>
      </c>
    </row>
    <row r="27" spans="1:16" ht="12.75">
      <c r="A27" s="48" t="s">
        <v>44</v>
      </c>
      <c r="B27" s="680" t="s">
        <v>43</v>
      </c>
      <c r="C27" s="656" t="s">
        <v>318</v>
      </c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7">
        <f t="shared" si="6"/>
        <v>0</v>
      </c>
    </row>
    <row r="28" spans="1:16" ht="12.75">
      <c r="A28" s="48" t="s">
        <v>45</v>
      </c>
      <c r="B28" s="680" t="s">
        <v>44</v>
      </c>
      <c r="C28" s="656" t="s">
        <v>319</v>
      </c>
      <c r="D28" s="681"/>
      <c r="E28" s="681"/>
      <c r="F28" s="681"/>
      <c r="G28" s="681"/>
      <c r="H28" s="681">
        <v>650</v>
      </c>
      <c r="I28" s="681"/>
      <c r="J28" s="681"/>
      <c r="K28" s="681">
        <v>2000</v>
      </c>
      <c r="L28" s="681"/>
      <c r="M28" s="681"/>
      <c r="N28" s="681"/>
      <c r="O28" s="681"/>
      <c r="P28" s="687">
        <f t="shared" si="6"/>
        <v>2650</v>
      </c>
    </row>
    <row r="29" spans="1:16" ht="13.5" thickBot="1">
      <c r="A29" s="48" t="s">
        <v>46</v>
      </c>
      <c r="B29" s="680" t="s">
        <v>45</v>
      </c>
      <c r="C29" s="656" t="s">
        <v>320</v>
      </c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7">
        <f>SUM(D29:O29)</f>
        <v>0</v>
      </c>
    </row>
    <row r="30" spans="1:16" ht="13.5" thickBot="1">
      <c r="A30" s="48" t="s">
        <v>47</v>
      </c>
      <c r="B30" s="688" t="s">
        <v>46</v>
      </c>
      <c r="C30" s="663" t="s">
        <v>321</v>
      </c>
      <c r="D30" s="685">
        <f>SUM(D19:D29)</f>
        <v>12446</v>
      </c>
      <c r="E30" s="685">
        <f aca="true" t="shared" si="7" ref="E30:O30">SUM(E19:E29)</f>
        <v>13255</v>
      </c>
      <c r="F30" s="685">
        <f t="shared" si="7"/>
        <v>11322</v>
      </c>
      <c r="G30" s="685">
        <f t="shared" si="7"/>
        <v>11522</v>
      </c>
      <c r="H30" s="685">
        <f t="shared" si="7"/>
        <v>11172</v>
      </c>
      <c r="I30" s="685">
        <f t="shared" si="7"/>
        <v>11672</v>
      </c>
      <c r="J30" s="685">
        <f t="shared" si="7"/>
        <v>10522</v>
      </c>
      <c r="K30" s="685">
        <f t="shared" si="7"/>
        <v>13064</v>
      </c>
      <c r="L30" s="685">
        <f t="shared" si="7"/>
        <v>11064</v>
      </c>
      <c r="M30" s="685">
        <f t="shared" si="7"/>
        <v>11064</v>
      </c>
      <c r="N30" s="685">
        <f t="shared" si="7"/>
        <v>15470</v>
      </c>
      <c r="O30" s="685">
        <f t="shared" si="7"/>
        <v>19824</v>
      </c>
      <c r="P30" s="690">
        <f>SUM(P19:P29)</f>
        <v>152397</v>
      </c>
    </row>
    <row r="31" spans="1:16" ht="13.5" thickBot="1">
      <c r="A31" s="48" t="s">
        <v>48</v>
      </c>
      <c r="B31" s="688" t="s">
        <v>47</v>
      </c>
      <c r="C31" s="667" t="s">
        <v>322</v>
      </c>
      <c r="D31" s="691">
        <f>+D30-D17</f>
        <v>0</v>
      </c>
      <c r="E31" s="691">
        <f aca="true" t="shared" si="8" ref="E31:P31">+E30-E17</f>
        <v>0</v>
      </c>
      <c r="F31" s="691">
        <f t="shared" si="8"/>
        <v>0</v>
      </c>
      <c r="G31" s="691">
        <f t="shared" si="8"/>
        <v>0</v>
      </c>
      <c r="H31" s="691">
        <f t="shared" si="8"/>
        <v>0</v>
      </c>
      <c r="I31" s="691">
        <f t="shared" si="8"/>
        <v>0</v>
      </c>
      <c r="J31" s="691">
        <f t="shared" si="8"/>
        <v>0</v>
      </c>
      <c r="K31" s="691">
        <f t="shared" si="8"/>
        <v>0</v>
      </c>
      <c r="L31" s="691">
        <f t="shared" si="8"/>
        <v>0</v>
      </c>
      <c r="M31" s="691">
        <f t="shared" si="8"/>
        <v>0</v>
      </c>
      <c r="N31" s="691">
        <f t="shared" si="8"/>
        <v>0</v>
      </c>
      <c r="O31" s="691">
        <f t="shared" si="8"/>
        <v>0</v>
      </c>
      <c r="P31" s="691">
        <f t="shared" si="8"/>
        <v>0</v>
      </c>
    </row>
    <row r="32" spans="2:16" ht="15.75">
      <c r="B32" s="692"/>
      <c r="C32" s="693"/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4"/>
    </row>
    <row r="33" spans="2:16" ht="15.75">
      <c r="B33" s="694"/>
      <c r="C33" s="695"/>
      <c r="D33" s="696"/>
      <c r="E33" s="697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8">
        <f>+P30-P17</f>
        <v>0</v>
      </c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 melléklet a 2015. évi   2/2015.(II.25.) Önkormányzati költségvetési rendelethez&amp;R2015.02.25</oddHeader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35"/>
  <sheetViews>
    <sheetView view="pageLayout" workbookViewId="0" topLeftCell="A1">
      <selection activeCell="L80" sqref="L80"/>
    </sheetView>
  </sheetViews>
  <sheetFormatPr defaultColWidth="9.140625" defaultRowHeight="12.75"/>
  <cols>
    <col min="1" max="1" width="3.7109375" style="48" customWidth="1"/>
    <col min="2" max="2" width="4.8515625" style="48" bestFit="1" customWidth="1"/>
    <col min="3" max="3" width="44.57421875" style="48" customWidth="1"/>
    <col min="4" max="16384" width="9.140625" style="48" customWidth="1"/>
  </cols>
  <sheetData>
    <row r="1" spans="15:16" ht="12.75">
      <c r="O1" s="751"/>
      <c r="P1" s="751"/>
    </row>
    <row r="2" spans="2:16" ht="15.75">
      <c r="B2" s="752" t="s">
        <v>287</v>
      </c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</row>
    <row r="3" spans="2:16" ht="15.75">
      <c r="B3" s="752" t="s">
        <v>410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</row>
    <row r="4" spans="2:16" ht="15.7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2:16" ht="15.75">
      <c r="B5" s="754" t="s">
        <v>327</v>
      </c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</row>
    <row r="6" spans="2:16" ht="15.75"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187" t="s">
        <v>288</v>
      </c>
    </row>
    <row r="7" spans="1:16" s="699" customFormat="1" ht="16.5" thickBot="1">
      <c r="A7" s="699" t="s">
        <v>11</v>
      </c>
      <c r="B7" s="277" t="s">
        <v>348</v>
      </c>
      <c r="C7" s="278" t="s">
        <v>13</v>
      </c>
      <c r="D7" s="278" t="s">
        <v>14</v>
      </c>
      <c r="E7" s="278" t="s">
        <v>15</v>
      </c>
      <c r="F7" s="278" t="s">
        <v>16</v>
      </c>
      <c r="G7" s="278" t="s">
        <v>17</v>
      </c>
      <c r="H7" s="278" t="s">
        <v>18</v>
      </c>
      <c r="I7" s="278" t="s">
        <v>63</v>
      </c>
      <c r="J7" s="278" t="s">
        <v>355</v>
      </c>
      <c r="K7" s="278" t="s">
        <v>349</v>
      </c>
      <c r="L7" s="278" t="s">
        <v>350</v>
      </c>
      <c r="M7" s="278" t="s">
        <v>352</v>
      </c>
      <c r="N7" s="278" t="s">
        <v>356</v>
      </c>
      <c r="O7" s="278" t="s">
        <v>357</v>
      </c>
      <c r="P7" s="278" t="s">
        <v>358</v>
      </c>
    </row>
    <row r="8" spans="1:16" ht="24.75" thickBot="1">
      <c r="A8" s="48" t="s">
        <v>20</v>
      </c>
      <c r="B8" s="675" t="s">
        <v>289</v>
      </c>
      <c r="C8" s="647" t="s">
        <v>67</v>
      </c>
      <c r="D8" s="647" t="s">
        <v>290</v>
      </c>
      <c r="E8" s="647" t="s">
        <v>291</v>
      </c>
      <c r="F8" s="647" t="s">
        <v>292</v>
      </c>
      <c r="G8" s="647" t="s">
        <v>293</v>
      </c>
      <c r="H8" s="647" t="s">
        <v>294</v>
      </c>
      <c r="I8" s="647" t="s">
        <v>295</v>
      </c>
      <c r="J8" s="647" t="s">
        <v>296</v>
      </c>
      <c r="K8" s="647" t="s">
        <v>297</v>
      </c>
      <c r="L8" s="647" t="s">
        <v>298</v>
      </c>
      <c r="M8" s="647" t="s">
        <v>299</v>
      </c>
      <c r="N8" s="647" t="s">
        <v>300</v>
      </c>
      <c r="O8" s="647" t="s">
        <v>301</v>
      </c>
      <c r="P8" s="648" t="s">
        <v>302</v>
      </c>
    </row>
    <row r="9" spans="1:16" ht="13.5" thickBot="1">
      <c r="A9" s="48" t="s">
        <v>21</v>
      </c>
      <c r="B9" s="676" t="s">
        <v>20</v>
      </c>
      <c r="C9" s="744" t="s">
        <v>97</v>
      </c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6"/>
    </row>
    <row r="10" spans="1:16" ht="12.75">
      <c r="A10" s="48" t="s">
        <v>22</v>
      </c>
      <c r="B10" s="677" t="s">
        <v>21</v>
      </c>
      <c r="C10" s="652" t="s">
        <v>303</v>
      </c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9">
        <f>SUM(D10:O10)</f>
        <v>0</v>
      </c>
    </row>
    <row r="11" spans="1:18" ht="12.75">
      <c r="A11" s="48" t="s">
        <v>23</v>
      </c>
      <c r="B11" s="680" t="s">
        <v>22</v>
      </c>
      <c r="C11" s="656" t="s">
        <v>304</v>
      </c>
      <c r="D11" s="681">
        <v>175</v>
      </c>
      <c r="E11" s="681">
        <f>+D11</f>
        <v>175</v>
      </c>
      <c r="F11" s="681">
        <f aca="true" t="shared" si="0" ref="F11:M11">+E11</f>
        <v>175</v>
      </c>
      <c r="G11" s="681">
        <f t="shared" si="0"/>
        <v>175</v>
      </c>
      <c r="H11" s="681">
        <f t="shared" si="0"/>
        <v>175</v>
      </c>
      <c r="I11" s="681">
        <f t="shared" si="0"/>
        <v>175</v>
      </c>
      <c r="J11" s="681">
        <f t="shared" si="0"/>
        <v>175</v>
      </c>
      <c r="K11" s="681">
        <f t="shared" si="0"/>
        <v>175</v>
      </c>
      <c r="L11" s="681">
        <f t="shared" si="0"/>
        <v>175</v>
      </c>
      <c r="M11" s="681">
        <f t="shared" si="0"/>
        <v>175</v>
      </c>
      <c r="N11" s="681">
        <f>+M11+2500</f>
        <v>2675</v>
      </c>
      <c r="O11" s="681">
        <f>175+2182</f>
        <v>2357</v>
      </c>
      <c r="P11" s="682">
        <f aca="true" t="shared" si="1" ref="P11:P17">SUM(D11:O11)</f>
        <v>6782</v>
      </c>
      <c r="Q11" s="448">
        <f>+'Bev.intézményenként'!D28</f>
        <v>6782</v>
      </c>
      <c r="R11" s="47">
        <f>+Q11-P11</f>
        <v>0</v>
      </c>
    </row>
    <row r="12" spans="1:18" ht="12.75">
      <c r="A12" s="48" t="s">
        <v>24</v>
      </c>
      <c r="B12" s="680" t="s">
        <v>23</v>
      </c>
      <c r="C12" s="659" t="s">
        <v>305</v>
      </c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2">
        <f t="shared" si="1"/>
        <v>0</v>
      </c>
      <c r="R12" s="47">
        <f aca="true" t="shared" si="2" ref="R12:R33">+Q12-P12</f>
        <v>0</v>
      </c>
    </row>
    <row r="13" spans="1:18" ht="12.75">
      <c r="A13" s="48" t="s">
        <v>25</v>
      </c>
      <c r="B13" s="680" t="s">
        <v>24</v>
      </c>
      <c r="C13" s="656" t="s">
        <v>306</v>
      </c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>
        <v>28</v>
      </c>
      <c r="P13" s="682">
        <f>SUM(D13:O13)</f>
        <v>28</v>
      </c>
      <c r="R13" s="47">
        <f t="shared" si="2"/>
        <v>-28</v>
      </c>
    </row>
    <row r="14" spans="1:18" ht="12.75">
      <c r="A14" s="48" t="s">
        <v>26</v>
      </c>
      <c r="B14" s="680" t="s">
        <v>25</v>
      </c>
      <c r="C14" s="656" t="s">
        <v>307</v>
      </c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>
        <v>236</v>
      </c>
      <c r="P14" s="682">
        <f t="shared" si="1"/>
        <v>236</v>
      </c>
      <c r="R14" s="47">
        <f t="shared" si="2"/>
        <v>-236</v>
      </c>
    </row>
    <row r="15" spans="1:18" ht="12.75">
      <c r="A15" s="48" t="s">
        <v>27</v>
      </c>
      <c r="B15" s="680" t="s">
        <v>26</v>
      </c>
      <c r="C15" s="656" t="s">
        <v>308</v>
      </c>
      <c r="D15" s="681"/>
      <c r="E15" s="681">
        <f>5343+936</f>
        <v>6279</v>
      </c>
      <c r="F15" s="681">
        <f>973+184</f>
        <v>1157</v>
      </c>
      <c r="G15" s="681"/>
      <c r="H15" s="681"/>
      <c r="I15" s="681"/>
      <c r="J15" s="681"/>
      <c r="K15" s="681"/>
      <c r="L15" s="681">
        <v>1034</v>
      </c>
      <c r="M15" s="681"/>
      <c r="N15" s="681">
        <f>321+671</f>
        <v>992</v>
      </c>
      <c r="O15" s="681">
        <v>347</v>
      </c>
      <c r="P15" s="682">
        <f t="shared" si="1"/>
        <v>9809</v>
      </c>
      <c r="Q15" s="47">
        <f>+'Bev.intézményenként'!F28+'Bev.intézményenként'!G28</f>
        <v>9809</v>
      </c>
      <c r="R15" s="47">
        <f t="shared" si="2"/>
        <v>0</v>
      </c>
    </row>
    <row r="16" spans="1:18" ht="12.75">
      <c r="A16" s="48" t="s">
        <v>28</v>
      </c>
      <c r="B16" s="680" t="s">
        <v>27</v>
      </c>
      <c r="C16" s="656" t="s">
        <v>309</v>
      </c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>
        <v>45</v>
      </c>
      <c r="P16" s="682">
        <f t="shared" si="1"/>
        <v>45</v>
      </c>
      <c r="R16" s="47">
        <f t="shared" si="2"/>
        <v>-45</v>
      </c>
    </row>
    <row r="17" spans="1:18" ht="12.75">
      <c r="A17" s="48" t="s">
        <v>29</v>
      </c>
      <c r="B17" s="680" t="s">
        <v>28</v>
      </c>
      <c r="C17" s="662" t="s">
        <v>310</v>
      </c>
      <c r="D17" s="681"/>
      <c r="E17" s="681">
        <v>261</v>
      </c>
      <c r="F17" s="681"/>
      <c r="G17" s="681"/>
      <c r="H17" s="681"/>
      <c r="I17" s="681"/>
      <c r="J17" s="681"/>
      <c r="K17" s="681"/>
      <c r="L17" s="681"/>
      <c r="M17" s="681"/>
      <c r="N17" s="681"/>
      <c r="O17" s="681">
        <v>713</v>
      </c>
      <c r="P17" s="682">
        <f t="shared" si="1"/>
        <v>974</v>
      </c>
      <c r="Q17" s="48">
        <f>+'Bev.intézményenként'!E28</f>
        <v>974</v>
      </c>
      <c r="R17" s="47">
        <f t="shared" si="2"/>
        <v>0</v>
      </c>
    </row>
    <row r="18" spans="1:18" ht="13.5" thickBot="1">
      <c r="A18" s="48" t="s">
        <v>30</v>
      </c>
      <c r="B18" s="680" t="s">
        <v>29</v>
      </c>
      <c r="C18" s="656" t="s">
        <v>215</v>
      </c>
      <c r="D18" s="681">
        <f>+D32-D10-D11-D12-D13-D14-D15-D16-D17</f>
        <v>25475</v>
      </c>
      <c r="E18" s="681">
        <f aca="true" t="shared" si="3" ref="E18:O18">+E32-E10-E11-E12-E13-E14-E15-E16-E17</f>
        <v>20539</v>
      </c>
      <c r="F18" s="681">
        <f>+F32-F10-F11-F12-F13-F14-F15-F16-F17</f>
        <v>22800</v>
      </c>
      <c r="G18" s="681">
        <f t="shared" si="3"/>
        <v>22177</v>
      </c>
      <c r="H18" s="681">
        <f t="shared" si="3"/>
        <v>21900</v>
      </c>
      <c r="I18" s="681">
        <f t="shared" si="3"/>
        <v>22324</v>
      </c>
      <c r="J18" s="681">
        <f t="shared" si="3"/>
        <v>23263</v>
      </c>
      <c r="K18" s="681">
        <f t="shared" si="3"/>
        <v>23843</v>
      </c>
      <c r="L18" s="681">
        <f t="shared" si="3"/>
        <v>21309</v>
      </c>
      <c r="M18" s="681">
        <f t="shared" si="3"/>
        <v>23860</v>
      </c>
      <c r="N18" s="681">
        <f t="shared" si="3"/>
        <v>27850</v>
      </c>
      <c r="O18" s="681">
        <f t="shared" si="3"/>
        <v>46285</v>
      </c>
      <c r="P18" s="684">
        <f>SUM(D18:O18)</f>
        <v>301625</v>
      </c>
      <c r="Q18" s="47">
        <f>+'Bev.intézményenként'!J28</f>
        <v>301625</v>
      </c>
      <c r="R18" s="47">
        <f t="shared" si="2"/>
        <v>0</v>
      </c>
    </row>
    <row r="19" spans="1:18" ht="13.5" thickBot="1">
      <c r="A19" s="48" t="s">
        <v>31</v>
      </c>
      <c r="B19" s="676" t="s">
        <v>30</v>
      </c>
      <c r="C19" s="663" t="s">
        <v>311</v>
      </c>
      <c r="D19" s="685">
        <f>SUM(D10:D18)</f>
        <v>25650</v>
      </c>
      <c r="E19" s="685">
        <f aca="true" t="shared" si="4" ref="E19:O19">SUM(E10:E18)</f>
        <v>27254</v>
      </c>
      <c r="F19" s="685">
        <f t="shared" si="4"/>
        <v>24132</v>
      </c>
      <c r="G19" s="685">
        <f t="shared" si="4"/>
        <v>22352</v>
      </c>
      <c r="H19" s="685">
        <f t="shared" si="4"/>
        <v>22075</v>
      </c>
      <c r="I19" s="685">
        <f t="shared" si="4"/>
        <v>22499</v>
      </c>
      <c r="J19" s="685">
        <f t="shared" si="4"/>
        <v>23438</v>
      </c>
      <c r="K19" s="685">
        <f t="shared" si="4"/>
        <v>24018</v>
      </c>
      <c r="L19" s="685">
        <f t="shared" si="4"/>
        <v>22518</v>
      </c>
      <c r="M19" s="685">
        <f t="shared" si="4"/>
        <v>24035</v>
      </c>
      <c r="N19" s="685">
        <f t="shared" si="4"/>
        <v>31517</v>
      </c>
      <c r="O19" s="685">
        <f t="shared" si="4"/>
        <v>50011</v>
      </c>
      <c r="P19" s="685">
        <f>SUM(P10:P18)</f>
        <v>319499</v>
      </c>
      <c r="Q19" s="395">
        <f>+'Bev.intézményenként'!L28</f>
        <v>319499</v>
      </c>
      <c r="R19" s="95">
        <f t="shared" si="2"/>
        <v>0</v>
      </c>
    </row>
    <row r="20" spans="1:18" ht="13.5" thickBot="1">
      <c r="A20" s="48" t="s">
        <v>32</v>
      </c>
      <c r="B20" s="676" t="s">
        <v>31</v>
      </c>
      <c r="C20" s="744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7"/>
      <c r="R20" s="47">
        <f t="shared" si="2"/>
        <v>0</v>
      </c>
    </row>
    <row r="21" spans="1:20" ht="12.75">
      <c r="A21" s="48" t="s">
        <v>33</v>
      </c>
      <c r="B21" s="686" t="s">
        <v>32</v>
      </c>
      <c r="C21" s="665" t="s">
        <v>208</v>
      </c>
      <c r="D21" s="683">
        <f>8423+75</f>
        <v>8498</v>
      </c>
      <c r="E21" s="683">
        <f>+D21+350+130+420+1</f>
        <v>9399</v>
      </c>
      <c r="F21" s="683">
        <f>7879+1051+130+420</f>
        <v>9480</v>
      </c>
      <c r="G21" s="683">
        <f>7136+130+420+600</f>
        <v>8286</v>
      </c>
      <c r="H21" s="683">
        <v>8423</v>
      </c>
      <c r="I21" s="683">
        <f>+H21+121</f>
        <v>8544</v>
      </c>
      <c r="J21" s="683">
        <v>9786</v>
      </c>
      <c r="K21" s="683">
        <f>+J21+453</f>
        <v>10239</v>
      </c>
      <c r="L21" s="683">
        <f>+G21+453</f>
        <v>8739</v>
      </c>
      <c r="M21" s="683">
        <f>+G21+4971-5279+453+695</f>
        <v>9126</v>
      </c>
      <c r="N21" s="683">
        <f>8876+225+253+671</f>
        <v>10025</v>
      </c>
      <c r="O21" s="683">
        <f>8879+2046</f>
        <v>10925</v>
      </c>
      <c r="P21" s="687">
        <f>SUM(D21:O21)</f>
        <v>111470</v>
      </c>
      <c r="Q21" s="47">
        <f>+'Kiad.intézményenként'!D31</f>
        <v>111470</v>
      </c>
      <c r="R21" s="47">
        <f t="shared" si="2"/>
        <v>0</v>
      </c>
      <c r="S21" s="48">
        <f>+R21/5</f>
        <v>0</v>
      </c>
      <c r="T21" s="47">
        <f>+Q21-P21</f>
        <v>0</v>
      </c>
    </row>
    <row r="22" spans="1:20" ht="12.75">
      <c r="A22" s="48" t="s">
        <v>34</v>
      </c>
      <c r="B22" s="680" t="s">
        <v>33</v>
      </c>
      <c r="C22" s="662" t="s">
        <v>312</v>
      </c>
      <c r="D22" s="681">
        <f>2251+21</f>
        <v>2272</v>
      </c>
      <c r="E22" s="681">
        <f>+D22+100-1</f>
        <v>2371</v>
      </c>
      <c r="F22" s="681">
        <f>2140+32+100</f>
        <v>2272</v>
      </c>
      <c r="G22" s="681">
        <f>+F22+186</f>
        <v>2458</v>
      </c>
      <c r="H22" s="681">
        <v>2272</v>
      </c>
      <c r="I22" s="681">
        <f>+H22+33</f>
        <v>2305</v>
      </c>
      <c r="J22" s="681">
        <v>2272</v>
      </c>
      <c r="K22" s="681">
        <f>+J22+127</f>
        <v>2399</v>
      </c>
      <c r="L22" s="681">
        <f>+K22</f>
        <v>2399</v>
      </c>
      <c r="M22" s="681">
        <f>+L22+791+188</f>
        <v>3378</v>
      </c>
      <c r="N22" s="681">
        <f>2399+61+68</f>
        <v>2528</v>
      </c>
      <c r="O22" s="681">
        <f>2211+484</f>
        <v>2695</v>
      </c>
      <c r="P22" s="687">
        <f aca="true" t="shared" si="5" ref="P22:P30">SUM(D22:O22)</f>
        <v>29621</v>
      </c>
      <c r="Q22" s="47">
        <f>+'Kiad.intézményenként'!E31</f>
        <v>29621</v>
      </c>
      <c r="R22" s="47">
        <f t="shared" si="2"/>
        <v>0</v>
      </c>
      <c r="S22" s="48">
        <f>+R22/5</f>
        <v>0</v>
      </c>
      <c r="T22" s="47">
        <f>+Q22-P22</f>
        <v>0</v>
      </c>
    </row>
    <row r="23" spans="1:18" ht="12.75">
      <c r="A23" s="48" t="s">
        <v>35</v>
      </c>
      <c r="B23" s="680" t="s">
        <v>34</v>
      </c>
      <c r="C23" s="656" t="s">
        <v>244</v>
      </c>
      <c r="D23" s="681">
        <f>2945+2500</f>
        <v>5445</v>
      </c>
      <c r="E23" s="681">
        <f>+D23+604</f>
        <v>6049</v>
      </c>
      <c r="F23" s="681">
        <v>2945</v>
      </c>
      <c r="G23" s="681">
        <f>+F23+187+91-1050</f>
        <v>2173</v>
      </c>
      <c r="H23" s="681">
        <v>1945</v>
      </c>
      <c r="I23" s="681">
        <f>+H23</f>
        <v>1945</v>
      </c>
      <c r="J23" s="681">
        <f>+I23</f>
        <v>1945</v>
      </c>
      <c r="K23" s="681">
        <f>+J23</f>
        <v>1945</v>
      </c>
      <c r="L23" s="681">
        <f>+K23</f>
        <v>1945</v>
      </c>
      <c r="M23" s="681">
        <f>+L23+151</f>
        <v>2096</v>
      </c>
      <c r="N23" s="681">
        <f>1945+2500-282</f>
        <v>4163</v>
      </c>
      <c r="O23" s="681">
        <f>1949+2014</f>
        <v>3963</v>
      </c>
      <c r="P23" s="687">
        <f t="shared" si="5"/>
        <v>36559</v>
      </c>
      <c r="Q23" s="47">
        <f>+'Kiad.intézményenként'!F31</f>
        <v>36559</v>
      </c>
      <c r="R23" s="47">
        <f t="shared" si="2"/>
        <v>0</v>
      </c>
    </row>
    <row r="24" spans="1:18" ht="12.75">
      <c r="A24" s="48" t="s">
        <v>36</v>
      </c>
      <c r="B24" s="680" t="s">
        <v>35</v>
      </c>
      <c r="C24" s="656" t="s">
        <v>313</v>
      </c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7">
        <f t="shared" si="5"/>
        <v>0</v>
      </c>
      <c r="R24" s="47">
        <f t="shared" si="2"/>
        <v>0</v>
      </c>
    </row>
    <row r="25" spans="1:18" ht="12.75">
      <c r="A25" s="48" t="s">
        <v>37</v>
      </c>
      <c r="B25" s="680" t="s">
        <v>36</v>
      </c>
      <c r="C25" s="656" t="s">
        <v>314</v>
      </c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7">
        <f t="shared" si="5"/>
        <v>0</v>
      </c>
      <c r="R25" s="47">
        <f t="shared" si="2"/>
        <v>0</v>
      </c>
    </row>
    <row r="26" spans="1:18" ht="12.75">
      <c r="A26" s="48" t="s">
        <v>40</v>
      </c>
      <c r="B26" s="680" t="s">
        <v>37</v>
      </c>
      <c r="C26" s="656" t="s">
        <v>315</v>
      </c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>
        <v>366</v>
      </c>
      <c r="O26" s="681">
        <v>47</v>
      </c>
      <c r="P26" s="687">
        <f t="shared" si="5"/>
        <v>413</v>
      </c>
      <c r="R26" s="47">
        <f t="shared" si="2"/>
        <v>-413</v>
      </c>
    </row>
    <row r="27" spans="1:18" ht="12.75">
      <c r="A27" s="48" t="s">
        <v>42</v>
      </c>
      <c r="B27" s="680" t="s">
        <v>40</v>
      </c>
      <c r="C27" s="662" t="s">
        <v>316</v>
      </c>
      <c r="D27" s="681">
        <v>9435</v>
      </c>
      <c r="E27" s="681">
        <f>+D27</f>
        <v>9435</v>
      </c>
      <c r="F27" s="681">
        <f aca="true" t="shared" si="6" ref="F27:N27">+E27</f>
        <v>9435</v>
      </c>
      <c r="G27" s="681">
        <f t="shared" si="6"/>
        <v>9435</v>
      </c>
      <c r="H27" s="681">
        <f t="shared" si="6"/>
        <v>9435</v>
      </c>
      <c r="I27" s="681">
        <f>+H27+270</f>
        <v>9705</v>
      </c>
      <c r="J27" s="681">
        <v>9435</v>
      </c>
      <c r="K27" s="681">
        <f t="shared" si="6"/>
        <v>9435</v>
      </c>
      <c r="L27" s="681">
        <f t="shared" si="6"/>
        <v>9435</v>
      </c>
      <c r="M27" s="681">
        <f t="shared" si="6"/>
        <v>9435</v>
      </c>
      <c r="N27" s="681">
        <f t="shared" si="6"/>
        <v>9435</v>
      </c>
      <c r="O27" s="681">
        <f>+N27-4+9+22890</f>
        <v>32330</v>
      </c>
      <c r="P27" s="687">
        <f>SUM(D27:O27)</f>
        <v>136385</v>
      </c>
      <c r="Q27" s="47">
        <f>+'Kiad.intézményenként'!I31</f>
        <v>136385</v>
      </c>
      <c r="R27" s="47">
        <f t="shared" si="2"/>
        <v>0</v>
      </c>
    </row>
    <row r="28" spans="1:18" ht="12.75">
      <c r="A28" s="48" t="s">
        <v>43</v>
      </c>
      <c r="B28" s="680" t="s">
        <v>42</v>
      </c>
      <c r="C28" s="656" t="s">
        <v>317</v>
      </c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7">
        <f t="shared" si="5"/>
        <v>0</v>
      </c>
      <c r="R28" s="47">
        <f t="shared" si="2"/>
        <v>0</v>
      </c>
    </row>
    <row r="29" spans="1:18" ht="12.75">
      <c r="A29" s="48" t="s">
        <v>44</v>
      </c>
      <c r="B29" s="680" t="s">
        <v>43</v>
      </c>
      <c r="C29" s="656" t="s">
        <v>318</v>
      </c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7">
        <f t="shared" si="5"/>
        <v>0</v>
      </c>
      <c r="R29" s="47">
        <f t="shared" si="2"/>
        <v>0</v>
      </c>
    </row>
    <row r="30" spans="1:18" ht="12.75">
      <c r="A30" s="48" t="s">
        <v>45</v>
      </c>
      <c r="B30" s="680" t="s">
        <v>44</v>
      </c>
      <c r="C30" s="656" t="s">
        <v>319</v>
      </c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>
        <v>5000</v>
      </c>
      <c r="O30" s="681">
        <v>51</v>
      </c>
      <c r="P30" s="687">
        <f t="shared" si="5"/>
        <v>5051</v>
      </c>
      <c r="R30" s="47">
        <f t="shared" si="2"/>
        <v>-5051</v>
      </c>
    </row>
    <row r="31" spans="1:18" ht="13.5" thickBot="1">
      <c r="A31" s="48" t="s">
        <v>46</v>
      </c>
      <c r="B31" s="680" t="s">
        <v>45</v>
      </c>
      <c r="C31" s="656" t="s">
        <v>320</v>
      </c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7">
        <f>SUM(D31:O31)</f>
        <v>0</v>
      </c>
      <c r="R31" s="47">
        <f t="shared" si="2"/>
        <v>0</v>
      </c>
    </row>
    <row r="32" spans="1:18" ht="13.5" thickBot="1">
      <c r="A32" s="48" t="s">
        <v>47</v>
      </c>
      <c r="B32" s="688" t="s">
        <v>46</v>
      </c>
      <c r="C32" s="663" t="s">
        <v>321</v>
      </c>
      <c r="D32" s="685">
        <f>SUM(D21:D31)</f>
        <v>25650</v>
      </c>
      <c r="E32" s="685">
        <f aca="true" t="shared" si="7" ref="E32:O32">SUM(E21:E31)</f>
        <v>27254</v>
      </c>
      <c r="F32" s="685">
        <f t="shared" si="7"/>
        <v>24132</v>
      </c>
      <c r="G32" s="685">
        <f t="shared" si="7"/>
        <v>22352</v>
      </c>
      <c r="H32" s="685">
        <f t="shared" si="7"/>
        <v>22075</v>
      </c>
      <c r="I32" s="685">
        <f t="shared" si="7"/>
        <v>22499</v>
      </c>
      <c r="J32" s="685">
        <f t="shared" si="7"/>
        <v>23438</v>
      </c>
      <c r="K32" s="685">
        <f t="shared" si="7"/>
        <v>24018</v>
      </c>
      <c r="L32" s="685">
        <f t="shared" si="7"/>
        <v>22518</v>
      </c>
      <c r="M32" s="685">
        <f t="shared" si="7"/>
        <v>24035</v>
      </c>
      <c r="N32" s="685">
        <f t="shared" si="7"/>
        <v>31517</v>
      </c>
      <c r="O32" s="685">
        <f t="shared" si="7"/>
        <v>50011</v>
      </c>
      <c r="P32" s="685">
        <f>SUM(P21:P31)</f>
        <v>319499</v>
      </c>
      <c r="Q32" s="449">
        <f>+'Kiad.intézményenként'!N31</f>
        <v>319499</v>
      </c>
      <c r="R32" s="47">
        <f t="shared" si="2"/>
        <v>0</v>
      </c>
    </row>
    <row r="33" spans="1:18" ht="13.5" thickBot="1">
      <c r="A33" s="48" t="s">
        <v>48</v>
      </c>
      <c r="B33" s="688" t="s">
        <v>47</v>
      </c>
      <c r="C33" s="667" t="s">
        <v>322</v>
      </c>
      <c r="D33" s="691">
        <f>+D19-D32</f>
        <v>0</v>
      </c>
      <c r="E33" s="691">
        <f aca="true" t="shared" si="8" ref="E33:P33">+E19-E32</f>
        <v>0</v>
      </c>
      <c r="F33" s="691">
        <f t="shared" si="8"/>
        <v>0</v>
      </c>
      <c r="G33" s="691">
        <f t="shared" si="8"/>
        <v>0</v>
      </c>
      <c r="H33" s="691">
        <f t="shared" si="8"/>
        <v>0</v>
      </c>
      <c r="I33" s="691">
        <f t="shared" si="8"/>
        <v>0</v>
      </c>
      <c r="J33" s="691">
        <f t="shared" si="8"/>
        <v>0</v>
      </c>
      <c r="K33" s="691">
        <f t="shared" si="8"/>
        <v>0</v>
      </c>
      <c r="L33" s="691">
        <f t="shared" si="8"/>
        <v>0</v>
      </c>
      <c r="M33" s="691">
        <f t="shared" si="8"/>
        <v>0</v>
      </c>
      <c r="N33" s="691">
        <f t="shared" si="8"/>
        <v>0</v>
      </c>
      <c r="O33" s="691">
        <f t="shared" si="8"/>
        <v>0</v>
      </c>
      <c r="P33" s="691">
        <f t="shared" si="8"/>
        <v>0</v>
      </c>
      <c r="R33" s="47">
        <f t="shared" si="2"/>
        <v>0</v>
      </c>
    </row>
    <row r="34" spans="2:16" ht="15.75">
      <c r="B34" s="20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266">
        <f>+P32-P19</f>
        <v>0</v>
      </c>
    </row>
    <row r="35" spans="2:16" ht="15.75">
      <c r="B35" s="185"/>
      <c r="C35" s="207"/>
      <c r="D35" s="208"/>
      <c r="E35" s="208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5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 melléklet a 2015. évi   2/2015.(II.25.) Önkormányzati költségvetési rendelethez&amp;R2015.02.25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Layout" zoomScaleSheetLayoutView="100" workbookViewId="0" topLeftCell="A1">
      <selection activeCell="F15" sqref="F15"/>
    </sheetView>
  </sheetViews>
  <sheetFormatPr defaultColWidth="9.140625" defaultRowHeight="12.75"/>
  <cols>
    <col min="1" max="1" width="5.28125" style="84" customWidth="1"/>
    <col min="2" max="2" width="5.00390625" style="36" customWidth="1"/>
    <col min="3" max="3" width="50.421875" style="36" customWidth="1"/>
    <col min="4" max="4" width="10.8515625" style="36" hidden="1" customWidth="1"/>
    <col min="5" max="5" width="10.8515625" style="36" bestFit="1" customWidth="1"/>
    <col min="6" max="6" width="14.57421875" style="41" customWidth="1"/>
    <col min="7" max="8" width="10.140625" style="36" bestFit="1" customWidth="1"/>
    <col min="9" max="16384" width="9.140625" style="36" customWidth="1"/>
  </cols>
  <sheetData>
    <row r="1" spans="1:6" ht="15.75">
      <c r="A1" s="405" t="s">
        <v>259</v>
      </c>
      <c r="B1" s="40"/>
      <c r="C1" s="40"/>
      <c r="D1" s="281" t="s">
        <v>407</v>
      </c>
      <c r="E1" s="38" t="s">
        <v>365</v>
      </c>
      <c r="F1" s="540" t="s">
        <v>365</v>
      </c>
    </row>
    <row r="2" spans="2:6" ht="15.75">
      <c r="B2" s="37"/>
      <c r="C2" s="37" t="s">
        <v>119</v>
      </c>
      <c r="D2" s="281" t="s">
        <v>68</v>
      </c>
      <c r="E2" s="38" t="s">
        <v>68</v>
      </c>
      <c r="F2" s="540" t="s">
        <v>460</v>
      </c>
    </row>
    <row r="3" spans="1:6" s="1" customFormat="1" ht="15.75">
      <c r="A3" s="10" t="s">
        <v>11</v>
      </c>
      <c r="B3" s="37" t="s">
        <v>12</v>
      </c>
      <c r="C3" s="40" t="s">
        <v>13</v>
      </c>
      <c r="E3" s="7" t="s">
        <v>14</v>
      </c>
      <c r="F3" s="541" t="s">
        <v>367</v>
      </c>
    </row>
    <row r="4" spans="2:4" ht="15.75">
      <c r="B4" s="37"/>
      <c r="C4" s="35"/>
      <c r="D4" s="35"/>
    </row>
    <row r="5" spans="1:6" ht="15.75">
      <c r="A5" s="84" t="s">
        <v>20</v>
      </c>
      <c r="B5" s="37"/>
      <c r="C5" s="37" t="s">
        <v>262</v>
      </c>
      <c r="D5" s="85">
        <f>SUM(D7:D12)</f>
        <v>535990</v>
      </c>
      <c r="E5" s="85">
        <f>SUM(E7:E12)</f>
        <v>514345</v>
      </c>
      <c r="F5" s="43">
        <f>SUM(F7:F12)</f>
        <v>980042</v>
      </c>
    </row>
    <row r="6" spans="2:4" ht="15.75">
      <c r="B6" s="37"/>
      <c r="C6" s="35"/>
      <c r="D6" s="35"/>
    </row>
    <row r="7" spans="1:6" ht="24.75" customHeight="1">
      <c r="A7" s="84" t="s">
        <v>21</v>
      </c>
      <c r="B7" s="37" t="s">
        <v>120</v>
      </c>
      <c r="C7" s="35" t="s">
        <v>41</v>
      </c>
      <c r="D7" s="35">
        <v>70809</v>
      </c>
      <c r="E7" s="10">
        <f>+'Kiad.intézményenként'!G21</f>
        <v>18936</v>
      </c>
      <c r="F7" s="14">
        <f>+'Kiad.intézményenként'!G22</f>
        <v>360452</v>
      </c>
    </row>
    <row r="8" spans="1:6" ht="24.75" customHeight="1">
      <c r="A8" s="84" t="s">
        <v>22</v>
      </c>
      <c r="B8" s="37" t="s">
        <v>127</v>
      </c>
      <c r="C8" s="35" t="s">
        <v>327</v>
      </c>
      <c r="D8" s="35">
        <v>145321</v>
      </c>
      <c r="E8" s="10">
        <f>+'Kiad.intézményenként'!G30</f>
        <v>167707</v>
      </c>
      <c r="F8" s="14">
        <f>+'Kiad.intézményenként'!G31</f>
        <v>177650</v>
      </c>
    </row>
    <row r="9" spans="1:6" ht="24.75" customHeight="1">
      <c r="A9" s="84" t="s">
        <v>23</v>
      </c>
      <c r="B9" s="37" t="s">
        <v>125</v>
      </c>
      <c r="C9" s="86" t="s">
        <v>128</v>
      </c>
      <c r="D9" s="86">
        <v>119002</v>
      </c>
      <c r="E9" s="10">
        <f>+'Kiad.intézményenként'!G11</f>
        <v>126268</v>
      </c>
      <c r="F9" s="14">
        <f>+'Kiad.intézményenként'!G12</f>
        <v>149747</v>
      </c>
    </row>
    <row r="10" spans="1:6" ht="24.75" customHeight="1">
      <c r="A10" s="84" t="s">
        <v>24</v>
      </c>
      <c r="B10" s="37" t="s">
        <v>126</v>
      </c>
      <c r="C10" s="35" t="str">
        <f>'[1]2mell_2'!A110</f>
        <v>Városellátó Szervezet</v>
      </c>
      <c r="D10" s="35">
        <v>182110</v>
      </c>
      <c r="E10" s="10">
        <f>+'Kiad.intézményenként'!G6</f>
        <v>179916</v>
      </c>
      <c r="F10" s="14">
        <f>+'Kiad.intézményenként'!G7</f>
        <v>264630</v>
      </c>
    </row>
    <row r="11" spans="1:6" ht="24.75" customHeight="1">
      <c r="A11" s="84" t="s">
        <v>25</v>
      </c>
      <c r="B11" s="37" t="s">
        <v>129</v>
      </c>
      <c r="C11" s="86" t="str">
        <f>+'[2]kiadás'!B24</f>
        <v>Városi Művelődési Központ és Könyvtár</v>
      </c>
      <c r="D11" s="86">
        <v>18748</v>
      </c>
      <c r="E11" s="10">
        <f>+'Kiad.intézményenként'!G16</f>
        <v>21518</v>
      </c>
      <c r="F11" s="14">
        <f>+'Kiad.intézményenként'!G17</f>
        <v>27563</v>
      </c>
    </row>
    <row r="12" ht="24.75" customHeight="1"/>
    <row r="13" spans="1:6" ht="24.75" customHeight="1">
      <c r="A13" s="84" t="s">
        <v>26</v>
      </c>
      <c r="B13" s="37" t="s">
        <v>130</v>
      </c>
      <c r="C13" s="37" t="s">
        <v>134</v>
      </c>
      <c r="D13" s="85">
        <f>SUM(D14:D15)</f>
        <v>184300</v>
      </c>
      <c r="E13" s="85">
        <f>SUM(E14:E15)</f>
        <v>118339</v>
      </c>
      <c r="F13" s="43">
        <f>SUM(F14:F15)</f>
        <v>155804</v>
      </c>
    </row>
    <row r="14" spans="1:6" ht="24.75" customHeight="1">
      <c r="A14" s="84" t="s">
        <v>27</v>
      </c>
      <c r="B14" s="37"/>
      <c r="C14" s="35" t="s">
        <v>135</v>
      </c>
      <c r="D14" s="35">
        <v>37474</v>
      </c>
      <c r="E14" s="43">
        <f>+'Társ.és szoc.pol.támog.'!F31</f>
        <v>23786.5</v>
      </c>
      <c r="F14" s="43">
        <v>42205</v>
      </c>
    </row>
    <row r="15" spans="1:6" ht="24.75" customHeight="1">
      <c r="A15" s="84" t="s">
        <v>28</v>
      </c>
      <c r="B15" s="37"/>
      <c r="C15" s="35" t="s">
        <v>136</v>
      </c>
      <c r="D15" s="35">
        <v>146826</v>
      </c>
      <c r="E15" s="43">
        <f>+'Társ.és szoc.pol.támog.'!G31</f>
        <v>94552.5</v>
      </c>
      <c r="F15" s="43">
        <v>113599</v>
      </c>
    </row>
    <row r="16" spans="2:4" ht="24.75" customHeight="1">
      <c r="B16" s="37"/>
      <c r="C16" s="35"/>
      <c r="D16" s="35"/>
    </row>
    <row r="17" spans="1:6" ht="24.75" customHeight="1">
      <c r="A17" s="84" t="s">
        <v>29</v>
      </c>
      <c r="B17" s="37" t="s">
        <v>131</v>
      </c>
      <c r="C17" s="37" t="s">
        <v>137</v>
      </c>
      <c r="D17" s="37">
        <v>18550</v>
      </c>
      <c r="E17" s="14">
        <f>+Átadott!C45</f>
        <v>26169</v>
      </c>
      <c r="F17" s="14">
        <f>+Átadott!D45</f>
        <v>65243</v>
      </c>
    </row>
    <row r="18" spans="2:4" ht="24.75" customHeight="1">
      <c r="B18" s="37"/>
      <c r="C18" s="37"/>
      <c r="D18" s="37"/>
    </row>
    <row r="19" spans="1:6" ht="24.75" customHeight="1">
      <c r="A19" s="84" t="s">
        <v>30</v>
      </c>
      <c r="B19" s="37" t="s">
        <v>132</v>
      </c>
      <c r="C19" s="37" t="s">
        <v>138</v>
      </c>
      <c r="D19" s="37">
        <v>3000</v>
      </c>
      <c r="E19" s="14">
        <f>+Átadott!C48</f>
        <v>3000</v>
      </c>
      <c r="F19" s="14">
        <f>+Átadott!D47</f>
        <v>4000</v>
      </c>
    </row>
    <row r="20" spans="2:4" ht="24.75" customHeight="1">
      <c r="B20" s="37"/>
      <c r="C20" s="35"/>
      <c r="D20" s="35"/>
    </row>
    <row r="21" spans="1:6" ht="24.75" customHeight="1">
      <c r="A21" s="84" t="s">
        <v>31</v>
      </c>
      <c r="B21" s="37" t="s">
        <v>133</v>
      </c>
      <c r="C21" s="37" t="s">
        <v>139</v>
      </c>
      <c r="D21" s="85">
        <f>SUM(D22:D23)</f>
        <v>0</v>
      </c>
      <c r="E21" s="85">
        <f>SUM(E22:E23)</f>
        <v>35878</v>
      </c>
      <c r="F21" s="43">
        <f>SUM(F22:F23)</f>
        <v>79610</v>
      </c>
    </row>
    <row r="22" spans="1:6" ht="24.75" customHeight="1">
      <c r="A22" s="84" t="s">
        <v>32</v>
      </c>
      <c r="B22" s="37"/>
      <c r="C22" s="35" t="s">
        <v>140</v>
      </c>
      <c r="D22" s="35">
        <v>0</v>
      </c>
      <c r="E22" s="41">
        <f>+'Felhalm.kiad.'!C24</f>
        <v>22241</v>
      </c>
      <c r="F22" s="41">
        <f>+'Felhalm.kiad.'!D24</f>
        <v>59528</v>
      </c>
    </row>
    <row r="23" spans="1:6" ht="24.75" customHeight="1">
      <c r="A23" s="84" t="s">
        <v>33</v>
      </c>
      <c r="B23" s="37"/>
      <c r="C23" s="35" t="s">
        <v>141</v>
      </c>
      <c r="D23" s="35">
        <v>0</v>
      </c>
      <c r="E23" s="36">
        <f>+'Felhalm.kiad.'!C30</f>
        <v>13637</v>
      </c>
      <c r="F23" s="41">
        <f>+'Felhalm.kiad.'!D30</f>
        <v>20082</v>
      </c>
    </row>
    <row r="24" spans="2:4" ht="15.75">
      <c r="B24" s="37"/>
      <c r="C24" s="35"/>
      <c r="D24" s="35"/>
    </row>
    <row r="25" spans="1:6" ht="15.75">
      <c r="A25" s="84" t="s">
        <v>34</v>
      </c>
      <c r="B25" s="37" t="s">
        <v>404</v>
      </c>
      <c r="C25" s="37" t="s">
        <v>405</v>
      </c>
      <c r="D25" s="37">
        <f>SUM(D27:D28)</f>
        <v>17322</v>
      </c>
      <c r="E25" s="37">
        <f>SUM(E27:E28)</f>
        <v>0</v>
      </c>
      <c r="F25" s="43">
        <f>SUM(F26:F28)</f>
        <v>366405</v>
      </c>
    </row>
    <row r="26" spans="1:6" ht="15.75">
      <c r="A26" s="84" t="s">
        <v>35</v>
      </c>
      <c r="B26" s="37"/>
      <c r="C26" s="283" t="s">
        <v>627</v>
      </c>
      <c r="D26" s="37"/>
      <c r="E26" s="37"/>
      <c r="F26" s="284">
        <v>134000</v>
      </c>
    </row>
    <row r="27" spans="1:6" ht="15.75">
      <c r="A27" s="84" t="s">
        <v>36</v>
      </c>
      <c r="B27" s="37"/>
      <c r="C27" s="35" t="s">
        <v>406</v>
      </c>
      <c r="D27" s="35">
        <v>1050</v>
      </c>
      <c r="F27" s="41">
        <v>70000</v>
      </c>
    </row>
    <row r="28" spans="1:6" ht="15.75">
      <c r="A28" s="84" t="s">
        <v>37</v>
      </c>
      <c r="B28" s="37"/>
      <c r="C28" s="35" t="s">
        <v>542</v>
      </c>
      <c r="D28" s="35">
        <v>16272</v>
      </c>
      <c r="F28" s="41">
        <v>162405</v>
      </c>
    </row>
    <row r="29" spans="2:4" ht="15.75">
      <c r="B29" s="37"/>
      <c r="C29" s="35"/>
      <c r="D29" s="35"/>
    </row>
    <row r="30" spans="2:4" ht="15.75">
      <c r="B30" s="37"/>
      <c r="C30" s="35"/>
      <c r="D30" s="35"/>
    </row>
    <row r="31" spans="1:6" s="1" customFormat="1" ht="24.75" customHeight="1">
      <c r="A31" s="84" t="s">
        <v>40</v>
      </c>
      <c r="C31" s="37" t="s">
        <v>38</v>
      </c>
      <c r="D31" s="11">
        <f>+D21+D19+D17+D13+D5+D25</f>
        <v>759162</v>
      </c>
      <c r="E31" s="11">
        <f>+E21+E19+E17+E13+E5+E25</f>
        <v>697731</v>
      </c>
      <c r="F31" s="11">
        <f>+F21+F19+F17+F13+F5+F25</f>
        <v>1651104</v>
      </c>
    </row>
    <row r="32" ht="24.75" customHeight="1"/>
    <row r="33" spans="2:5" ht="24.75" customHeight="1">
      <c r="B33" s="37"/>
      <c r="C33" s="35"/>
      <c r="D33" s="35"/>
      <c r="E33" s="41"/>
    </row>
    <row r="35" ht="15">
      <c r="E35" s="177"/>
    </row>
    <row r="37" ht="15">
      <c r="E37" s="177" t="s">
        <v>427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&amp;L2. melléklet a 2015. évi   2/2015.(II.25.) Önkormányzati költségvetési rendelethez&amp;R2015.02.25</oddHeader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33"/>
  <sheetViews>
    <sheetView view="pageLayout" workbookViewId="0" topLeftCell="A1">
      <selection activeCell="H37" sqref="H37"/>
    </sheetView>
  </sheetViews>
  <sheetFormatPr defaultColWidth="9.140625" defaultRowHeight="12.75"/>
  <cols>
    <col min="1" max="1" width="5.57421875" style="48" customWidth="1"/>
    <col min="2" max="2" width="4.8515625" style="48" bestFit="1" customWidth="1"/>
    <col min="3" max="3" width="35.57421875" style="48" customWidth="1"/>
    <col min="4" max="16384" width="9.140625" style="48" customWidth="1"/>
  </cols>
  <sheetData>
    <row r="1" spans="1:16" ht="12.75">
      <c r="A1" s="670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748"/>
      <c r="P1" s="748"/>
    </row>
    <row r="2" spans="1:16" ht="15.75">
      <c r="A2" s="670"/>
      <c r="B2" s="749" t="s">
        <v>345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</row>
    <row r="3" spans="1:16" ht="15.75">
      <c r="A3" s="670"/>
      <c r="B3" s="749" t="s">
        <v>410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</row>
    <row r="4" spans="1:16" ht="15.75">
      <c r="A4" s="670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2" t="s">
        <v>288</v>
      </c>
    </row>
    <row r="5" spans="1:16" ht="16.5" thickBot="1">
      <c r="A5" s="670" t="s">
        <v>11</v>
      </c>
      <c r="B5" s="673" t="s">
        <v>12</v>
      </c>
      <c r="C5" s="674" t="s">
        <v>13</v>
      </c>
      <c r="D5" s="674" t="s">
        <v>14</v>
      </c>
      <c r="E5" s="674" t="s">
        <v>15</v>
      </c>
      <c r="F5" s="674" t="s">
        <v>16</v>
      </c>
      <c r="G5" s="674" t="s">
        <v>17</v>
      </c>
      <c r="H5" s="674" t="s">
        <v>18</v>
      </c>
      <c r="I5" s="674" t="s">
        <v>63</v>
      </c>
      <c r="J5" s="674" t="s">
        <v>355</v>
      </c>
      <c r="K5" s="674" t="s">
        <v>349</v>
      </c>
      <c r="L5" s="674" t="s">
        <v>350</v>
      </c>
      <c r="M5" s="674" t="s">
        <v>352</v>
      </c>
      <c r="N5" s="674" t="s">
        <v>356</v>
      </c>
      <c r="O5" s="674" t="s">
        <v>357</v>
      </c>
      <c r="P5" s="674" t="s">
        <v>358</v>
      </c>
    </row>
    <row r="6" spans="1:16" ht="24.75" thickBot="1">
      <c r="A6" s="670" t="s">
        <v>20</v>
      </c>
      <c r="B6" s="675" t="s">
        <v>289</v>
      </c>
      <c r="C6" s="647" t="s">
        <v>67</v>
      </c>
      <c r="D6" s="647" t="s">
        <v>290</v>
      </c>
      <c r="E6" s="647" t="s">
        <v>291</v>
      </c>
      <c r="F6" s="647" t="s">
        <v>292</v>
      </c>
      <c r="G6" s="647" t="s">
        <v>293</v>
      </c>
      <c r="H6" s="647" t="s">
        <v>294</v>
      </c>
      <c r="I6" s="647" t="s">
        <v>295</v>
      </c>
      <c r="J6" s="647" t="s">
        <v>296</v>
      </c>
      <c r="K6" s="647" t="s">
        <v>297</v>
      </c>
      <c r="L6" s="647" t="s">
        <v>298</v>
      </c>
      <c r="M6" s="647" t="s">
        <v>299</v>
      </c>
      <c r="N6" s="647" t="s">
        <v>300</v>
      </c>
      <c r="O6" s="647" t="s">
        <v>301</v>
      </c>
      <c r="P6" s="648" t="s">
        <v>302</v>
      </c>
    </row>
    <row r="7" spans="1:16" ht="13.5" thickBot="1">
      <c r="A7" s="670" t="s">
        <v>21</v>
      </c>
      <c r="B7" s="676" t="s">
        <v>20</v>
      </c>
      <c r="C7" s="744" t="s">
        <v>97</v>
      </c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6"/>
    </row>
    <row r="8" spans="1:16" ht="12.75">
      <c r="A8" s="670" t="s">
        <v>22</v>
      </c>
      <c r="B8" s="677" t="s">
        <v>21</v>
      </c>
      <c r="C8" s="652" t="s">
        <v>303</v>
      </c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9">
        <f>SUM(D8:O8)</f>
        <v>0</v>
      </c>
    </row>
    <row r="9" spans="1:18" ht="12.75">
      <c r="A9" s="670" t="s">
        <v>23</v>
      </c>
      <c r="B9" s="680" t="s">
        <v>22</v>
      </c>
      <c r="C9" s="656" t="s">
        <v>304</v>
      </c>
      <c r="D9" s="681">
        <v>7147</v>
      </c>
      <c r="E9" s="681">
        <f>+D9</f>
        <v>7147</v>
      </c>
      <c r="F9" s="681">
        <f aca="true" t="shared" si="0" ref="F9:K9">+E9</f>
        <v>7147</v>
      </c>
      <c r="G9" s="681">
        <f t="shared" si="0"/>
        <v>7147</v>
      </c>
      <c r="H9" s="681">
        <f t="shared" si="0"/>
        <v>7147</v>
      </c>
      <c r="I9" s="681">
        <f t="shared" si="0"/>
        <v>7147</v>
      </c>
      <c r="J9" s="681">
        <f t="shared" si="0"/>
        <v>7147</v>
      </c>
      <c r="K9" s="681">
        <f t="shared" si="0"/>
        <v>7147</v>
      </c>
      <c r="L9" s="681">
        <v>14322</v>
      </c>
      <c r="M9" s="681">
        <v>7147</v>
      </c>
      <c r="N9" s="681">
        <v>7147</v>
      </c>
      <c r="O9" s="681">
        <f>+N9+4+6709</f>
        <v>13860</v>
      </c>
      <c r="P9" s="682">
        <f>SUM(D9:O9)</f>
        <v>99652</v>
      </c>
      <c r="Q9" s="48">
        <f>+'Bev.intézményenként'!D8</f>
        <v>99652</v>
      </c>
      <c r="R9" s="47">
        <f>Q9-P9</f>
        <v>0</v>
      </c>
    </row>
    <row r="10" spans="1:16" ht="12.75">
      <c r="A10" s="670" t="s">
        <v>24</v>
      </c>
      <c r="B10" s="680" t="s">
        <v>23</v>
      </c>
      <c r="C10" s="659" t="s">
        <v>305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2">
        <f aca="true" t="shared" si="1" ref="P10:P16">SUM(D10:O10)</f>
        <v>0</v>
      </c>
    </row>
    <row r="11" spans="1:16" ht="12.75">
      <c r="A11" s="670" t="s">
        <v>25</v>
      </c>
      <c r="B11" s="680" t="s">
        <v>24</v>
      </c>
      <c r="C11" s="656" t="s">
        <v>306</v>
      </c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2">
        <f t="shared" si="1"/>
        <v>0</v>
      </c>
    </row>
    <row r="12" spans="1:16" ht="12.75">
      <c r="A12" s="670" t="s">
        <v>26</v>
      </c>
      <c r="B12" s="680" t="s">
        <v>25</v>
      </c>
      <c r="C12" s="656" t="s">
        <v>307</v>
      </c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2">
        <f t="shared" si="1"/>
        <v>0</v>
      </c>
    </row>
    <row r="13" spans="1:17" ht="12.75">
      <c r="A13" s="670" t="s">
        <v>27</v>
      </c>
      <c r="B13" s="680" t="s">
        <v>26</v>
      </c>
      <c r="C13" s="656" t="s">
        <v>308</v>
      </c>
      <c r="D13" s="681"/>
      <c r="E13" s="681"/>
      <c r="F13" s="681">
        <v>27490</v>
      </c>
      <c r="G13" s="681"/>
      <c r="H13" s="681"/>
      <c r="I13" s="681"/>
      <c r="J13" s="681"/>
      <c r="K13" s="681"/>
      <c r="L13" s="681"/>
      <c r="M13" s="681"/>
      <c r="N13" s="681">
        <v>653</v>
      </c>
      <c r="O13" s="681">
        <v>365</v>
      </c>
      <c r="P13" s="682">
        <f t="shared" si="1"/>
        <v>28508</v>
      </c>
      <c r="Q13" s="48">
        <f>+'Bev.intézményenként'!G8</f>
        <v>27490</v>
      </c>
    </row>
    <row r="14" spans="1:16" ht="12.75">
      <c r="A14" s="670" t="s">
        <v>28</v>
      </c>
      <c r="B14" s="680" t="s">
        <v>27</v>
      </c>
      <c r="C14" s="656" t="s">
        <v>309</v>
      </c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2">
        <f t="shared" si="1"/>
        <v>0</v>
      </c>
    </row>
    <row r="15" spans="1:17" ht="22.5">
      <c r="A15" s="670" t="s">
        <v>29</v>
      </c>
      <c r="B15" s="680" t="s">
        <v>28</v>
      </c>
      <c r="C15" s="662" t="s">
        <v>310</v>
      </c>
      <c r="D15" s="681"/>
      <c r="E15" s="681">
        <v>1355</v>
      </c>
      <c r="F15" s="681"/>
      <c r="G15" s="681"/>
      <c r="H15" s="681"/>
      <c r="I15" s="681"/>
      <c r="J15" s="681"/>
      <c r="K15" s="681"/>
      <c r="L15" s="681"/>
      <c r="M15" s="681"/>
      <c r="N15" s="681"/>
      <c r="O15" s="681">
        <v>10</v>
      </c>
      <c r="P15" s="682">
        <f t="shared" si="1"/>
        <v>1365</v>
      </c>
      <c r="Q15" s="48">
        <f>+'Bev.intézményenként'!E8</f>
        <v>1365</v>
      </c>
    </row>
    <row r="16" spans="1:17" ht="13.5" thickBot="1">
      <c r="A16" s="670" t="s">
        <v>30</v>
      </c>
      <c r="B16" s="680" t="s">
        <v>29</v>
      </c>
      <c r="C16" s="656" t="s">
        <v>215</v>
      </c>
      <c r="D16" s="681">
        <f>+D30-D8-D9-D10-D11-D12-D13-D14</f>
        <v>17641</v>
      </c>
      <c r="E16" s="681">
        <f>+E30-E8-E9-E10-E11-E12-E13-E14-E15</f>
        <v>19787</v>
      </c>
      <c r="F16" s="681">
        <f aca="true" t="shared" si="2" ref="F16:N16">+F30-F8-F9-F10-F11-F12-F13-F14</f>
        <v>-6265</v>
      </c>
      <c r="G16" s="681">
        <f t="shared" si="2"/>
        <v>7846</v>
      </c>
      <c r="H16" s="681">
        <f t="shared" si="2"/>
        <v>8746</v>
      </c>
      <c r="I16" s="681">
        <f t="shared" si="2"/>
        <v>8788</v>
      </c>
      <c r="J16" s="681">
        <f t="shared" si="2"/>
        <v>7846</v>
      </c>
      <c r="K16" s="681">
        <f t="shared" si="2"/>
        <v>15335</v>
      </c>
      <c r="L16" s="681">
        <f t="shared" si="2"/>
        <v>985</v>
      </c>
      <c r="M16" s="681">
        <f t="shared" si="2"/>
        <v>8160</v>
      </c>
      <c r="N16" s="681">
        <f t="shared" si="2"/>
        <v>8668</v>
      </c>
      <c r="O16" s="681">
        <f>+O30-O8-O9-O10-O11-O12-O13-O14-O15</f>
        <v>39420</v>
      </c>
      <c r="P16" s="682">
        <f t="shared" si="1"/>
        <v>136957</v>
      </c>
      <c r="Q16" s="47">
        <f>+'Bev.intézményenként'!J8</f>
        <v>136957</v>
      </c>
    </row>
    <row r="17" spans="1:18" ht="13.5" thickBot="1">
      <c r="A17" s="670" t="s">
        <v>31</v>
      </c>
      <c r="B17" s="676" t="s">
        <v>30</v>
      </c>
      <c r="C17" s="663" t="s">
        <v>311</v>
      </c>
      <c r="D17" s="685">
        <f>SUM(D8:D16)</f>
        <v>24788</v>
      </c>
      <c r="E17" s="685">
        <f aca="true" t="shared" si="3" ref="E17:P17">SUM(E8:E16)</f>
        <v>28289</v>
      </c>
      <c r="F17" s="685">
        <f t="shared" si="3"/>
        <v>28372</v>
      </c>
      <c r="G17" s="685">
        <f t="shared" si="3"/>
        <v>14993</v>
      </c>
      <c r="H17" s="685">
        <f t="shared" si="3"/>
        <v>15893</v>
      </c>
      <c r="I17" s="685">
        <f t="shared" si="3"/>
        <v>15935</v>
      </c>
      <c r="J17" s="685">
        <f t="shared" si="3"/>
        <v>14993</v>
      </c>
      <c r="K17" s="685">
        <f t="shared" si="3"/>
        <v>22482</v>
      </c>
      <c r="L17" s="685">
        <f t="shared" si="3"/>
        <v>15307</v>
      </c>
      <c r="M17" s="685">
        <f t="shared" si="3"/>
        <v>15307</v>
      </c>
      <c r="N17" s="685">
        <f t="shared" si="3"/>
        <v>16468</v>
      </c>
      <c r="O17" s="685">
        <f t="shared" si="3"/>
        <v>53655</v>
      </c>
      <c r="P17" s="685">
        <f t="shared" si="3"/>
        <v>266482</v>
      </c>
      <c r="Q17" s="395">
        <f>+'Bev.intézményenként'!L8</f>
        <v>266482</v>
      </c>
      <c r="R17" s="240"/>
    </row>
    <row r="18" spans="1:16" ht="13.5" thickBot="1">
      <c r="A18" s="670" t="s">
        <v>32</v>
      </c>
      <c r="B18" s="676" t="s">
        <v>31</v>
      </c>
      <c r="C18" s="744" t="s">
        <v>119</v>
      </c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7"/>
    </row>
    <row r="19" spans="1:20" ht="12.75">
      <c r="A19" s="670" t="s">
        <v>33</v>
      </c>
      <c r="B19" s="686" t="s">
        <v>32</v>
      </c>
      <c r="C19" s="665" t="s">
        <v>208</v>
      </c>
      <c r="D19" s="683">
        <f>3508+114</f>
        <v>3622</v>
      </c>
      <c r="E19" s="683">
        <f>+D19+1</f>
        <v>3623</v>
      </c>
      <c r="F19" s="683">
        <v>3508</v>
      </c>
      <c r="G19" s="683">
        <f aca="true" t="shared" si="4" ref="G19:M19">+F19</f>
        <v>3508</v>
      </c>
      <c r="H19" s="683">
        <f t="shared" si="4"/>
        <v>3508</v>
      </c>
      <c r="I19" s="683">
        <f>+H19+247</f>
        <v>3755</v>
      </c>
      <c r="J19" s="683">
        <v>3508</v>
      </c>
      <c r="K19" s="683">
        <f>+J19+247</f>
        <v>3755</v>
      </c>
      <c r="L19" s="683">
        <f t="shared" si="4"/>
        <v>3755</v>
      </c>
      <c r="M19" s="683">
        <f t="shared" si="4"/>
        <v>3755</v>
      </c>
      <c r="N19" s="683">
        <f>+M19+400+600</f>
        <v>4755</v>
      </c>
      <c r="O19" s="683">
        <f>3758+1328</f>
        <v>5086</v>
      </c>
      <c r="P19" s="687">
        <f>SUM(D19:O19)</f>
        <v>46138</v>
      </c>
      <c r="Q19" s="48">
        <f>+'Kiad.intézményenként'!D7</f>
        <v>46138</v>
      </c>
      <c r="R19" s="47">
        <f>+Q19-P19</f>
        <v>0</v>
      </c>
      <c r="S19" s="48">
        <f>+R19/5</f>
        <v>0</v>
      </c>
      <c r="T19" s="47">
        <f>+Q19-P19</f>
        <v>0</v>
      </c>
    </row>
    <row r="20" spans="1:20" ht="24.75" customHeight="1">
      <c r="A20" s="670" t="s">
        <v>34</v>
      </c>
      <c r="B20" s="680" t="s">
        <v>33</v>
      </c>
      <c r="C20" s="662" t="s">
        <v>312</v>
      </c>
      <c r="D20" s="681">
        <f>948+31</f>
        <v>979</v>
      </c>
      <c r="E20" s="681">
        <f>+D20</f>
        <v>979</v>
      </c>
      <c r="F20" s="681">
        <v>948</v>
      </c>
      <c r="G20" s="681">
        <f aca="true" t="shared" si="5" ref="G20:M20">+F20</f>
        <v>948</v>
      </c>
      <c r="H20" s="681">
        <f t="shared" si="5"/>
        <v>948</v>
      </c>
      <c r="I20" s="681">
        <f>+H20+66</f>
        <v>1014</v>
      </c>
      <c r="J20" s="681">
        <v>948</v>
      </c>
      <c r="K20" s="681">
        <f>+J20+67</f>
        <v>1015</v>
      </c>
      <c r="L20" s="681">
        <f t="shared" si="5"/>
        <v>1015</v>
      </c>
      <c r="M20" s="681">
        <f t="shared" si="5"/>
        <v>1015</v>
      </c>
      <c r="N20" s="681">
        <f>+M20+108+53</f>
        <v>1176</v>
      </c>
      <c r="O20" s="681">
        <f>1014+1045</f>
        <v>2059</v>
      </c>
      <c r="P20" s="687">
        <f>SUM(D20:O20)</f>
        <v>13044</v>
      </c>
      <c r="Q20" s="448">
        <f>+'Kiad.intézményenként'!E7</f>
        <v>13044</v>
      </c>
      <c r="R20" s="47">
        <f>+Q20-P20</f>
        <v>0</v>
      </c>
      <c r="S20" s="48">
        <f>+R20/5</f>
        <v>0</v>
      </c>
      <c r="T20" s="47">
        <f>+Q20-P20</f>
        <v>0</v>
      </c>
    </row>
    <row r="21" spans="1:18" ht="12.75">
      <c r="A21" s="670" t="s">
        <v>35</v>
      </c>
      <c r="B21" s="680" t="s">
        <v>34</v>
      </c>
      <c r="C21" s="656" t="s">
        <v>244</v>
      </c>
      <c r="D21" s="681">
        <f>10537+9650</f>
        <v>20187</v>
      </c>
      <c r="E21" s="681">
        <f>+D21+3500</f>
        <v>23687</v>
      </c>
      <c r="F21" s="681">
        <f>+E21+229</f>
        <v>23916</v>
      </c>
      <c r="G21" s="681">
        <v>10537</v>
      </c>
      <c r="H21" s="681">
        <f>+G21+900</f>
        <v>11437</v>
      </c>
      <c r="I21" s="681">
        <f>10537+110</f>
        <v>10647</v>
      </c>
      <c r="J21" s="681">
        <v>10537</v>
      </c>
      <c r="K21" s="681">
        <f>+J21+7175</f>
        <v>17712</v>
      </c>
      <c r="L21" s="681">
        <v>10537</v>
      </c>
      <c r="M21" s="681">
        <f>+L21</f>
        <v>10537</v>
      </c>
      <c r="N21" s="681">
        <f>+M21-1333</f>
        <v>9204</v>
      </c>
      <c r="O21" s="681">
        <f>10536+35974</f>
        <v>46510</v>
      </c>
      <c r="P21" s="687">
        <f aca="true" t="shared" si="6" ref="P21:P28">SUM(D21:O21)</f>
        <v>205448</v>
      </c>
      <c r="Q21" s="47">
        <f>+'Kiad.intézményenként'!F7</f>
        <v>205448</v>
      </c>
      <c r="R21" s="47">
        <f>+Q21-P21</f>
        <v>0</v>
      </c>
    </row>
    <row r="22" spans="1:16" ht="12.75">
      <c r="A22" s="670" t="s">
        <v>36</v>
      </c>
      <c r="B22" s="680" t="s">
        <v>35</v>
      </c>
      <c r="C22" s="656" t="s">
        <v>313</v>
      </c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7">
        <f t="shared" si="6"/>
        <v>0</v>
      </c>
    </row>
    <row r="23" spans="1:16" ht="12.75">
      <c r="A23" s="670" t="s">
        <v>37</v>
      </c>
      <c r="B23" s="680" t="s">
        <v>36</v>
      </c>
      <c r="C23" s="656" t="s">
        <v>314</v>
      </c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7">
        <f t="shared" si="6"/>
        <v>0</v>
      </c>
    </row>
    <row r="24" spans="1:16" ht="12.75">
      <c r="A24" s="670" t="s">
        <v>40</v>
      </c>
      <c r="B24" s="680" t="s">
        <v>37</v>
      </c>
      <c r="C24" s="656" t="s">
        <v>315</v>
      </c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7">
        <f t="shared" si="6"/>
        <v>0</v>
      </c>
    </row>
    <row r="25" spans="1:16" ht="21" customHeight="1">
      <c r="A25" s="670" t="s">
        <v>42</v>
      </c>
      <c r="B25" s="680" t="s">
        <v>40</v>
      </c>
      <c r="C25" s="662" t="s">
        <v>316</v>
      </c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7">
        <f t="shared" si="6"/>
        <v>0</v>
      </c>
    </row>
    <row r="26" spans="1:16" ht="12.75">
      <c r="A26" s="670" t="s">
        <v>43</v>
      </c>
      <c r="B26" s="680" t="s">
        <v>42</v>
      </c>
      <c r="C26" s="656" t="s">
        <v>317</v>
      </c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7">
        <f t="shared" si="6"/>
        <v>0</v>
      </c>
    </row>
    <row r="27" spans="1:16" ht="12.75">
      <c r="A27" s="670" t="s">
        <v>44</v>
      </c>
      <c r="B27" s="680" t="s">
        <v>43</v>
      </c>
      <c r="C27" s="656" t="s">
        <v>318</v>
      </c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7">
        <f t="shared" si="6"/>
        <v>0</v>
      </c>
    </row>
    <row r="28" spans="1:17" ht="12.75">
      <c r="A28" s="670" t="s">
        <v>45</v>
      </c>
      <c r="B28" s="680" t="s">
        <v>44</v>
      </c>
      <c r="C28" s="656" t="s">
        <v>319</v>
      </c>
      <c r="D28" s="681"/>
      <c r="E28" s="681"/>
      <c r="F28" s="681"/>
      <c r="G28" s="681"/>
      <c r="H28" s="681"/>
      <c r="I28" s="681">
        <v>519</v>
      </c>
      <c r="J28" s="681"/>
      <c r="K28" s="681"/>
      <c r="L28" s="681"/>
      <c r="M28" s="681"/>
      <c r="N28" s="681">
        <f>1333</f>
        <v>1333</v>
      </c>
      <c r="O28" s="681"/>
      <c r="P28" s="687">
        <f t="shared" si="6"/>
        <v>1852</v>
      </c>
      <c r="Q28" s="48">
        <f>+'Kiad.intézményenként'!L7</f>
        <v>1852</v>
      </c>
    </row>
    <row r="29" spans="1:16" ht="13.5" thickBot="1">
      <c r="A29" s="670" t="s">
        <v>46</v>
      </c>
      <c r="B29" s="680" t="s">
        <v>45</v>
      </c>
      <c r="C29" s="656" t="s">
        <v>320</v>
      </c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7">
        <f>SUM(D29:O29)</f>
        <v>0</v>
      </c>
    </row>
    <row r="30" spans="1:16" ht="13.5" thickBot="1">
      <c r="A30" s="670" t="s">
        <v>47</v>
      </c>
      <c r="B30" s="688" t="s">
        <v>46</v>
      </c>
      <c r="C30" s="663" t="s">
        <v>321</v>
      </c>
      <c r="D30" s="685">
        <f>SUM(D19:D29)</f>
        <v>24788</v>
      </c>
      <c r="E30" s="685">
        <f aca="true" t="shared" si="7" ref="E30:O30">SUM(E19:E29)</f>
        <v>28289</v>
      </c>
      <c r="F30" s="685">
        <f t="shared" si="7"/>
        <v>28372</v>
      </c>
      <c r="G30" s="685">
        <f t="shared" si="7"/>
        <v>14993</v>
      </c>
      <c r="H30" s="685">
        <f t="shared" si="7"/>
        <v>15893</v>
      </c>
      <c r="I30" s="685">
        <f t="shared" si="7"/>
        <v>15935</v>
      </c>
      <c r="J30" s="685">
        <f t="shared" si="7"/>
        <v>14993</v>
      </c>
      <c r="K30" s="685">
        <f t="shared" si="7"/>
        <v>22482</v>
      </c>
      <c r="L30" s="685">
        <f t="shared" si="7"/>
        <v>15307</v>
      </c>
      <c r="M30" s="685">
        <f t="shared" si="7"/>
        <v>15307</v>
      </c>
      <c r="N30" s="685">
        <f t="shared" si="7"/>
        <v>16468</v>
      </c>
      <c r="O30" s="685">
        <f t="shared" si="7"/>
        <v>53655</v>
      </c>
      <c r="P30" s="690">
        <f>SUM(P19:P29)</f>
        <v>266482</v>
      </c>
    </row>
    <row r="31" spans="1:16" ht="13.5" thickBot="1">
      <c r="A31" s="670" t="s">
        <v>48</v>
      </c>
      <c r="B31" s="688" t="s">
        <v>47</v>
      </c>
      <c r="C31" s="667" t="s">
        <v>322</v>
      </c>
      <c r="D31" s="691">
        <f>+D30-D17</f>
        <v>0</v>
      </c>
      <c r="E31" s="691">
        <f aca="true" t="shared" si="8" ref="E31:P31">+E30-E17</f>
        <v>0</v>
      </c>
      <c r="F31" s="691">
        <f t="shared" si="8"/>
        <v>0</v>
      </c>
      <c r="G31" s="691">
        <f t="shared" si="8"/>
        <v>0</v>
      </c>
      <c r="H31" s="691">
        <f t="shared" si="8"/>
        <v>0</v>
      </c>
      <c r="I31" s="691">
        <f t="shared" si="8"/>
        <v>0</v>
      </c>
      <c r="J31" s="691">
        <f t="shared" si="8"/>
        <v>0</v>
      </c>
      <c r="K31" s="691">
        <f t="shared" si="8"/>
        <v>0</v>
      </c>
      <c r="L31" s="691">
        <f t="shared" si="8"/>
        <v>0</v>
      </c>
      <c r="M31" s="691">
        <f t="shared" si="8"/>
        <v>0</v>
      </c>
      <c r="N31" s="691">
        <f t="shared" si="8"/>
        <v>0</v>
      </c>
      <c r="O31" s="691">
        <f t="shared" si="8"/>
        <v>0</v>
      </c>
      <c r="P31" s="691">
        <f t="shared" si="8"/>
        <v>0</v>
      </c>
    </row>
    <row r="32" spans="1:16" ht="15.75">
      <c r="A32" s="670"/>
      <c r="B32" s="692"/>
      <c r="C32" s="693"/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4"/>
    </row>
    <row r="33" spans="1:16" ht="15.75">
      <c r="A33" s="670"/>
      <c r="B33" s="694"/>
      <c r="C33" s="695"/>
      <c r="D33" s="696">
        <f>-D31</f>
        <v>0</v>
      </c>
      <c r="E33" s="697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8">
        <f>+P30-P17</f>
        <v>0</v>
      </c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 melléklet a 2015. évi   2/2015.(II.25.) Önkormányzati költségvetési rendelethez&amp;R2015.02.25</oddHeader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33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4.8515625" style="48" customWidth="1"/>
    <col min="2" max="2" width="4.8515625" style="48" bestFit="1" customWidth="1"/>
    <col min="3" max="3" width="35.57421875" style="48" customWidth="1"/>
    <col min="4" max="16384" width="9.140625" style="48" customWidth="1"/>
  </cols>
  <sheetData>
    <row r="1" spans="1:16" ht="12.75">
      <c r="A1" s="670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748"/>
      <c r="P1" s="748"/>
    </row>
    <row r="2" spans="1:16" ht="15.75">
      <c r="A2" s="670"/>
      <c r="B2" s="749" t="s">
        <v>346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</row>
    <row r="3" spans="1:16" ht="15.75">
      <c r="A3" s="670"/>
      <c r="B3" s="749" t="s">
        <v>410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</row>
    <row r="4" spans="1:16" ht="15.75">
      <c r="A4" s="670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2" t="s">
        <v>288</v>
      </c>
    </row>
    <row r="5" spans="1:16" ht="16.5" thickBot="1">
      <c r="A5" s="670" t="s">
        <v>11</v>
      </c>
      <c r="B5" s="673" t="s">
        <v>12</v>
      </c>
      <c r="C5" s="674" t="s">
        <v>13</v>
      </c>
      <c r="D5" s="674" t="s">
        <v>14</v>
      </c>
      <c r="E5" s="674" t="s">
        <v>15</v>
      </c>
      <c r="F5" s="674" t="s">
        <v>16</v>
      </c>
      <c r="G5" s="674" t="s">
        <v>17</v>
      </c>
      <c r="H5" s="674" t="s">
        <v>18</v>
      </c>
      <c r="I5" s="674" t="s">
        <v>63</v>
      </c>
      <c r="J5" s="674" t="s">
        <v>359</v>
      </c>
      <c r="K5" s="674" t="s">
        <v>349</v>
      </c>
      <c r="L5" s="674" t="s">
        <v>350</v>
      </c>
      <c r="M5" s="674" t="s">
        <v>352</v>
      </c>
      <c r="N5" s="674" t="s">
        <v>356</v>
      </c>
      <c r="O5" s="674" t="s">
        <v>357</v>
      </c>
      <c r="P5" s="674" t="s">
        <v>358</v>
      </c>
    </row>
    <row r="6" spans="1:16" ht="24.75" thickBot="1">
      <c r="A6" s="670" t="s">
        <v>20</v>
      </c>
      <c r="B6" s="675" t="s">
        <v>289</v>
      </c>
      <c r="C6" s="647" t="s">
        <v>67</v>
      </c>
      <c r="D6" s="647" t="s">
        <v>290</v>
      </c>
      <c r="E6" s="647" t="s">
        <v>291</v>
      </c>
      <c r="F6" s="647" t="s">
        <v>292</v>
      </c>
      <c r="G6" s="647" t="s">
        <v>293</v>
      </c>
      <c r="H6" s="647" t="s">
        <v>294</v>
      </c>
      <c r="I6" s="647" t="s">
        <v>295</v>
      </c>
      <c r="J6" s="647" t="s">
        <v>296</v>
      </c>
      <c r="K6" s="647" t="s">
        <v>297</v>
      </c>
      <c r="L6" s="647" t="s">
        <v>298</v>
      </c>
      <c r="M6" s="647" t="s">
        <v>299</v>
      </c>
      <c r="N6" s="647" t="s">
        <v>300</v>
      </c>
      <c r="O6" s="647" t="s">
        <v>301</v>
      </c>
      <c r="P6" s="648" t="s">
        <v>302</v>
      </c>
    </row>
    <row r="7" spans="1:16" ht="13.5" thickBot="1">
      <c r="A7" s="670" t="s">
        <v>21</v>
      </c>
      <c r="B7" s="676" t="s">
        <v>20</v>
      </c>
      <c r="C7" s="744" t="s">
        <v>97</v>
      </c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6"/>
    </row>
    <row r="8" spans="1:16" ht="12.75">
      <c r="A8" s="670" t="s">
        <v>22</v>
      </c>
      <c r="B8" s="677" t="s">
        <v>21</v>
      </c>
      <c r="C8" s="652" t="s">
        <v>303</v>
      </c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9">
        <f>SUM(D8:O8)</f>
        <v>0</v>
      </c>
    </row>
    <row r="9" spans="1:18" ht="12.75">
      <c r="A9" s="670" t="s">
        <v>23</v>
      </c>
      <c r="B9" s="680" t="s">
        <v>22</v>
      </c>
      <c r="C9" s="656" t="s">
        <v>304</v>
      </c>
      <c r="D9" s="681">
        <v>183</v>
      </c>
      <c r="E9" s="681">
        <f>+D9</f>
        <v>183</v>
      </c>
      <c r="F9" s="681">
        <f aca="true" t="shared" si="0" ref="F9:M9">+E9</f>
        <v>183</v>
      </c>
      <c r="G9" s="681">
        <f t="shared" si="0"/>
        <v>183</v>
      </c>
      <c r="H9" s="681">
        <f t="shared" si="0"/>
        <v>183</v>
      </c>
      <c r="I9" s="681">
        <f t="shared" si="0"/>
        <v>183</v>
      </c>
      <c r="J9" s="681">
        <f t="shared" si="0"/>
        <v>183</v>
      </c>
      <c r="K9" s="681">
        <f t="shared" si="0"/>
        <v>183</v>
      </c>
      <c r="L9" s="681">
        <f t="shared" si="0"/>
        <v>183</v>
      </c>
      <c r="M9" s="681">
        <f t="shared" si="0"/>
        <v>183</v>
      </c>
      <c r="N9" s="681">
        <f>+M9+1435</f>
        <v>1618</v>
      </c>
      <c r="O9" s="681">
        <f>187+268</f>
        <v>455</v>
      </c>
      <c r="P9" s="682">
        <f aca="true" t="shared" si="1" ref="P9:P15">SUM(D9:O9)</f>
        <v>3903</v>
      </c>
      <c r="Q9" s="48">
        <f>+'Bev.intézményenként'!D18</f>
        <v>3903</v>
      </c>
      <c r="R9" s="47">
        <f>+Q9-P9</f>
        <v>0</v>
      </c>
    </row>
    <row r="10" spans="1:18" ht="12.75">
      <c r="A10" s="670" t="s">
        <v>24</v>
      </c>
      <c r="B10" s="680" t="s">
        <v>23</v>
      </c>
      <c r="C10" s="659" t="s">
        <v>305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2">
        <f t="shared" si="1"/>
        <v>0</v>
      </c>
      <c r="R10" s="47">
        <f aca="true" t="shared" si="2" ref="R10:R17">+Q10-P10</f>
        <v>0</v>
      </c>
    </row>
    <row r="11" spans="1:18" ht="12.75">
      <c r="A11" s="670" t="s">
        <v>25</v>
      </c>
      <c r="B11" s="680" t="s">
        <v>24</v>
      </c>
      <c r="C11" s="656" t="s">
        <v>306</v>
      </c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2">
        <f t="shared" si="1"/>
        <v>0</v>
      </c>
      <c r="R11" s="47">
        <f t="shared" si="2"/>
        <v>0</v>
      </c>
    </row>
    <row r="12" spans="1:18" ht="12.75">
      <c r="A12" s="670" t="s">
        <v>26</v>
      </c>
      <c r="B12" s="680" t="s">
        <v>25</v>
      </c>
      <c r="C12" s="656" t="s">
        <v>307</v>
      </c>
      <c r="D12" s="681"/>
      <c r="E12" s="681"/>
      <c r="F12" s="681"/>
      <c r="G12" s="681">
        <v>1100</v>
      </c>
      <c r="H12" s="681"/>
      <c r="I12" s="681"/>
      <c r="J12" s="681"/>
      <c r="K12" s="681"/>
      <c r="L12" s="681"/>
      <c r="M12" s="681"/>
      <c r="N12" s="681">
        <v>1162</v>
      </c>
      <c r="O12" s="681">
        <v>1000</v>
      </c>
      <c r="P12" s="682">
        <f t="shared" si="1"/>
        <v>3262</v>
      </c>
      <c r="Q12" s="47">
        <f>+'Bev.intézményenként'!H18</f>
        <v>3262</v>
      </c>
      <c r="R12" s="47">
        <f t="shared" si="2"/>
        <v>0</v>
      </c>
    </row>
    <row r="13" spans="1:18" ht="12.75">
      <c r="A13" s="670" t="s">
        <v>27</v>
      </c>
      <c r="B13" s="680" t="s">
        <v>26</v>
      </c>
      <c r="C13" s="656" t="s">
        <v>308</v>
      </c>
      <c r="D13" s="681"/>
      <c r="E13" s="681">
        <v>445</v>
      </c>
      <c r="F13" s="681">
        <v>1000</v>
      </c>
      <c r="G13" s="681"/>
      <c r="H13" s="681">
        <v>1000</v>
      </c>
      <c r="I13" s="681"/>
      <c r="J13" s="681"/>
      <c r="K13" s="681"/>
      <c r="L13" s="681"/>
      <c r="M13" s="681"/>
      <c r="N13" s="681">
        <f>1530+282</f>
        <v>1812</v>
      </c>
      <c r="O13" s="681">
        <v>-1000</v>
      </c>
      <c r="P13" s="682">
        <f t="shared" si="1"/>
        <v>3257</v>
      </c>
      <c r="Q13" s="47">
        <f>+'Bev.intézményenként'!F18+'Bev.intézményenként'!G18</f>
        <v>3257</v>
      </c>
      <c r="R13" s="47">
        <f t="shared" si="2"/>
        <v>0</v>
      </c>
    </row>
    <row r="14" spans="1:18" ht="12.75">
      <c r="A14" s="670" t="s">
        <v>28</v>
      </c>
      <c r="B14" s="680" t="s">
        <v>27</v>
      </c>
      <c r="C14" s="656" t="s">
        <v>309</v>
      </c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2">
        <f t="shared" si="1"/>
        <v>0</v>
      </c>
      <c r="R14" s="47">
        <f t="shared" si="2"/>
        <v>0</v>
      </c>
    </row>
    <row r="15" spans="1:18" ht="22.5">
      <c r="A15" s="670" t="s">
        <v>29</v>
      </c>
      <c r="B15" s="680" t="s">
        <v>28</v>
      </c>
      <c r="C15" s="662" t="s">
        <v>310</v>
      </c>
      <c r="D15" s="681"/>
      <c r="E15" s="681">
        <v>268</v>
      </c>
      <c r="F15" s="681"/>
      <c r="G15" s="681"/>
      <c r="H15" s="681"/>
      <c r="I15" s="681"/>
      <c r="J15" s="681"/>
      <c r="K15" s="681"/>
      <c r="L15" s="681"/>
      <c r="M15" s="681"/>
      <c r="N15" s="681"/>
      <c r="O15" s="681">
        <v>2</v>
      </c>
      <c r="P15" s="682">
        <f t="shared" si="1"/>
        <v>270</v>
      </c>
      <c r="Q15" s="48">
        <f>+'Bev.intézményenként'!E18</f>
        <v>270</v>
      </c>
      <c r="R15" s="47">
        <f t="shared" si="2"/>
        <v>0</v>
      </c>
    </row>
    <row r="16" spans="1:18" ht="13.5" thickBot="1">
      <c r="A16" s="670" t="s">
        <v>30</v>
      </c>
      <c r="B16" s="680" t="s">
        <v>29</v>
      </c>
      <c r="C16" s="656" t="s">
        <v>215</v>
      </c>
      <c r="D16" s="681">
        <f>+D30-D8-D9-D10-D11-D12-D13-D14-D15</f>
        <v>2131</v>
      </c>
      <c r="E16" s="681">
        <f aca="true" t="shared" si="3" ref="E16:O16">+E30-E8-E9-E10-E11-E12-E13-E14-E15</f>
        <v>1208</v>
      </c>
      <c r="F16" s="681">
        <f t="shared" si="3"/>
        <v>1192</v>
      </c>
      <c r="G16" s="681">
        <f t="shared" si="3"/>
        <v>2495</v>
      </c>
      <c r="H16" s="681">
        <f t="shared" si="3"/>
        <v>3310</v>
      </c>
      <c r="I16" s="681">
        <f t="shared" si="3"/>
        <v>2005</v>
      </c>
      <c r="J16" s="681">
        <f t="shared" si="3"/>
        <v>1590</v>
      </c>
      <c r="K16" s="681">
        <f t="shared" si="3"/>
        <v>1551</v>
      </c>
      <c r="L16" s="681">
        <f t="shared" si="3"/>
        <v>2251</v>
      </c>
      <c r="M16" s="681">
        <f t="shared" si="3"/>
        <v>1551</v>
      </c>
      <c r="N16" s="681">
        <f t="shared" si="3"/>
        <v>743</v>
      </c>
      <c r="O16" s="681">
        <f t="shared" si="3"/>
        <v>1696</v>
      </c>
      <c r="P16" s="684">
        <f>SUM(D16:O16)</f>
        <v>21723</v>
      </c>
      <c r="Q16" s="47">
        <f>+'Bev.intézményenként'!J18</f>
        <v>21723</v>
      </c>
      <c r="R16" s="47">
        <f t="shared" si="2"/>
        <v>0</v>
      </c>
    </row>
    <row r="17" spans="1:18" ht="13.5" thickBot="1">
      <c r="A17" s="670" t="s">
        <v>31</v>
      </c>
      <c r="B17" s="676" t="s">
        <v>30</v>
      </c>
      <c r="C17" s="663" t="s">
        <v>311</v>
      </c>
      <c r="D17" s="685">
        <f>SUM(D8:D16)</f>
        <v>2314</v>
      </c>
      <c r="E17" s="685">
        <f aca="true" t="shared" si="4" ref="E17:P17">SUM(E8:E16)</f>
        <v>2104</v>
      </c>
      <c r="F17" s="685">
        <f t="shared" si="4"/>
        <v>2375</v>
      </c>
      <c r="G17" s="685">
        <f t="shared" si="4"/>
        <v>3778</v>
      </c>
      <c r="H17" s="685">
        <f t="shared" si="4"/>
        <v>4493</v>
      </c>
      <c r="I17" s="685">
        <f t="shared" si="4"/>
        <v>2188</v>
      </c>
      <c r="J17" s="685">
        <f t="shared" si="4"/>
        <v>1773</v>
      </c>
      <c r="K17" s="685">
        <f t="shared" si="4"/>
        <v>1734</v>
      </c>
      <c r="L17" s="685">
        <f t="shared" si="4"/>
        <v>2434</v>
      </c>
      <c r="M17" s="685">
        <f t="shared" si="4"/>
        <v>1734</v>
      </c>
      <c r="N17" s="685">
        <f t="shared" si="4"/>
        <v>5335</v>
      </c>
      <c r="O17" s="685">
        <f t="shared" si="4"/>
        <v>2153</v>
      </c>
      <c r="P17" s="685">
        <f t="shared" si="4"/>
        <v>32415</v>
      </c>
      <c r="Q17" s="395">
        <f>SUM(Q9:Q16)</f>
        <v>32415</v>
      </c>
      <c r="R17" s="95">
        <f t="shared" si="2"/>
        <v>0</v>
      </c>
    </row>
    <row r="18" spans="1:16" ht="13.5" thickBot="1">
      <c r="A18" s="670" t="s">
        <v>32</v>
      </c>
      <c r="B18" s="676" t="s">
        <v>31</v>
      </c>
      <c r="C18" s="744" t="s">
        <v>119</v>
      </c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7"/>
    </row>
    <row r="19" spans="1:19" ht="12.75">
      <c r="A19" s="670" t="s">
        <v>33</v>
      </c>
      <c r="B19" s="686" t="s">
        <v>32</v>
      </c>
      <c r="C19" s="665" t="s">
        <v>208</v>
      </c>
      <c r="D19" s="683">
        <f>784+15</f>
        <v>799</v>
      </c>
      <c r="E19" s="683">
        <f>+D19+1</f>
        <v>800</v>
      </c>
      <c r="F19" s="683">
        <f>784+213</f>
        <v>997</v>
      </c>
      <c r="G19" s="683">
        <f aca="true" t="shared" si="5" ref="G19:M19">+F19</f>
        <v>997</v>
      </c>
      <c r="H19" s="683">
        <f t="shared" si="5"/>
        <v>997</v>
      </c>
      <c r="I19" s="683">
        <v>784</v>
      </c>
      <c r="J19" s="683">
        <f>+I19+31</f>
        <v>815</v>
      </c>
      <c r="K19" s="683">
        <v>784</v>
      </c>
      <c r="L19" s="683">
        <f t="shared" si="5"/>
        <v>784</v>
      </c>
      <c r="M19" s="683">
        <f t="shared" si="5"/>
        <v>784</v>
      </c>
      <c r="N19" s="683">
        <f>+M19+51</f>
        <v>835</v>
      </c>
      <c r="O19" s="683">
        <f>786+611</f>
        <v>1397</v>
      </c>
      <c r="P19" s="687">
        <f>SUM(D19:O19)</f>
        <v>10773</v>
      </c>
      <c r="Q19" s="48">
        <f>+'Kiad.intézményenként'!D17</f>
        <v>10773</v>
      </c>
      <c r="R19" s="95">
        <f>+Q19-P19</f>
        <v>0</v>
      </c>
      <c r="S19" s="48">
        <f>+R19/3</f>
        <v>0</v>
      </c>
    </row>
    <row r="20" spans="1:19" ht="24.75" customHeight="1">
      <c r="A20" s="670" t="s">
        <v>34</v>
      </c>
      <c r="B20" s="680" t="s">
        <v>33</v>
      </c>
      <c r="C20" s="662" t="s">
        <v>312</v>
      </c>
      <c r="D20" s="681">
        <f>211+5</f>
        <v>216</v>
      </c>
      <c r="E20" s="681">
        <f>+D20-1</f>
        <v>215</v>
      </c>
      <c r="F20" s="681">
        <f>211+46</f>
        <v>257</v>
      </c>
      <c r="G20" s="681">
        <f aca="true" t="shared" si="6" ref="G20:M20">+F20</f>
        <v>257</v>
      </c>
      <c r="H20" s="681">
        <f t="shared" si="6"/>
        <v>257</v>
      </c>
      <c r="I20" s="681">
        <v>211</v>
      </c>
      <c r="J20" s="681">
        <f>+I20+8</f>
        <v>219</v>
      </c>
      <c r="K20" s="681">
        <v>211</v>
      </c>
      <c r="L20" s="681">
        <f t="shared" si="6"/>
        <v>211</v>
      </c>
      <c r="M20" s="681">
        <f t="shared" si="6"/>
        <v>211</v>
      </c>
      <c r="N20" s="681">
        <f>+M20+14</f>
        <v>225</v>
      </c>
      <c r="O20" s="681">
        <f>217+187</f>
        <v>404</v>
      </c>
      <c r="P20" s="687">
        <f aca="true" t="shared" si="7" ref="P20:P28">SUM(D20:O20)</f>
        <v>2894</v>
      </c>
      <c r="Q20" s="48">
        <f>+'Kiad.intézményenként'!E17</f>
        <v>2894</v>
      </c>
      <c r="R20" s="95">
        <f>+Q20-P20</f>
        <v>0</v>
      </c>
      <c r="S20" s="48">
        <f>+R20/3</f>
        <v>0</v>
      </c>
    </row>
    <row r="21" spans="1:18" ht="12.75">
      <c r="A21" s="670" t="s">
        <v>35</v>
      </c>
      <c r="B21" s="680" t="s">
        <v>34</v>
      </c>
      <c r="C21" s="656" t="s">
        <v>244</v>
      </c>
      <c r="D21" s="681">
        <f>739+560</f>
        <v>1299</v>
      </c>
      <c r="E21" s="681">
        <f>739+350</f>
        <v>1089</v>
      </c>
      <c r="F21" s="681">
        <f>+E21+32</f>
        <v>1121</v>
      </c>
      <c r="G21" s="681">
        <f>739+685</f>
        <v>1424</v>
      </c>
      <c r="H21" s="681">
        <f>739+1500</f>
        <v>2239</v>
      </c>
      <c r="I21" s="681">
        <v>739</v>
      </c>
      <c r="J21" s="681">
        <f>+I21</f>
        <v>739</v>
      </c>
      <c r="K21" s="681">
        <f>+J21</f>
        <v>739</v>
      </c>
      <c r="L21" s="681">
        <f>+K21+700-800</f>
        <v>639</v>
      </c>
      <c r="M21" s="681">
        <f>+K21</f>
        <v>739</v>
      </c>
      <c r="N21" s="681">
        <f>+M21+282+1530</f>
        <v>2551</v>
      </c>
      <c r="O21" s="681">
        <f>741-163</f>
        <v>578</v>
      </c>
      <c r="P21" s="687">
        <f t="shared" si="7"/>
        <v>13896</v>
      </c>
      <c r="Q21" s="47">
        <f>+'Kiad.intézményenként'!F17</f>
        <v>13896</v>
      </c>
      <c r="R21" s="95">
        <f aca="true" t="shared" si="8" ref="R21:R29">+Q21-P21</f>
        <v>0</v>
      </c>
    </row>
    <row r="22" spans="1:18" ht="12.75">
      <c r="A22" s="670" t="s">
        <v>36</v>
      </c>
      <c r="B22" s="680" t="s">
        <v>35</v>
      </c>
      <c r="C22" s="656" t="s">
        <v>313</v>
      </c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7">
        <f t="shared" si="7"/>
        <v>0</v>
      </c>
      <c r="R22" s="95">
        <f t="shared" si="8"/>
        <v>0</v>
      </c>
    </row>
    <row r="23" spans="1:18" ht="12.75">
      <c r="A23" s="670" t="s">
        <v>37</v>
      </c>
      <c r="B23" s="680" t="s">
        <v>36</v>
      </c>
      <c r="C23" s="656" t="s">
        <v>314</v>
      </c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7">
        <f t="shared" si="7"/>
        <v>0</v>
      </c>
      <c r="R23" s="95">
        <f t="shared" si="8"/>
        <v>0</v>
      </c>
    </row>
    <row r="24" spans="1:18" ht="12.75">
      <c r="A24" s="670" t="s">
        <v>40</v>
      </c>
      <c r="B24" s="680" t="s">
        <v>37</v>
      </c>
      <c r="C24" s="656" t="s">
        <v>315</v>
      </c>
      <c r="D24" s="681"/>
      <c r="E24" s="681"/>
      <c r="F24" s="681"/>
      <c r="G24" s="681"/>
      <c r="H24" s="681"/>
      <c r="I24" s="681">
        <v>454</v>
      </c>
      <c r="J24" s="681"/>
      <c r="K24" s="681"/>
      <c r="L24" s="681"/>
      <c r="M24" s="681"/>
      <c r="N24" s="681">
        <v>562</v>
      </c>
      <c r="O24" s="681"/>
      <c r="P24" s="687">
        <f t="shared" si="7"/>
        <v>1016</v>
      </c>
      <c r="Q24" s="48">
        <f>+'Kiad.intézményenként'!H17</f>
        <v>1016</v>
      </c>
      <c r="R24" s="95">
        <f t="shared" si="8"/>
        <v>0</v>
      </c>
    </row>
    <row r="25" spans="1:18" ht="21" customHeight="1">
      <c r="A25" s="670" t="s">
        <v>42</v>
      </c>
      <c r="B25" s="680" t="s">
        <v>40</v>
      </c>
      <c r="C25" s="662" t="s">
        <v>316</v>
      </c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7">
        <f t="shared" si="7"/>
        <v>0</v>
      </c>
      <c r="R25" s="95">
        <f t="shared" si="8"/>
        <v>0</v>
      </c>
    </row>
    <row r="26" spans="1:18" ht="12.75">
      <c r="A26" s="670" t="s">
        <v>43</v>
      </c>
      <c r="B26" s="680" t="s">
        <v>42</v>
      </c>
      <c r="C26" s="656" t="s">
        <v>317</v>
      </c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7">
        <f t="shared" si="7"/>
        <v>0</v>
      </c>
      <c r="R26" s="95">
        <f t="shared" si="8"/>
        <v>0</v>
      </c>
    </row>
    <row r="27" spans="1:18" ht="12.75">
      <c r="A27" s="670" t="s">
        <v>44</v>
      </c>
      <c r="B27" s="680" t="s">
        <v>43</v>
      </c>
      <c r="C27" s="656" t="s">
        <v>318</v>
      </c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7">
        <f t="shared" si="7"/>
        <v>0</v>
      </c>
      <c r="R27" s="95">
        <f t="shared" si="8"/>
        <v>0</v>
      </c>
    </row>
    <row r="28" spans="1:18" ht="12.75">
      <c r="A28" s="670" t="s">
        <v>45</v>
      </c>
      <c r="B28" s="680" t="s">
        <v>44</v>
      </c>
      <c r="C28" s="656" t="s">
        <v>319</v>
      </c>
      <c r="D28" s="681"/>
      <c r="E28" s="681"/>
      <c r="F28" s="681"/>
      <c r="G28" s="681">
        <v>1100</v>
      </c>
      <c r="H28" s="681">
        <v>1000</v>
      </c>
      <c r="I28" s="681"/>
      <c r="J28" s="681"/>
      <c r="K28" s="681"/>
      <c r="L28" s="681">
        <v>800</v>
      </c>
      <c r="M28" s="681"/>
      <c r="N28" s="681">
        <f>1162</f>
        <v>1162</v>
      </c>
      <c r="O28" s="681">
        <v>-226</v>
      </c>
      <c r="P28" s="687">
        <f t="shared" si="7"/>
        <v>3836</v>
      </c>
      <c r="Q28" s="48">
        <f>+'Kiad.intézményenként'!L17</f>
        <v>3836</v>
      </c>
      <c r="R28" s="95">
        <f t="shared" si="8"/>
        <v>0</v>
      </c>
    </row>
    <row r="29" spans="1:18" ht="13.5" thickBot="1">
      <c r="A29" s="670" t="s">
        <v>46</v>
      </c>
      <c r="B29" s="680" t="s">
        <v>45</v>
      </c>
      <c r="C29" s="656" t="s">
        <v>320</v>
      </c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7">
        <f>SUM(D29:O29)</f>
        <v>0</v>
      </c>
      <c r="R29" s="95">
        <f t="shared" si="8"/>
        <v>0</v>
      </c>
    </row>
    <row r="30" spans="1:17" ht="13.5" thickBot="1">
      <c r="A30" s="670" t="s">
        <v>47</v>
      </c>
      <c r="B30" s="688" t="s">
        <v>46</v>
      </c>
      <c r="C30" s="663" t="s">
        <v>321</v>
      </c>
      <c r="D30" s="685">
        <f>SUM(D19:D29)</f>
        <v>2314</v>
      </c>
      <c r="E30" s="685">
        <f aca="true" t="shared" si="9" ref="E30:O30">SUM(E19:E29)</f>
        <v>2104</v>
      </c>
      <c r="F30" s="685">
        <f t="shared" si="9"/>
        <v>2375</v>
      </c>
      <c r="G30" s="685">
        <f t="shared" si="9"/>
        <v>3778</v>
      </c>
      <c r="H30" s="685">
        <f t="shared" si="9"/>
        <v>4493</v>
      </c>
      <c r="I30" s="685">
        <f t="shared" si="9"/>
        <v>2188</v>
      </c>
      <c r="J30" s="685">
        <f t="shared" si="9"/>
        <v>1773</v>
      </c>
      <c r="K30" s="685">
        <f t="shared" si="9"/>
        <v>1734</v>
      </c>
      <c r="L30" s="685">
        <f t="shared" si="9"/>
        <v>2434</v>
      </c>
      <c r="M30" s="685">
        <f t="shared" si="9"/>
        <v>1734</v>
      </c>
      <c r="N30" s="685">
        <f t="shared" si="9"/>
        <v>5335</v>
      </c>
      <c r="O30" s="685">
        <f t="shared" si="9"/>
        <v>2153</v>
      </c>
      <c r="P30" s="690">
        <f>SUM(P19:P29)</f>
        <v>32415</v>
      </c>
      <c r="Q30" s="395">
        <f>SUM(Q19:Q29)</f>
        <v>32415</v>
      </c>
    </row>
    <row r="31" spans="1:16" ht="13.5" thickBot="1">
      <c r="A31" s="670" t="s">
        <v>48</v>
      </c>
      <c r="B31" s="688" t="s">
        <v>47</v>
      </c>
      <c r="C31" s="667" t="s">
        <v>322</v>
      </c>
      <c r="D31" s="691">
        <f>+D30-D17</f>
        <v>0</v>
      </c>
      <c r="E31" s="691">
        <f aca="true" t="shared" si="10" ref="E31:P31">+E30-E17</f>
        <v>0</v>
      </c>
      <c r="F31" s="691">
        <f t="shared" si="10"/>
        <v>0</v>
      </c>
      <c r="G31" s="691">
        <f t="shared" si="10"/>
        <v>0</v>
      </c>
      <c r="H31" s="691">
        <f t="shared" si="10"/>
        <v>0</v>
      </c>
      <c r="I31" s="691">
        <f t="shared" si="10"/>
        <v>0</v>
      </c>
      <c r="J31" s="691">
        <f t="shared" si="10"/>
        <v>0</v>
      </c>
      <c r="K31" s="691">
        <f t="shared" si="10"/>
        <v>0</v>
      </c>
      <c r="L31" s="691">
        <f t="shared" si="10"/>
        <v>0</v>
      </c>
      <c r="M31" s="691">
        <f t="shared" si="10"/>
        <v>0</v>
      </c>
      <c r="N31" s="691">
        <f t="shared" si="10"/>
        <v>0</v>
      </c>
      <c r="O31" s="691">
        <f t="shared" si="10"/>
        <v>0</v>
      </c>
      <c r="P31" s="691">
        <f t="shared" si="10"/>
        <v>0</v>
      </c>
    </row>
    <row r="32" spans="1:17" ht="15.75">
      <c r="A32" s="670"/>
      <c r="B32" s="692"/>
      <c r="C32" s="693"/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8">
        <f>+P30-P17</f>
        <v>0</v>
      </c>
      <c r="Q32" s="47">
        <f>+Q30-Q17</f>
        <v>0</v>
      </c>
    </row>
    <row r="33" spans="2:16" ht="15.75">
      <c r="B33" s="185"/>
      <c r="C33" s="207"/>
      <c r="D33" s="209"/>
      <c r="E33" s="208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5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&amp;L20. melléklet a 2015. évi   2/2015.(II.25.) Önkormányzati költségvetési rendelethez&amp;R2015.02.25</oddHeader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view="pageLayout" workbookViewId="0" topLeftCell="A1">
      <selection activeCell="H20" sqref="H20"/>
    </sheetView>
  </sheetViews>
  <sheetFormatPr defaultColWidth="9.140625" defaultRowHeight="12.75"/>
  <cols>
    <col min="1" max="1" width="5.421875" style="91" customWidth="1"/>
    <col min="2" max="2" width="4.00390625" style="91" customWidth="1"/>
    <col min="3" max="3" width="33.28125" style="91" customWidth="1"/>
    <col min="4" max="4" width="17.57421875" style="91" customWidth="1"/>
    <col min="5" max="5" width="9.57421875" style="91" bestFit="1" customWidth="1"/>
    <col min="6" max="7" width="14.7109375" style="91" customWidth="1"/>
    <col min="8" max="8" width="9.421875" style="91" customWidth="1"/>
    <col min="9" max="10" width="9.421875" style="91" hidden="1" customWidth="1"/>
    <col min="11" max="11" width="11.140625" style="91" bestFit="1" customWidth="1"/>
    <col min="12" max="12" width="9.421875" style="91" bestFit="1" customWidth="1"/>
    <col min="13" max="13" width="6.7109375" style="91" customWidth="1"/>
    <col min="14" max="14" width="9.28125" style="91" bestFit="1" customWidth="1"/>
    <col min="15" max="16384" width="9.140625" style="91" customWidth="1"/>
  </cols>
  <sheetData>
    <row r="1" spans="1:14" ht="14.25">
      <c r="A1" s="759" t="s">
        <v>155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spans="1:14" ht="15" customHeight="1" thickBot="1">
      <c r="A2" s="91" t="s">
        <v>11</v>
      </c>
      <c r="B2" s="92" t="s">
        <v>12</v>
      </c>
      <c r="C2" s="92" t="s">
        <v>13</v>
      </c>
      <c r="D2" s="92" t="s">
        <v>14</v>
      </c>
      <c r="E2" s="92" t="s">
        <v>15</v>
      </c>
      <c r="F2" s="92" t="s">
        <v>16</v>
      </c>
      <c r="G2" s="92"/>
      <c r="H2" s="92" t="s">
        <v>17</v>
      </c>
      <c r="I2" s="92" t="s">
        <v>18</v>
      </c>
      <c r="J2" s="92" t="s">
        <v>354</v>
      </c>
      <c r="K2" s="92" t="s">
        <v>19</v>
      </c>
      <c r="L2" s="92" t="s">
        <v>349</v>
      </c>
      <c r="M2" s="91" t="s">
        <v>350</v>
      </c>
      <c r="N2" s="91" t="s">
        <v>352</v>
      </c>
    </row>
    <row r="3" spans="1:14" ht="18" customHeight="1">
      <c r="A3" s="91" t="s">
        <v>20</v>
      </c>
      <c r="B3" s="164" t="s">
        <v>156</v>
      </c>
      <c r="C3" s="165"/>
      <c r="D3" s="165"/>
      <c r="E3" s="165"/>
      <c r="F3" s="151"/>
      <c r="G3" s="356"/>
      <c r="H3" s="756">
        <v>2013</v>
      </c>
      <c r="I3" s="757"/>
      <c r="J3" s="758"/>
      <c r="K3" s="159">
        <v>2014</v>
      </c>
      <c r="L3" s="159">
        <v>2015</v>
      </c>
      <c r="M3" s="159">
        <v>2016</v>
      </c>
      <c r="N3" s="159">
        <v>2017</v>
      </c>
    </row>
    <row r="4" spans="1:14" ht="15" thickBot="1">
      <c r="A4" s="91" t="s">
        <v>21</v>
      </c>
      <c r="B4" s="174"/>
      <c r="C4" s="173"/>
      <c r="D4" s="173"/>
      <c r="E4" s="155"/>
      <c r="F4" s="182">
        <v>241.06</v>
      </c>
      <c r="G4" s="357"/>
      <c r="H4" s="358"/>
      <c r="I4" s="155" t="s">
        <v>261</v>
      </c>
      <c r="J4" s="359" t="s">
        <v>260</v>
      </c>
      <c r="K4" s="161"/>
      <c r="L4" s="161"/>
      <c r="M4" s="163"/>
      <c r="N4" s="163"/>
    </row>
    <row r="5" spans="2:14" ht="15">
      <c r="B5" s="166"/>
      <c r="C5" s="167"/>
      <c r="D5" s="167"/>
      <c r="E5" s="153"/>
      <c r="F5" s="154"/>
      <c r="G5" s="153"/>
      <c r="H5" s="152"/>
      <c r="I5" s="152"/>
      <c r="J5" s="154"/>
      <c r="K5" s="160"/>
      <c r="L5" s="160"/>
      <c r="M5" s="162"/>
      <c r="N5" s="162"/>
    </row>
    <row r="6" spans="1:14" ht="60">
      <c r="A6" s="91" t="s">
        <v>22</v>
      </c>
      <c r="B6" s="166"/>
      <c r="C6" s="168" t="s">
        <v>157</v>
      </c>
      <c r="D6" s="168" t="s">
        <v>158</v>
      </c>
      <c r="E6" s="169" t="s">
        <v>159</v>
      </c>
      <c r="F6" s="170" t="s">
        <v>160</v>
      </c>
      <c r="G6" s="360" t="s">
        <v>443</v>
      </c>
      <c r="H6" s="152">
        <f>+I6+J6</f>
        <v>24408</v>
      </c>
      <c r="I6" s="152">
        <v>16272</v>
      </c>
      <c r="J6" s="154">
        <v>8136</v>
      </c>
      <c r="K6" s="160">
        <f>+Kiadás!F28</f>
        <v>162405</v>
      </c>
      <c r="L6" s="160">
        <v>0</v>
      </c>
      <c r="M6" s="162">
        <v>0</v>
      </c>
      <c r="N6" s="162">
        <v>0</v>
      </c>
    </row>
    <row r="7" spans="1:14" ht="64.5" customHeight="1">
      <c r="A7" s="91" t="s">
        <v>23</v>
      </c>
      <c r="B7" s="166"/>
      <c r="C7" s="168" t="s">
        <v>161</v>
      </c>
      <c r="D7" s="168" t="s">
        <v>162</v>
      </c>
      <c r="E7" s="153">
        <v>80000</v>
      </c>
      <c r="F7" s="170" t="s">
        <v>224</v>
      </c>
      <c r="G7" s="360" t="s">
        <v>443</v>
      </c>
      <c r="H7" s="152">
        <f>+I7+J7</f>
        <v>1050</v>
      </c>
      <c r="I7" s="152"/>
      <c r="J7" s="154">
        <v>1050</v>
      </c>
      <c r="K7" s="160">
        <v>70000</v>
      </c>
      <c r="L7" s="160">
        <v>0</v>
      </c>
      <c r="M7" s="162">
        <v>0</v>
      </c>
      <c r="N7" s="162">
        <v>0</v>
      </c>
    </row>
    <row r="8" spans="2:14" ht="7.5" customHeight="1" thickBot="1">
      <c r="B8" s="166"/>
      <c r="C8" s="167"/>
      <c r="D8" s="167"/>
      <c r="E8" s="153"/>
      <c r="F8" s="154"/>
      <c r="G8" s="153"/>
      <c r="H8" s="152"/>
      <c r="I8" s="152"/>
      <c r="J8" s="154"/>
      <c r="K8" s="160"/>
      <c r="L8" s="160"/>
      <c r="M8" s="162"/>
      <c r="N8" s="162"/>
    </row>
    <row r="9" spans="1:14" ht="15" thickBot="1">
      <c r="A9" s="91" t="s">
        <v>24</v>
      </c>
      <c r="B9" s="175" t="s">
        <v>163</v>
      </c>
      <c r="C9" s="176"/>
      <c r="D9" s="176"/>
      <c r="E9" s="157"/>
      <c r="F9" s="158"/>
      <c r="G9" s="157"/>
      <c r="H9" s="156">
        <f aca="true" t="shared" si="0" ref="H9:N9">SUM(H6:H8)</f>
        <v>25458</v>
      </c>
      <c r="I9" s="156">
        <f t="shared" si="0"/>
        <v>16272</v>
      </c>
      <c r="J9" s="156">
        <f t="shared" si="0"/>
        <v>9186</v>
      </c>
      <c r="K9" s="156">
        <f t="shared" si="0"/>
        <v>232405</v>
      </c>
      <c r="L9" s="156">
        <f t="shared" si="0"/>
        <v>0</v>
      </c>
      <c r="M9" s="156">
        <f t="shared" si="0"/>
        <v>0</v>
      </c>
      <c r="N9" s="156">
        <f t="shared" si="0"/>
        <v>0</v>
      </c>
    </row>
    <row r="10" spans="2:14" ht="14.25">
      <c r="B10" s="171"/>
      <c r="C10" s="375"/>
      <c r="D10" s="375"/>
      <c r="E10" s="376"/>
      <c r="F10" s="377"/>
      <c r="G10" s="376"/>
      <c r="H10" s="378"/>
      <c r="I10" s="378"/>
      <c r="J10" s="376"/>
      <c r="K10" s="378"/>
      <c r="L10" s="378"/>
      <c r="M10" s="378"/>
      <c r="N10" s="379"/>
    </row>
    <row r="11" spans="1:14" ht="14.25">
      <c r="A11" s="91" t="s">
        <v>25</v>
      </c>
      <c r="B11" s="172" t="s">
        <v>456</v>
      </c>
      <c r="C11" s="375"/>
      <c r="D11" s="375"/>
      <c r="E11" s="376"/>
      <c r="F11" s="377"/>
      <c r="G11" s="376"/>
      <c r="H11" s="378"/>
      <c r="I11" s="378"/>
      <c r="J11" s="376"/>
      <c r="K11" s="378"/>
      <c r="L11" s="378"/>
      <c r="M11" s="378"/>
      <c r="N11" s="380"/>
    </row>
    <row r="12" spans="1:14" ht="57">
      <c r="A12" s="91" t="s">
        <v>26</v>
      </c>
      <c r="B12" s="171"/>
      <c r="C12" s="335" t="s">
        <v>455</v>
      </c>
      <c r="D12" s="375"/>
      <c r="E12" s="376"/>
      <c r="F12" s="377"/>
      <c r="G12" s="376"/>
      <c r="H12" s="378"/>
      <c r="I12" s="378"/>
      <c r="J12" s="376"/>
      <c r="K12" s="378"/>
      <c r="L12" s="378">
        <v>48548</v>
      </c>
      <c r="M12" s="378"/>
      <c r="N12" s="380"/>
    </row>
    <row r="13" spans="2:14" ht="15" thickBot="1">
      <c r="B13" s="171"/>
      <c r="C13" s="335"/>
      <c r="D13" s="375"/>
      <c r="E13" s="376"/>
      <c r="F13" s="377"/>
      <c r="G13" s="376"/>
      <c r="H13" s="378"/>
      <c r="I13" s="378"/>
      <c r="J13" s="376"/>
      <c r="K13" s="378"/>
      <c r="L13" s="378"/>
      <c r="M13" s="378"/>
      <c r="N13" s="380"/>
    </row>
    <row r="14" spans="1:14" ht="15" thickBot="1">
      <c r="A14" s="91" t="s">
        <v>27</v>
      </c>
      <c r="B14" s="175" t="s">
        <v>457</v>
      </c>
      <c r="C14" s="381"/>
      <c r="D14" s="176"/>
      <c r="E14" s="157"/>
      <c r="F14" s="158"/>
      <c r="G14" s="157"/>
      <c r="H14" s="156"/>
      <c r="I14" s="156"/>
      <c r="J14" s="157"/>
      <c r="K14" s="156"/>
      <c r="L14" s="156">
        <f>SUM(L12:L13)</f>
        <v>48548</v>
      </c>
      <c r="M14" s="156"/>
      <c r="N14" s="286"/>
    </row>
    <row r="15" spans="2:14" ht="15">
      <c r="B15" s="382"/>
      <c r="C15" s="383"/>
      <c r="D15" s="383"/>
      <c r="E15" s="384"/>
      <c r="F15" s="385"/>
      <c r="G15" s="153"/>
      <c r="H15" s="152"/>
      <c r="I15" s="152"/>
      <c r="J15" s="154"/>
      <c r="K15" s="160"/>
      <c r="L15" s="160"/>
      <c r="M15" s="162"/>
      <c r="N15" s="162"/>
    </row>
    <row r="16" spans="1:14" ht="15">
      <c r="A16" s="91" t="s">
        <v>28</v>
      </c>
      <c r="B16" s="172" t="s">
        <v>164</v>
      </c>
      <c r="C16" s="167"/>
      <c r="D16" s="167"/>
      <c r="E16" s="153"/>
      <c r="F16" s="154"/>
      <c r="G16" s="153"/>
      <c r="H16" s="152"/>
      <c r="I16" s="152"/>
      <c r="J16" s="154"/>
      <c r="K16" s="160"/>
      <c r="L16" s="160"/>
      <c r="M16" s="162"/>
      <c r="N16" s="162"/>
    </row>
    <row r="17" spans="2:14" ht="7.5" customHeight="1">
      <c r="B17" s="171"/>
      <c r="C17" s="167"/>
      <c r="D17" s="167"/>
      <c r="E17" s="153"/>
      <c r="F17" s="154"/>
      <c r="G17" s="153"/>
      <c r="H17" s="152"/>
      <c r="I17" s="152"/>
      <c r="J17" s="154"/>
      <c r="K17" s="160"/>
      <c r="L17" s="160"/>
      <c r="M17" s="162"/>
      <c r="N17" s="162"/>
    </row>
    <row r="18" spans="1:14" ht="15">
      <c r="A18" s="91" t="s">
        <v>29</v>
      </c>
      <c r="B18" s="166"/>
      <c r="C18" s="168" t="str">
        <f>+C6</f>
        <v>"BATTONYA 2027" kötvény</v>
      </c>
      <c r="D18" s="167"/>
      <c r="E18" s="153"/>
      <c r="F18" s="154"/>
      <c r="G18" s="153"/>
      <c r="H18" s="152">
        <f>+I18+J18</f>
        <v>7644</v>
      </c>
      <c r="I18" s="152">
        <v>5096</v>
      </c>
      <c r="J18" s="154">
        <v>2548</v>
      </c>
      <c r="K18" s="160">
        <v>2196</v>
      </c>
      <c r="L18" s="160">
        <v>0</v>
      </c>
      <c r="M18" s="160">
        <v>0</v>
      </c>
      <c r="N18" s="160">
        <v>0</v>
      </c>
    </row>
    <row r="19" spans="2:14" ht="9" customHeight="1">
      <c r="B19" s="166"/>
      <c r="C19" s="168"/>
      <c r="D19" s="167"/>
      <c r="E19" s="153"/>
      <c r="F19" s="154"/>
      <c r="G19" s="153"/>
      <c r="H19" s="152"/>
      <c r="I19" s="152"/>
      <c r="J19" s="154"/>
      <c r="K19" s="160"/>
      <c r="L19" s="160"/>
      <c r="M19" s="160"/>
      <c r="N19" s="160"/>
    </row>
    <row r="20" spans="1:14" ht="60">
      <c r="A20" s="91" t="s">
        <v>30</v>
      </c>
      <c r="B20" s="166"/>
      <c r="C20" s="168" t="s">
        <v>161</v>
      </c>
      <c r="D20" s="168" t="s">
        <v>162</v>
      </c>
      <c r="E20" s="153"/>
      <c r="F20" s="154"/>
      <c r="G20" s="153"/>
      <c r="H20" s="152">
        <f>+I20+J20</f>
        <v>6450</v>
      </c>
      <c r="I20" s="152">
        <v>4300</v>
      </c>
      <c r="J20" s="154">
        <v>2150</v>
      </c>
      <c r="K20" s="160">
        <v>1023</v>
      </c>
      <c r="L20" s="160">
        <v>0</v>
      </c>
      <c r="M20" s="162">
        <v>0</v>
      </c>
      <c r="N20" s="162">
        <v>0</v>
      </c>
    </row>
    <row r="21" spans="2:14" ht="7.5" customHeight="1" thickBot="1">
      <c r="B21" s="386"/>
      <c r="C21" s="387"/>
      <c r="D21" s="387"/>
      <c r="E21" s="388"/>
      <c r="F21" s="389"/>
      <c r="G21" s="153"/>
      <c r="H21" s="152"/>
      <c r="I21" s="152"/>
      <c r="J21" s="154"/>
      <c r="K21" s="160"/>
      <c r="L21" s="160"/>
      <c r="M21" s="162"/>
      <c r="N21" s="163"/>
    </row>
    <row r="22" spans="1:14" ht="15" thickBot="1">
      <c r="A22" s="91" t="s">
        <v>31</v>
      </c>
      <c r="B22" s="175" t="s">
        <v>165</v>
      </c>
      <c r="C22" s="176"/>
      <c r="D22" s="176"/>
      <c r="E22" s="157"/>
      <c r="F22" s="158"/>
      <c r="G22" s="157"/>
      <c r="H22" s="156">
        <f aca="true" t="shared" si="1" ref="H22:N22">SUM(H18:H21)</f>
        <v>14094</v>
      </c>
      <c r="I22" s="156">
        <f t="shared" si="1"/>
        <v>9396</v>
      </c>
      <c r="J22" s="156">
        <f t="shared" si="1"/>
        <v>4698</v>
      </c>
      <c r="K22" s="156">
        <f t="shared" si="1"/>
        <v>3219</v>
      </c>
      <c r="L22" s="156">
        <f>SUM(L18:L21)</f>
        <v>0</v>
      </c>
      <c r="M22" s="156">
        <f t="shared" si="1"/>
        <v>0</v>
      </c>
      <c r="N22" s="286">
        <f t="shared" si="1"/>
        <v>0</v>
      </c>
    </row>
    <row r="23" spans="2:14" ht="9" customHeight="1" thickBot="1">
      <c r="B23" s="166"/>
      <c r="C23" s="167"/>
      <c r="D23" s="167"/>
      <c r="E23" s="153"/>
      <c r="F23" s="154"/>
      <c r="G23" s="153"/>
      <c r="H23" s="152"/>
      <c r="I23" s="152"/>
      <c r="J23" s="154"/>
      <c r="K23" s="160"/>
      <c r="L23" s="160"/>
      <c r="M23" s="162"/>
      <c r="N23" s="162"/>
    </row>
    <row r="24" spans="1:14" ht="15" thickBot="1">
      <c r="A24" s="91" t="s">
        <v>32</v>
      </c>
      <c r="B24" s="175" t="s">
        <v>166</v>
      </c>
      <c r="C24" s="176"/>
      <c r="D24" s="176"/>
      <c r="E24" s="157"/>
      <c r="F24" s="158"/>
      <c r="G24" s="157"/>
      <c r="H24" s="156">
        <f aca="true" t="shared" si="2" ref="H24:N24">H22+H9</f>
        <v>39552</v>
      </c>
      <c r="I24" s="156">
        <f t="shared" si="2"/>
        <v>25668</v>
      </c>
      <c r="J24" s="156">
        <f t="shared" si="2"/>
        <v>13884</v>
      </c>
      <c r="K24" s="156">
        <f t="shared" si="2"/>
        <v>235624</v>
      </c>
      <c r="L24" s="156">
        <f>L22+L9+L14</f>
        <v>48548</v>
      </c>
      <c r="M24" s="156">
        <f t="shared" si="2"/>
        <v>0</v>
      </c>
      <c r="N24" s="286">
        <f t="shared" si="2"/>
        <v>0</v>
      </c>
    </row>
    <row r="25" spans="2:14" ht="15">
      <c r="B25" s="92"/>
      <c r="C25" s="92"/>
      <c r="D25" s="92"/>
      <c r="E25" s="94"/>
      <c r="F25" s="94"/>
      <c r="G25" s="94"/>
      <c r="H25" s="94"/>
      <c r="I25" s="94"/>
      <c r="J25" s="94"/>
      <c r="K25" s="94"/>
      <c r="L25" s="94"/>
      <c r="M25" s="93"/>
      <c r="N25" s="93"/>
    </row>
    <row r="26" spans="5:14" ht="14.25">
      <c r="E26" s="93"/>
      <c r="F26" s="93"/>
      <c r="G26" s="93"/>
      <c r="H26" s="93"/>
      <c r="I26" s="93"/>
      <c r="J26" s="93"/>
      <c r="K26" s="93"/>
      <c r="L26" s="93"/>
      <c r="M26" s="93"/>
      <c r="N26" s="93"/>
    </row>
  </sheetData>
  <sheetProtection/>
  <mergeCells count="2">
    <mergeCell ref="H3:J3"/>
    <mergeCell ref="A1:N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&amp;L21. melléklet a 2015. évi   2/2015.(II.25.) Önkormányzati költségvetési rendelethez&amp;R2015.02.25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view="pageLayout" zoomScaleSheetLayoutView="100" workbookViewId="0" topLeftCell="A1">
      <selection activeCell="B8" sqref="B8"/>
    </sheetView>
  </sheetViews>
  <sheetFormatPr defaultColWidth="9.140625" defaultRowHeight="15" customHeight="1"/>
  <cols>
    <col min="1" max="1" width="4.57421875" style="16" bestFit="1" customWidth="1"/>
    <col min="2" max="2" width="25.421875" style="16" customWidth="1"/>
    <col min="3" max="3" width="13.28125" style="16" customWidth="1"/>
    <col min="4" max="4" width="9.28125" style="16" customWidth="1"/>
    <col min="5" max="5" width="9.421875" style="16" customWidth="1"/>
    <col min="6" max="6" width="11.00390625" style="16" customWidth="1"/>
    <col min="7" max="7" width="10.140625" style="16" bestFit="1" customWidth="1"/>
    <col min="8" max="8" width="10.7109375" style="16" customWidth="1"/>
    <col min="9" max="9" width="8.28125" style="16" hidden="1" customWidth="1"/>
    <col min="10" max="10" width="13.8515625" style="16" customWidth="1"/>
    <col min="11" max="11" width="10.140625" style="16" bestFit="1" customWidth="1"/>
    <col min="12" max="12" width="11.7109375" style="16" customWidth="1"/>
    <col min="13" max="13" width="12.421875" style="16" customWidth="1"/>
    <col min="14" max="14" width="9.140625" style="16" customWidth="1"/>
    <col min="15" max="16" width="10.140625" style="16" bestFit="1" customWidth="1"/>
    <col min="17" max="16384" width="9.140625" style="16" customWidth="1"/>
  </cols>
  <sheetData>
    <row r="1" spans="2:13" ht="15" customHeight="1">
      <c r="B1" s="17" t="s">
        <v>0</v>
      </c>
      <c r="C1" s="18"/>
      <c r="D1" s="19" t="s">
        <v>1</v>
      </c>
      <c r="E1" s="19" t="s">
        <v>2</v>
      </c>
      <c r="F1" s="704" t="s">
        <v>3</v>
      </c>
      <c r="G1" s="704"/>
      <c r="H1" s="704"/>
      <c r="I1" s="21" t="e">
        <f>+#REF!</f>
        <v>#REF!</v>
      </c>
      <c r="J1" s="19" t="s">
        <v>4</v>
      </c>
      <c r="K1" s="19"/>
      <c r="L1" s="19" t="s">
        <v>5</v>
      </c>
      <c r="M1" s="19" t="s">
        <v>6</v>
      </c>
    </row>
    <row r="2" spans="2:13" ht="15" customHeight="1">
      <c r="B2" s="643" t="s">
        <v>656</v>
      </c>
      <c r="C2" s="22"/>
      <c r="D2" s="23"/>
      <c r="E2" s="23"/>
      <c r="F2" s="20" t="s">
        <v>7</v>
      </c>
      <c r="G2" s="20" t="s">
        <v>8</v>
      </c>
      <c r="H2" s="20" t="s">
        <v>9</v>
      </c>
      <c r="I2" s="21"/>
      <c r="J2" s="23"/>
      <c r="K2" s="23"/>
      <c r="L2" s="23"/>
      <c r="M2" s="23"/>
    </row>
    <row r="3" spans="1:13" s="24" customFormat="1" ht="15.75" customHeight="1">
      <c r="A3" s="24" t="s">
        <v>11</v>
      </c>
      <c r="B3" s="17" t="s">
        <v>12</v>
      </c>
      <c r="C3" s="18" t="s">
        <v>13</v>
      </c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18</v>
      </c>
      <c r="I3" s="25"/>
      <c r="J3" s="19" t="s">
        <v>63</v>
      </c>
      <c r="K3" s="19" t="s">
        <v>19</v>
      </c>
      <c r="L3" s="19" t="s">
        <v>349</v>
      </c>
      <c r="M3" s="19" t="s">
        <v>350</v>
      </c>
    </row>
    <row r="4" spans="3:13" ht="9" customHeight="1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3:13" ht="32.25" customHeight="1" hidden="1">
      <c r="C5" s="26" t="s">
        <v>54</v>
      </c>
      <c r="D5" s="27">
        <v>87890</v>
      </c>
      <c r="J5" s="27">
        <f>+M5-D5-E5-F5-G5-H5-K5</f>
        <v>94220</v>
      </c>
      <c r="K5" s="27"/>
      <c r="L5" s="27">
        <f>SUM(D5:J5)</f>
        <v>182110</v>
      </c>
      <c r="M5" s="27">
        <f>+'Kiad.intézményenként'!N4</f>
        <v>182110</v>
      </c>
    </row>
    <row r="6" spans="3:13" ht="0.75" customHeight="1" hidden="1">
      <c r="C6" s="26" t="s">
        <v>360</v>
      </c>
      <c r="D6" s="27">
        <f>+D5</f>
        <v>87890</v>
      </c>
      <c r="E6" s="27">
        <v>1114</v>
      </c>
      <c r="F6" s="27">
        <f>+F5</f>
        <v>0</v>
      </c>
      <c r="G6" s="27">
        <v>1346</v>
      </c>
      <c r="H6" s="27">
        <f>+H5</f>
        <v>0</v>
      </c>
      <c r="J6" s="27">
        <f>+M6-D6-E6-F6-G6-H6-K6</f>
        <v>137989</v>
      </c>
      <c r="K6" s="27"/>
      <c r="L6" s="27">
        <f>SUM(D6:J6)</f>
        <v>228339</v>
      </c>
      <c r="M6" s="27">
        <f>+'Kiad.intézményenként'!N5</f>
        <v>228339</v>
      </c>
    </row>
    <row r="7" spans="1:13" ht="30">
      <c r="A7" s="16" t="s">
        <v>20</v>
      </c>
      <c r="B7" s="26" t="str">
        <f>+'[1]2mell 1ápr'!A28</f>
        <v>Városellátó  Szervezet</v>
      </c>
      <c r="C7" s="26" t="s">
        <v>364</v>
      </c>
      <c r="D7" s="31">
        <v>85768</v>
      </c>
      <c r="E7" s="31"/>
      <c r="F7" s="31">
        <v>0</v>
      </c>
      <c r="G7" s="31"/>
      <c r="H7" s="31"/>
      <c r="I7" s="28"/>
      <c r="J7" s="31">
        <f>+M7-K7-H7-G7-F7-E7-D7</f>
        <v>94148</v>
      </c>
      <c r="K7" s="31"/>
      <c r="L7" s="31">
        <f>SUM(D7:J7)</f>
        <v>179916</v>
      </c>
      <c r="M7" s="31">
        <f>+'Kiad.intézményenként'!N6</f>
        <v>179916</v>
      </c>
    </row>
    <row r="8" spans="1:13" ht="24" customHeight="1">
      <c r="A8" s="16" t="s">
        <v>21</v>
      </c>
      <c r="C8" s="16" t="s">
        <v>462</v>
      </c>
      <c r="D8" s="28">
        <f>+D7+7175+6709</f>
        <v>99652</v>
      </c>
      <c r="E8" s="28">
        <f>1355+10</f>
        <v>1365</v>
      </c>
      <c r="F8" s="28">
        <f>Bevétel!F85+Bevétel!F86</f>
        <v>1018</v>
      </c>
      <c r="G8" s="28">
        <f>+Bevétel!F67</f>
        <v>27490</v>
      </c>
      <c r="H8" s="28"/>
      <c r="I8" s="28"/>
      <c r="J8" s="31">
        <f>+M8-K8-H8-G8-F8-E8-D8</f>
        <v>136957</v>
      </c>
      <c r="K8" s="28"/>
      <c r="L8" s="31">
        <f>SUM(D8:J8)</f>
        <v>266482</v>
      </c>
      <c r="M8" s="31">
        <f>+'Kiad.intézményenként'!N7</f>
        <v>266482</v>
      </c>
    </row>
    <row r="9" spans="2:13" ht="14.25" customHeight="1">
      <c r="B9" s="26"/>
      <c r="D9" s="31"/>
      <c r="E9" s="28"/>
      <c r="F9" s="31"/>
      <c r="G9" s="28"/>
      <c r="H9" s="28"/>
      <c r="I9" s="28"/>
      <c r="J9" s="31"/>
      <c r="K9" s="31"/>
      <c r="L9" s="31"/>
      <c r="M9" s="31"/>
    </row>
    <row r="10" spans="3:13" ht="0.75" customHeight="1" hidden="1">
      <c r="C10" s="26" t="s">
        <v>54</v>
      </c>
      <c r="D10" s="31">
        <v>19283</v>
      </c>
      <c r="E10" s="28"/>
      <c r="F10" s="31">
        <f>+Bevétel!E51+Bevétel!E59+Bevétel!E60</f>
        <v>46745</v>
      </c>
      <c r="G10" s="28"/>
      <c r="H10" s="28"/>
      <c r="I10" s="28"/>
      <c r="J10" s="31">
        <f>+M10-D10-E10-F10-G10-H10-K10</f>
        <v>52974</v>
      </c>
      <c r="K10" s="31"/>
      <c r="L10" s="31">
        <f>SUM(D10:J10)</f>
        <v>119002</v>
      </c>
      <c r="M10" s="31">
        <f>+'Kiad.intézményenként'!N9</f>
        <v>119002</v>
      </c>
    </row>
    <row r="11" spans="3:13" ht="15" hidden="1">
      <c r="C11" s="26" t="s">
        <v>360</v>
      </c>
      <c r="D11" s="31">
        <f aca="true" t="shared" si="0" ref="D11:I11">+D10</f>
        <v>19283</v>
      </c>
      <c r="E11" s="31">
        <v>4065</v>
      </c>
      <c r="F11" s="31">
        <f>+F10-5671</f>
        <v>41074</v>
      </c>
      <c r="G11" s="31">
        <v>1349</v>
      </c>
      <c r="H11" s="31">
        <f t="shared" si="0"/>
        <v>0</v>
      </c>
      <c r="I11" s="31">
        <f t="shared" si="0"/>
        <v>0</v>
      </c>
      <c r="J11" s="31">
        <f>+M11-D11-E11-F11-G11-H11-K11</f>
        <v>69211</v>
      </c>
      <c r="K11" s="31"/>
      <c r="L11" s="31">
        <f>SUM(D11:J11)</f>
        <v>134982</v>
      </c>
      <c r="M11" s="31">
        <f>+'Kiad.intézményenként'!N10</f>
        <v>134982</v>
      </c>
    </row>
    <row r="12" spans="1:13" ht="45">
      <c r="A12" s="16" t="s">
        <v>22</v>
      </c>
      <c r="B12" s="26" t="str">
        <f>+'[1]2mell 1ápr'!A32</f>
        <v>Egészségügyi és Szociális Ellátó Szervezet</v>
      </c>
      <c r="C12" s="26" t="s">
        <v>364</v>
      </c>
      <c r="D12" s="31">
        <v>8903</v>
      </c>
      <c r="E12" s="31">
        <v>0</v>
      </c>
      <c r="F12" s="31">
        <v>32500</v>
      </c>
      <c r="G12" s="31">
        <v>0</v>
      </c>
      <c r="H12" s="31">
        <v>0</v>
      </c>
      <c r="I12" s="31"/>
      <c r="J12" s="31">
        <f>+M12-K12-H12-G12-F12-E12-D12</f>
        <v>84865</v>
      </c>
      <c r="K12" s="31"/>
      <c r="L12" s="31">
        <f>SUM(D12:J12)</f>
        <v>126268</v>
      </c>
      <c r="M12" s="31">
        <f>+'Kiad.intézményenként'!N11</f>
        <v>126268</v>
      </c>
    </row>
    <row r="13" spans="1:13" ht="27.75" customHeight="1">
      <c r="A13" s="16" t="s">
        <v>23</v>
      </c>
      <c r="C13" s="16" t="s">
        <v>462</v>
      </c>
      <c r="D13" s="28">
        <f>+D12+1638</f>
        <v>10541</v>
      </c>
      <c r="E13" s="28">
        <f>616+284</f>
        <v>900</v>
      </c>
      <c r="F13" s="28">
        <f>Bevétel!F51+Bevétel!F87+Bevétel!F88+Bevétel!F89+Bevétel!F90+Bevétel!F76+Bevétel!F77+Bevétel!F78</f>
        <v>47326</v>
      </c>
      <c r="G13" s="28">
        <f>+Bevétel!F66</f>
        <v>2356</v>
      </c>
      <c r="H13" s="28"/>
      <c r="I13" s="28"/>
      <c r="J13" s="31">
        <f>+M13-K13-H13-G13-F13-E13-D13</f>
        <v>91274</v>
      </c>
      <c r="K13" s="28"/>
      <c r="L13" s="31">
        <f>SUM(D13:J13)</f>
        <v>152397</v>
      </c>
      <c r="M13" s="31">
        <f>+'Kiad.intézményenként'!N12</f>
        <v>152397</v>
      </c>
    </row>
    <row r="14" spans="4:13" ht="13.5" customHeight="1">
      <c r="D14" s="31"/>
      <c r="E14" s="28"/>
      <c r="F14" s="28"/>
      <c r="G14" s="28"/>
      <c r="H14" s="28"/>
      <c r="I14" s="28"/>
      <c r="J14" s="31"/>
      <c r="K14" s="31"/>
      <c r="L14" s="31"/>
      <c r="M14" s="31"/>
    </row>
    <row r="15" spans="3:13" ht="28.5" customHeight="1" hidden="1">
      <c r="C15" s="26" t="s">
        <v>54</v>
      </c>
      <c r="D15" s="31">
        <v>1290</v>
      </c>
      <c r="E15" s="28"/>
      <c r="F15" s="28"/>
      <c r="G15" s="28"/>
      <c r="H15" s="28"/>
      <c r="I15" s="28"/>
      <c r="J15" s="31">
        <f>+M15-D15-E15-F15-G15-H15-K15</f>
        <v>17458</v>
      </c>
      <c r="K15" s="31"/>
      <c r="L15" s="31">
        <f>SUM(D15:J15)</f>
        <v>18748</v>
      </c>
      <c r="M15" s="31">
        <f>+'Kiad.intézményenként'!N14</f>
        <v>18748</v>
      </c>
    </row>
    <row r="16" spans="3:13" ht="30.75" customHeight="1" hidden="1">
      <c r="C16" s="26" t="s">
        <v>360</v>
      </c>
      <c r="D16" s="31">
        <f>+D15</f>
        <v>1290</v>
      </c>
      <c r="E16" s="31">
        <f>+E15</f>
        <v>0</v>
      </c>
      <c r="F16" s="31">
        <f>+F15+4878</f>
        <v>4878</v>
      </c>
      <c r="G16" s="31">
        <v>806</v>
      </c>
      <c r="H16" s="31">
        <f>+H15+3122</f>
        <v>3122</v>
      </c>
      <c r="I16" s="28"/>
      <c r="J16" s="31">
        <f>+M16-D16-E16-F16-G16-H16-K16</f>
        <v>20900</v>
      </c>
      <c r="K16" s="31"/>
      <c r="L16" s="31">
        <f>SUM(D16:J16)</f>
        <v>30996</v>
      </c>
      <c r="M16" s="31">
        <f>+'Kiad.intézményenként'!N15</f>
        <v>30996</v>
      </c>
    </row>
    <row r="17" spans="1:13" ht="28.5" customHeight="1">
      <c r="A17" s="16" t="s">
        <v>24</v>
      </c>
      <c r="B17" s="26" t="str">
        <f>+'[2]kiadás'!B24</f>
        <v>Városi Művelődési Központ és Könyvtár</v>
      </c>
      <c r="C17" s="26" t="s">
        <v>364</v>
      </c>
      <c r="D17" s="31">
        <v>2200</v>
      </c>
      <c r="E17" s="31"/>
      <c r="F17" s="31">
        <v>0</v>
      </c>
      <c r="G17" s="31"/>
      <c r="H17" s="31"/>
      <c r="I17" s="28"/>
      <c r="J17" s="31">
        <f>+M17-K17-H17-G17-F17-E17-D17</f>
        <v>19318</v>
      </c>
      <c r="K17" s="31"/>
      <c r="L17" s="31">
        <f>SUM(D17:J17)</f>
        <v>21518</v>
      </c>
      <c r="M17" s="31">
        <f>+'Kiad.intézményenként'!N16</f>
        <v>21518</v>
      </c>
    </row>
    <row r="18" spans="1:13" ht="21" customHeight="1">
      <c r="A18" s="16" t="s">
        <v>25</v>
      </c>
      <c r="C18" s="16" t="s">
        <v>462</v>
      </c>
      <c r="D18" s="30">
        <f>+D17+1435+268</f>
        <v>3903</v>
      </c>
      <c r="E18" s="30">
        <f>268+2</f>
        <v>270</v>
      </c>
      <c r="F18" s="30">
        <f>+Bevétel!F74+Bevétel!F79+Bevétel!F80+Bevétel!F81+Bevétel!F91+Bevétel!F92</f>
        <v>3257</v>
      </c>
      <c r="G18" s="30">
        <f>+Bevétel!F100-1000</f>
        <v>0</v>
      </c>
      <c r="H18" s="30">
        <f>+Bevétel!F101+Bevétel!F102+1000</f>
        <v>3262</v>
      </c>
      <c r="I18" s="30"/>
      <c r="J18" s="31">
        <f>+M18-K18-H18-G18-F18-E18-D18</f>
        <v>21723</v>
      </c>
      <c r="K18" s="30"/>
      <c r="L18" s="31">
        <f>SUM(D18:J18)</f>
        <v>32415</v>
      </c>
      <c r="M18" s="31">
        <f>+'Kiad.intézményenként'!N17</f>
        <v>32415</v>
      </c>
    </row>
    <row r="19" spans="4:13" ht="15" customHeight="1">
      <c r="D19" s="30"/>
      <c r="E19" s="30"/>
      <c r="F19" s="30"/>
      <c r="G19" s="30"/>
      <c r="H19" s="30"/>
      <c r="I19" s="30"/>
      <c r="J19" s="30"/>
      <c r="K19" s="28"/>
      <c r="L19" s="30"/>
      <c r="M19" s="30"/>
    </row>
    <row r="20" spans="3:13" ht="28.5" customHeight="1" hidden="1">
      <c r="C20" s="26" t="s">
        <v>54</v>
      </c>
      <c r="D20" s="30">
        <f>122+2014+2061+48-1</f>
        <v>4244</v>
      </c>
      <c r="E20" s="30"/>
      <c r="F20" s="30">
        <f>+Bevétel!E57+Bevétel!E58+Bevétel!E59+Bevétel!E60</f>
        <v>19345</v>
      </c>
      <c r="G20" s="30"/>
      <c r="H20" s="30"/>
      <c r="I20" s="30"/>
      <c r="J20" s="30"/>
      <c r="K20" s="28"/>
      <c r="L20" s="30">
        <f>SUM(D20:J20)</f>
        <v>23589</v>
      </c>
      <c r="M20" s="30" t="e">
        <f>+'Kiad.intézményenként'!N19</f>
        <v>#REF!</v>
      </c>
    </row>
    <row r="21" spans="3:13" ht="15" hidden="1">
      <c r="C21" s="26" t="s">
        <v>360</v>
      </c>
      <c r="D21" s="30">
        <f>+D20</f>
        <v>4244</v>
      </c>
      <c r="E21" s="30">
        <v>40813</v>
      </c>
      <c r="F21" s="30">
        <f>+F20-8000-5671+420+2000+384+93588+39-6500+66445+19+3248</f>
        <v>165317</v>
      </c>
      <c r="G21" s="30">
        <f>+G20</f>
        <v>0</v>
      </c>
      <c r="H21" s="30">
        <v>20200</v>
      </c>
      <c r="I21" s="30"/>
      <c r="J21" s="30"/>
      <c r="K21" s="28"/>
      <c r="L21" s="30">
        <f>SUM(D21:J21)</f>
        <v>230574</v>
      </c>
      <c r="M21" s="30">
        <f>+'Kiad.intézményenként'!N20</f>
        <v>378492</v>
      </c>
    </row>
    <row r="22" spans="1:13" ht="30">
      <c r="A22" s="16" t="s">
        <v>26</v>
      </c>
      <c r="B22" s="26" t="s">
        <v>41</v>
      </c>
      <c r="C22" s="26" t="s">
        <v>364</v>
      </c>
      <c r="D22" s="30">
        <v>500</v>
      </c>
      <c r="E22" s="30"/>
      <c r="F22" s="30">
        <f>+Bevétel!E52+Bevétel!E57+Bevétel!E58+Bevétel!E59+Bevétel!E60+Bevétel!E61</f>
        <v>117844</v>
      </c>
      <c r="G22" s="30"/>
      <c r="H22" s="30"/>
      <c r="I22" s="30"/>
      <c r="J22" s="30"/>
      <c r="K22" s="28">
        <f>+Bevétel!E6-Bevétel!E7+Bevétel!E17+Bevétel!E21+Bevétel!E105-600</f>
        <v>447916</v>
      </c>
      <c r="L22" s="30">
        <f>SUM(D22:K22)</f>
        <v>566260</v>
      </c>
      <c r="M22" s="30">
        <f>+'Kiad.intézményenként'!N21</f>
        <v>89097</v>
      </c>
    </row>
    <row r="23" spans="1:15" ht="24" customHeight="1">
      <c r="A23" s="16" t="s">
        <v>27</v>
      </c>
      <c r="C23" s="16" t="s">
        <v>462</v>
      </c>
      <c r="D23" s="30">
        <f>+D22+8731+17723</f>
        <v>26954</v>
      </c>
      <c r="E23" s="30">
        <f>75457+943</f>
        <v>76400</v>
      </c>
      <c r="F23" s="30">
        <f>+Bevétel!F52+Bevétel!F57+Bevétel!F58+Bevétel!F59+Bevétel!F60+Bevétel!F61+Bevétel!F62+Bevétel!F72+Bevétel!F75+Bevétel!F82+Bevétel!F83+Bevétel!F94+Bevétel!F95</f>
        <v>311891</v>
      </c>
      <c r="G23" s="30"/>
      <c r="H23" s="30">
        <f>+Bevétel!F98+Bevétel!F99+Bevétel!F103</f>
        <v>33923</v>
      </c>
      <c r="I23" s="30"/>
      <c r="J23" s="30"/>
      <c r="K23" s="28">
        <f>+Bevétel!F6-Bevétel!F7+Bevétel!F17+Bevétel!F21+Bevétel!F105-236-45-28+Bevétel!F109+Bevétel!F111</f>
        <v>982722</v>
      </c>
      <c r="L23" s="30">
        <f>SUM(D23:K23)</f>
        <v>1431890</v>
      </c>
      <c r="M23" s="30">
        <f>+'Kiad.intézményenként'!N22</f>
        <v>880311</v>
      </c>
      <c r="N23" s="28">
        <f>L23-M23</f>
        <v>551579</v>
      </c>
      <c r="O23" s="28">
        <f>N23-134000-10566-551579</f>
        <v>-144566</v>
      </c>
    </row>
    <row r="24" spans="3:13" ht="15">
      <c r="C24" s="26"/>
      <c r="D24" s="30"/>
      <c r="E24" s="30"/>
      <c r="F24" s="30"/>
      <c r="G24" s="30"/>
      <c r="H24" s="30"/>
      <c r="I24" s="30"/>
      <c r="J24" s="30"/>
      <c r="K24" s="28"/>
      <c r="L24" s="30"/>
      <c r="M24" s="30"/>
    </row>
    <row r="25" spans="3:13" ht="31.5" customHeight="1" hidden="1">
      <c r="C25" s="26" t="s">
        <v>54</v>
      </c>
      <c r="D25" s="31">
        <f>216+1375-1</f>
        <v>1590</v>
      </c>
      <c r="E25" s="28"/>
      <c r="F25" s="28">
        <f>+Bevétel!D52</f>
        <v>146826</v>
      </c>
      <c r="G25" s="28"/>
      <c r="H25" s="28"/>
      <c r="I25" s="28"/>
      <c r="J25" s="31">
        <f>+M25-D25-E25-F25-G25-H25-K25</f>
        <v>175377</v>
      </c>
      <c r="K25" s="30"/>
      <c r="L25" s="31">
        <f>SUM(D25:J25)</f>
        <v>323793</v>
      </c>
      <c r="M25" s="31">
        <f>+'Kiad.intézményenként'!N27</f>
        <v>323793</v>
      </c>
    </row>
    <row r="26" spans="3:13" ht="31.5" customHeight="1" hidden="1">
      <c r="C26" s="26" t="s">
        <v>360</v>
      </c>
      <c r="D26" s="31">
        <f>+D25</f>
        <v>1590</v>
      </c>
      <c r="E26" s="31">
        <v>6610</v>
      </c>
      <c r="F26" s="31">
        <f>+F25-84005+9981-26912-16962+11548</f>
        <v>40476</v>
      </c>
      <c r="G26" s="31">
        <v>225</v>
      </c>
      <c r="H26" s="31">
        <f>+H25</f>
        <v>0</v>
      </c>
      <c r="I26" s="28"/>
      <c r="J26" s="31">
        <f>+M26-K26-H26-G26-F26-E26-D26</f>
        <v>311996</v>
      </c>
      <c r="K26" s="30"/>
      <c r="L26" s="31">
        <f>SUM(D26:J26)</f>
        <v>360897</v>
      </c>
      <c r="M26" s="31">
        <f>+'Kiad.intézményenként'!N28</f>
        <v>360897</v>
      </c>
    </row>
    <row r="27" spans="1:13" ht="32.25" customHeight="1">
      <c r="A27" s="16" t="s">
        <v>28</v>
      </c>
      <c r="B27" s="26" t="s">
        <v>327</v>
      </c>
      <c r="C27" s="26" t="s">
        <v>364</v>
      </c>
      <c r="D27" s="28">
        <f>2100</f>
        <v>2100</v>
      </c>
      <c r="E27" s="28"/>
      <c r="F27" s="28">
        <v>0</v>
      </c>
      <c r="G27" s="28"/>
      <c r="H27" s="28"/>
      <c r="I27" s="28"/>
      <c r="J27" s="31">
        <f>+M27-K27-H27-G27-F27-E27-D27</f>
        <v>278832</v>
      </c>
      <c r="K27" s="28"/>
      <c r="L27" s="31">
        <f>SUM(D27:K27)</f>
        <v>280932</v>
      </c>
      <c r="M27" s="28">
        <f>+'Kiad.intézményenként'!N30</f>
        <v>280932</v>
      </c>
    </row>
    <row r="28" spans="1:13" ht="24.75" customHeight="1">
      <c r="A28" s="16" t="s">
        <v>29</v>
      </c>
      <c r="C28" s="16" t="s">
        <v>462</v>
      </c>
      <c r="D28" s="28">
        <f>+D27+2500+2782-600</f>
        <v>6782</v>
      </c>
      <c r="E28" s="28">
        <f>261+713</f>
        <v>974</v>
      </c>
      <c r="F28" s="28">
        <f>+Bevétel!F63+Bevétel!F73+Bevétel!F84+Bevétel!F93</f>
        <v>4466</v>
      </c>
      <c r="G28" s="28">
        <f>+Bevétel!F65</f>
        <v>5343</v>
      </c>
      <c r="H28" s="28"/>
      <c r="I28" s="28"/>
      <c r="J28" s="31">
        <f>+M28-K28-H28-G28-F28-E28-D28</f>
        <v>301625</v>
      </c>
      <c r="K28" s="28">
        <f>-572+236+45+600</f>
        <v>309</v>
      </c>
      <c r="L28" s="31">
        <f>SUM(D28:K28)</f>
        <v>319499</v>
      </c>
      <c r="M28" s="28">
        <f>+'Kiad.intézményenként'!N31</f>
        <v>319499</v>
      </c>
    </row>
    <row r="29" spans="1:13" ht="15" customHeight="1" thickBot="1">
      <c r="A29" s="533"/>
      <c r="B29" s="533"/>
      <c r="C29" s="534"/>
      <c r="D29" s="535"/>
      <c r="E29" s="535"/>
      <c r="F29" s="535"/>
      <c r="G29" s="535"/>
      <c r="H29" s="535"/>
      <c r="I29" s="535"/>
      <c r="J29" s="535"/>
      <c r="K29" s="535"/>
      <c r="L29" s="307"/>
      <c r="M29" s="535"/>
    </row>
    <row r="30" spans="3:13" ht="32.25" customHeight="1" hidden="1">
      <c r="C30" s="26" t="s">
        <v>54</v>
      </c>
      <c r="D30" s="30">
        <f aca="true" t="shared" si="1" ref="D30:M30">+D25+D20+D15+D10+D5</f>
        <v>114297</v>
      </c>
      <c r="E30" s="30">
        <f t="shared" si="1"/>
        <v>0</v>
      </c>
      <c r="F30" s="30">
        <f t="shared" si="1"/>
        <v>212916</v>
      </c>
      <c r="G30" s="30">
        <f t="shared" si="1"/>
        <v>0</v>
      </c>
      <c r="H30" s="30">
        <f t="shared" si="1"/>
        <v>0</v>
      </c>
      <c r="I30" s="30">
        <f t="shared" si="1"/>
        <v>0</v>
      </c>
      <c r="J30" s="30">
        <f t="shared" si="1"/>
        <v>340029</v>
      </c>
      <c r="K30" s="30">
        <f t="shared" si="1"/>
        <v>0</v>
      </c>
      <c r="L30" s="30">
        <f t="shared" si="1"/>
        <v>667242</v>
      </c>
      <c r="M30" s="30" t="e">
        <f t="shared" si="1"/>
        <v>#REF!</v>
      </c>
    </row>
    <row r="31" spans="3:13" ht="15" hidden="1">
      <c r="C31" s="26" t="s">
        <v>360</v>
      </c>
      <c r="D31" s="30">
        <f aca="true" t="shared" si="2" ref="D31:M31">+D26+D21+D16+D11+D6</f>
        <v>114297</v>
      </c>
      <c r="E31" s="30">
        <f t="shared" si="2"/>
        <v>52602</v>
      </c>
      <c r="F31" s="30">
        <f t="shared" si="2"/>
        <v>251745</v>
      </c>
      <c r="G31" s="30">
        <f t="shared" si="2"/>
        <v>3726</v>
      </c>
      <c r="H31" s="30">
        <f t="shared" si="2"/>
        <v>23322</v>
      </c>
      <c r="I31" s="30">
        <f t="shared" si="2"/>
        <v>0</v>
      </c>
      <c r="J31" s="30">
        <f t="shared" si="2"/>
        <v>540096</v>
      </c>
      <c r="K31" s="30">
        <f t="shared" si="2"/>
        <v>0</v>
      </c>
      <c r="L31" s="30">
        <f t="shared" si="2"/>
        <v>985788</v>
      </c>
      <c r="M31" s="30">
        <f t="shared" si="2"/>
        <v>1133706</v>
      </c>
    </row>
    <row r="32" spans="1:13" ht="33.75" customHeight="1">
      <c r="A32" s="16" t="s">
        <v>30</v>
      </c>
      <c r="B32" s="32" t="s">
        <v>53</v>
      </c>
      <c r="C32" s="26" t="s">
        <v>364</v>
      </c>
      <c r="D32" s="30">
        <f>+D27+D22+D17+D12+D7</f>
        <v>99471</v>
      </c>
      <c r="E32" s="30">
        <f aca="true" t="shared" si="3" ref="E32:J33">+E27+E22+E17+E12+E7</f>
        <v>0</v>
      </c>
      <c r="F32" s="30">
        <f t="shared" si="3"/>
        <v>150344</v>
      </c>
      <c r="G32" s="30">
        <f t="shared" si="3"/>
        <v>0</v>
      </c>
      <c r="H32" s="30">
        <f t="shared" si="3"/>
        <v>0</v>
      </c>
      <c r="I32" s="30">
        <f t="shared" si="3"/>
        <v>0</v>
      </c>
      <c r="J32" s="30">
        <f t="shared" si="3"/>
        <v>477163</v>
      </c>
      <c r="K32" s="30">
        <f>+K27+K22+K17+K12+K7</f>
        <v>447916</v>
      </c>
      <c r="L32" s="30">
        <f>+K32+H32+G32+F32+E32+D32</f>
        <v>697731</v>
      </c>
      <c r="M32" s="30">
        <f>+M27+M22+M17+M12+M7</f>
        <v>697731</v>
      </c>
    </row>
    <row r="33" spans="1:15" ht="18" customHeight="1">
      <c r="A33" s="16" t="s">
        <v>31</v>
      </c>
      <c r="B33" s="29"/>
      <c r="C33" s="16" t="s">
        <v>462</v>
      </c>
      <c r="D33" s="30">
        <f>+D28+D23+D18+D13+D8</f>
        <v>147832</v>
      </c>
      <c r="E33" s="30">
        <f t="shared" si="3"/>
        <v>79909</v>
      </c>
      <c r="F33" s="30">
        <f>+F28+F23+F18+F13+F8</f>
        <v>367958</v>
      </c>
      <c r="G33" s="30">
        <f>+G28+G23+G18+G13+G8</f>
        <v>35189</v>
      </c>
      <c r="H33" s="30">
        <f t="shared" si="3"/>
        <v>37185</v>
      </c>
      <c r="I33" s="30">
        <f t="shared" si="3"/>
        <v>0</v>
      </c>
      <c r="J33" s="30">
        <f>+J28+J23+J18+J13+J8</f>
        <v>551579</v>
      </c>
      <c r="K33" s="30">
        <f>+K28+K23+K18+K13+K8</f>
        <v>983031</v>
      </c>
      <c r="L33" s="30">
        <f>+L28+L23+L18+L13+L8-J33</f>
        <v>1651104</v>
      </c>
      <c r="M33" s="30">
        <f>+M28+M23+M18+M13+M8</f>
        <v>1651104</v>
      </c>
      <c r="O33" s="28">
        <f>D33+E33+F33+G33+H33+K33</f>
        <v>1651104</v>
      </c>
    </row>
    <row r="34" spans="2:13" ht="15" hidden="1">
      <c r="B34" s="29"/>
      <c r="D34" s="29"/>
      <c r="E34" s="29"/>
      <c r="F34" s="29"/>
      <c r="G34" s="29"/>
      <c r="H34" s="29"/>
      <c r="I34" s="29"/>
      <c r="J34" s="29"/>
      <c r="K34" s="29"/>
      <c r="L34" s="29"/>
      <c r="M34" s="30" t="e">
        <f>+Kiadás!#REF!</f>
        <v>#REF!</v>
      </c>
    </row>
    <row r="35" spans="6:11" ht="15" customHeight="1" hidden="1">
      <c r="F35" s="28">
        <f>SUM(F33:H33)</f>
        <v>440332</v>
      </c>
      <c r="K35" s="28"/>
    </row>
    <row r="36" spans="6:8" ht="15" customHeight="1" hidden="1">
      <c r="F36" s="28">
        <f>+Bevétel!F50-Bevétel!F64</f>
        <v>367958</v>
      </c>
      <c r="G36" s="28">
        <f>+Bevétel!F64+Bevétel!F100</f>
        <v>36189</v>
      </c>
      <c r="H36" s="28">
        <f>+Bevétel!F97-Bevétel!F100</f>
        <v>36185</v>
      </c>
    </row>
    <row r="37" ht="15" customHeight="1" hidden="1">
      <c r="H37" s="28">
        <f>SUM(F36:H36)</f>
        <v>440332</v>
      </c>
    </row>
    <row r="38" ht="15" customHeight="1" hidden="1">
      <c r="F38" s="28"/>
    </row>
    <row r="39" spans="7:13" ht="15" customHeight="1">
      <c r="G39" s="28"/>
      <c r="H39" s="28"/>
      <c r="K39" s="28">
        <f>SUM(D33:K33)-J33+134000+10566</f>
        <v>1795670</v>
      </c>
      <c r="L39" s="28">
        <f>SUM(D33:K33)</f>
        <v>2202683</v>
      </c>
      <c r="M39" s="16">
        <v>70000</v>
      </c>
    </row>
    <row r="40" spans="6:16" ht="15" customHeight="1">
      <c r="F40" s="28"/>
      <c r="L40" s="28">
        <f>L39-J33+10566+134000</f>
        <v>1795670</v>
      </c>
      <c r="M40" s="16">
        <v>162405</v>
      </c>
      <c r="P40" s="28"/>
    </row>
    <row r="41" spans="6:14" ht="15" customHeight="1">
      <c r="F41" s="28"/>
      <c r="L41" s="28"/>
      <c r="M41" s="28">
        <v>134000</v>
      </c>
      <c r="N41" s="28"/>
    </row>
    <row r="42" spans="10:16" ht="15" customHeight="1">
      <c r="J42" s="28">
        <f>SUM(D32:K32)-J32</f>
        <v>697731</v>
      </c>
      <c r="M42" s="28">
        <f>M33+M39+M40+M41</f>
        <v>2017509</v>
      </c>
      <c r="P42" s="28"/>
    </row>
    <row r="43" ht="15" customHeight="1">
      <c r="F43" s="28"/>
    </row>
    <row r="45" ht="15" customHeight="1">
      <c r="J45" s="28"/>
    </row>
    <row r="46" ht="15" customHeight="1">
      <c r="J46" s="28"/>
    </row>
  </sheetData>
  <sheetProtection/>
  <mergeCells count="1"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&amp;L3. melléklet a 2015. évi   2/2015.(II.25.) Önkormányzati költségvetési rendelethez&amp;R2015.02.25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workbookViewId="0" topLeftCell="A1">
      <selection activeCell="B2" sqref="B2"/>
    </sheetView>
  </sheetViews>
  <sheetFormatPr defaultColWidth="9.140625" defaultRowHeight="15" customHeight="1"/>
  <cols>
    <col min="1" max="1" width="4.57421875" style="7" bestFit="1" customWidth="1"/>
    <col min="2" max="2" width="25.57421875" style="1" customWidth="1"/>
    <col min="3" max="3" width="15.140625" style="36" bestFit="1" customWidth="1"/>
    <col min="4" max="4" width="11.421875" style="1" customWidth="1"/>
    <col min="5" max="5" width="10.140625" style="1" customWidth="1"/>
    <col min="6" max="6" width="10.28125" style="1" bestFit="1" customWidth="1"/>
    <col min="7" max="7" width="12.8515625" style="1" customWidth="1"/>
    <col min="8" max="8" width="11.140625" style="1" bestFit="1" customWidth="1"/>
    <col min="9" max="9" width="13.00390625" style="1" customWidth="1"/>
    <col min="10" max="10" width="12.8515625" style="1" customWidth="1"/>
    <col min="11" max="11" width="9.00390625" style="1" customWidth="1"/>
    <col min="12" max="12" width="11.140625" style="1" bestFit="1" customWidth="1"/>
    <col min="13" max="13" width="11.140625" style="1" customWidth="1"/>
    <col min="14" max="14" width="11.8515625" style="1" customWidth="1"/>
    <col min="15" max="15" width="4.00390625" style="1" bestFit="1" customWidth="1"/>
    <col min="16" max="16" width="10.140625" style="1" bestFit="1" customWidth="1"/>
    <col min="17" max="17" width="9.28125" style="1" bestFit="1" customWidth="1"/>
    <col min="18" max="18" width="16.140625" style="1" customWidth="1"/>
    <col min="19" max="24" width="9.140625" style="1" customWidth="1"/>
    <col min="25" max="25" width="13.28125" style="1" bestFit="1" customWidth="1"/>
    <col min="26" max="16384" width="9.140625" style="1" customWidth="1"/>
  </cols>
  <sheetData>
    <row r="1" spans="2:15" ht="15" customHeight="1">
      <c r="B1" s="2" t="s">
        <v>0</v>
      </c>
      <c r="C1" s="390" t="s">
        <v>55</v>
      </c>
      <c r="D1" s="8" t="s">
        <v>56</v>
      </c>
      <c r="E1" s="3" t="s">
        <v>57</v>
      </c>
      <c r="F1" s="33" t="s">
        <v>58</v>
      </c>
      <c r="G1" s="4" t="s">
        <v>59</v>
      </c>
      <c r="H1" s="705" t="s">
        <v>60</v>
      </c>
      <c r="I1" s="705"/>
      <c r="J1" s="705"/>
      <c r="K1" s="705"/>
      <c r="L1" s="3" t="s">
        <v>39</v>
      </c>
      <c r="M1" s="3"/>
      <c r="N1" s="3" t="s">
        <v>61</v>
      </c>
      <c r="O1" s="3"/>
    </row>
    <row r="2" spans="2:15" ht="15" customHeight="1">
      <c r="B2" s="643" t="s">
        <v>656</v>
      </c>
      <c r="C2" s="288"/>
      <c r="D2" s="6"/>
      <c r="E2" s="6"/>
      <c r="F2" s="6"/>
      <c r="G2" s="6"/>
      <c r="H2" s="6" t="s">
        <v>7</v>
      </c>
      <c r="I2" s="6" t="s">
        <v>62</v>
      </c>
      <c r="J2" s="6" t="s">
        <v>8</v>
      </c>
      <c r="K2" s="6" t="s">
        <v>9</v>
      </c>
      <c r="L2" s="6"/>
      <c r="M2" s="6"/>
      <c r="N2" s="6"/>
      <c r="O2" s="6"/>
    </row>
    <row r="3" spans="1:15" s="7" customFormat="1" ht="20.25" customHeight="1">
      <c r="A3" s="7" t="s">
        <v>351</v>
      </c>
      <c r="B3" s="2" t="s">
        <v>12</v>
      </c>
      <c r="C3" s="390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63</v>
      </c>
      <c r="J3" s="3" t="s">
        <v>19</v>
      </c>
      <c r="K3" s="3" t="s">
        <v>349</v>
      </c>
      <c r="L3" s="3" t="s">
        <v>350</v>
      </c>
      <c r="M3" s="3"/>
      <c r="N3" s="3" t="s">
        <v>352</v>
      </c>
      <c r="O3" s="3"/>
    </row>
    <row r="4" spans="3:15" ht="31.5" customHeight="1" hidden="1">
      <c r="C4" s="282" t="s">
        <v>54</v>
      </c>
      <c r="D4" s="84">
        <v>41905</v>
      </c>
      <c r="E4" s="84">
        <v>11238</v>
      </c>
      <c r="F4" s="84">
        <f>130967-4000+2000</f>
        <v>128967</v>
      </c>
      <c r="G4" s="84">
        <f>SUM(D4:F4)</f>
        <v>182110</v>
      </c>
      <c r="H4" s="84"/>
      <c r="I4" s="84"/>
      <c r="J4" s="84"/>
      <c r="K4" s="84"/>
      <c r="L4" s="84"/>
      <c r="M4" s="84"/>
      <c r="N4" s="84">
        <f>SUM(G4:L4)</f>
        <v>182110</v>
      </c>
      <c r="O4" s="10"/>
    </row>
    <row r="5" spans="3:15" ht="30.75" hidden="1">
      <c r="C5" s="285" t="s">
        <v>361</v>
      </c>
      <c r="D5" s="84">
        <f>+D4+713+364+235+449</f>
        <v>43666</v>
      </c>
      <c r="E5" s="84">
        <f>+E4+192+462+63+122</f>
        <v>12077</v>
      </c>
      <c r="F5" s="84">
        <f>+F4+43132</f>
        <v>172099</v>
      </c>
      <c r="G5" s="84">
        <f>SUM(D5:F5)</f>
        <v>227842</v>
      </c>
      <c r="H5" s="84"/>
      <c r="I5" s="84"/>
      <c r="J5" s="84"/>
      <c r="K5" s="84"/>
      <c r="L5" s="84">
        <v>497</v>
      </c>
      <c r="M5" s="84"/>
      <c r="N5" s="84">
        <f>SUM(G5:L5)</f>
        <v>228339</v>
      </c>
      <c r="O5" s="10"/>
    </row>
    <row r="6" spans="1:18" s="10" customFormat="1" ht="31.5">
      <c r="A6" s="7" t="s">
        <v>20</v>
      </c>
      <c r="B6" s="9" t="str">
        <f>+'[1]2mell 1ápr'!A28</f>
        <v>Városellátó  Szervezet</v>
      </c>
      <c r="C6" s="10" t="s">
        <v>364</v>
      </c>
      <c r="D6" s="14">
        <v>42097</v>
      </c>
      <c r="E6" s="14">
        <v>11376</v>
      </c>
      <c r="F6" s="14">
        <v>126443</v>
      </c>
      <c r="G6" s="14">
        <f>SUM(D6:F6)</f>
        <v>179916</v>
      </c>
      <c r="H6" s="14"/>
      <c r="I6" s="14"/>
      <c r="J6" s="14"/>
      <c r="K6" s="14"/>
      <c r="L6" s="14">
        <v>0</v>
      </c>
      <c r="M6" s="14"/>
      <c r="N6" s="14">
        <f>SUM(G6:L6)</f>
        <v>179916</v>
      </c>
      <c r="R6" s="10">
        <f>Q8+Q16+Q18+Q21+Q29+Q32+Q42+Q46+Q52+Q54</f>
        <v>0</v>
      </c>
    </row>
    <row r="7" spans="1:14" s="10" customFormat="1" ht="31.5">
      <c r="A7" s="38" t="s">
        <v>21</v>
      </c>
      <c r="B7" s="289"/>
      <c r="C7" s="289" t="s">
        <v>461</v>
      </c>
      <c r="D7" s="14">
        <f>+D6+229+370+867+247+400+600+160+365+10+793</f>
        <v>46138</v>
      </c>
      <c r="E7" s="14">
        <f>+E6+62+100+234+66+108+53+43+1002</f>
        <v>13044</v>
      </c>
      <c r="F7" s="14">
        <f>163522+110+7175-1333+25732+11789-1547</f>
        <v>205448</v>
      </c>
      <c r="G7" s="14">
        <f>SUM(D7:F7)</f>
        <v>264630</v>
      </c>
      <c r="H7" s="14"/>
      <c r="I7" s="14"/>
      <c r="J7" s="14"/>
      <c r="K7" s="14"/>
      <c r="L7" s="14">
        <f>+'Felhalm.kiad.'!D16</f>
        <v>1852</v>
      </c>
      <c r="M7" s="14"/>
      <c r="N7" s="14">
        <f>SUM(G7:L7)</f>
        <v>266482</v>
      </c>
    </row>
    <row r="8" spans="3:15" ht="15.75">
      <c r="C8" s="8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10"/>
    </row>
    <row r="9" spans="1:16" ht="33" customHeight="1" hidden="1">
      <c r="A9" s="1"/>
      <c r="C9" s="282" t="s">
        <v>54</v>
      </c>
      <c r="D9" s="455">
        <v>62208</v>
      </c>
      <c r="E9" s="455">
        <v>14440</v>
      </c>
      <c r="F9" s="455">
        <f>42090+274+3846+144-4000</f>
        <v>42354</v>
      </c>
      <c r="G9" s="455">
        <f>SUM(D9:F9)</f>
        <v>119002</v>
      </c>
      <c r="H9" s="455"/>
      <c r="I9" s="455"/>
      <c r="J9" s="455"/>
      <c r="K9" s="455"/>
      <c r="L9" s="455"/>
      <c r="M9" s="455"/>
      <c r="N9" s="455">
        <f>SUM(G9:L9)</f>
        <v>119002</v>
      </c>
      <c r="O9" s="10"/>
      <c r="P9" s="1">
        <v>127355</v>
      </c>
    </row>
    <row r="10" spans="3:15" ht="30.75" hidden="1">
      <c r="C10" s="285" t="s">
        <v>361</v>
      </c>
      <c r="D10" s="455">
        <f>+D9+1303+360+462+669</f>
        <v>65002</v>
      </c>
      <c r="E10" s="455">
        <f>+E9+352+97+125+180</f>
        <v>15194</v>
      </c>
      <c r="F10" s="455">
        <f>+F9+8867+1674+1891</f>
        <v>54786</v>
      </c>
      <c r="G10" s="455">
        <f>SUM(D10:F10)</f>
        <v>134982</v>
      </c>
      <c r="H10" s="455"/>
      <c r="I10" s="455"/>
      <c r="J10" s="455"/>
      <c r="K10" s="455"/>
      <c r="L10" s="455"/>
      <c r="M10" s="455"/>
      <c r="N10" s="455">
        <f>SUM(G10:L10)</f>
        <v>134982</v>
      </c>
      <c r="O10" s="10"/>
    </row>
    <row r="11" spans="1:14" s="10" customFormat="1" ht="47.25">
      <c r="A11" s="7" t="s">
        <v>22</v>
      </c>
      <c r="B11" s="9" t="str">
        <f>+'[1]2mell 1ápr'!A32</f>
        <v>Egészségügyi és Szociális Ellátó Szervezet</v>
      </c>
      <c r="C11" s="10" t="s">
        <v>364</v>
      </c>
      <c r="D11" s="14">
        <v>66502</v>
      </c>
      <c r="E11" s="14">
        <v>17794</v>
      </c>
      <c r="F11" s="14">
        <v>41972</v>
      </c>
      <c r="G11" s="14">
        <f>SUM(D11:F11)</f>
        <v>126268</v>
      </c>
      <c r="H11" s="14"/>
      <c r="I11" s="14"/>
      <c r="J11" s="14"/>
      <c r="K11" s="14"/>
      <c r="L11" s="14"/>
      <c r="M11" s="14"/>
      <c r="N11" s="14">
        <f>SUM(G11:L11)</f>
        <v>126268</v>
      </c>
    </row>
    <row r="12" spans="1:14" s="10" customFormat="1" ht="31.5">
      <c r="A12" s="38" t="s">
        <v>23</v>
      </c>
      <c r="B12" s="289"/>
      <c r="C12" s="289" t="s">
        <v>461</v>
      </c>
      <c r="D12" s="14">
        <f>+D11+336+333+503+469+1165+623+283+541+508+1074+4+228+284+232+21+7590</f>
        <v>80696</v>
      </c>
      <c r="E12" s="14">
        <f>+E11+90+90+136+126+314+168+76+146+137+110+1+62+6+2049</f>
        <v>21305</v>
      </c>
      <c r="F12" s="14">
        <f>45726+1000+800+54+1890+3562-5286</f>
        <v>47746</v>
      </c>
      <c r="G12" s="14">
        <f>SUM(D12:F12)</f>
        <v>149747</v>
      </c>
      <c r="H12" s="14"/>
      <c r="I12" s="14"/>
      <c r="J12" s="14"/>
      <c r="K12" s="14"/>
      <c r="L12" s="14">
        <f>+'Felhalm.kiad.'!D14</f>
        <v>2650</v>
      </c>
      <c r="M12" s="14"/>
      <c r="N12" s="14">
        <f>SUM(G12:L12)</f>
        <v>152397</v>
      </c>
    </row>
    <row r="13" spans="3:15" ht="15.75">
      <c r="C13" s="84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14"/>
      <c r="O13" s="10"/>
    </row>
    <row r="14" spans="1:15" ht="31.5" customHeight="1" hidden="1">
      <c r="A14" s="1"/>
      <c r="C14" s="282" t="s">
        <v>54</v>
      </c>
      <c r="D14" s="455">
        <v>9313</v>
      </c>
      <c r="E14" s="455">
        <v>2514</v>
      </c>
      <c r="F14" s="455">
        <f>8521-2000+400</f>
        <v>6921</v>
      </c>
      <c r="G14" s="455">
        <f>SUM(D14:F14)</f>
        <v>18748</v>
      </c>
      <c r="H14" s="455"/>
      <c r="I14" s="455"/>
      <c r="J14" s="455"/>
      <c r="K14" s="455"/>
      <c r="L14" s="455"/>
      <c r="M14" s="455"/>
      <c r="N14" s="455">
        <f>SUM(G14:L14)</f>
        <v>18748</v>
      </c>
      <c r="O14" s="10"/>
    </row>
    <row r="15" spans="3:15" ht="30.75" hidden="1">
      <c r="C15" s="285" t="s">
        <v>361</v>
      </c>
      <c r="D15" s="455">
        <f>+D14+95+32+756+72</f>
        <v>10268</v>
      </c>
      <c r="E15" s="455">
        <f>+E14+25+8+204+21</f>
        <v>2772</v>
      </c>
      <c r="F15" s="455">
        <f>+F14+2408+408-408+179+3918+1000</f>
        <v>14426</v>
      </c>
      <c r="G15" s="455">
        <f>SUM(D15:F15)</f>
        <v>27466</v>
      </c>
      <c r="H15" s="455"/>
      <c r="I15" s="455"/>
      <c r="J15" s="455"/>
      <c r="K15" s="455"/>
      <c r="L15" s="455">
        <f>408+3122</f>
        <v>3530</v>
      </c>
      <c r="M15" s="455"/>
      <c r="N15" s="455">
        <f>SUM(G15:L15)</f>
        <v>30996</v>
      </c>
      <c r="O15" s="10"/>
    </row>
    <row r="16" spans="1:14" s="10" customFormat="1" ht="31.5">
      <c r="A16" s="7" t="s">
        <v>24</v>
      </c>
      <c r="B16" s="9" t="s">
        <v>64</v>
      </c>
      <c r="C16" s="10" t="s">
        <v>364</v>
      </c>
      <c r="D16" s="14">
        <v>9409</v>
      </c>
      <c r="E16" s="14">
        <v>2539</v>
      </c>
      <c r="F16" s="14">
        <f>8870+700</f>
        <v>9570</v>
      </c>
      <c r="G16" s="14">
        <f>SUM(D16:F16)</f>
        <v>21518</v>
      </c>
      <c r="H16" s="14"/>
      <c r="I16" s="14"/>
      <c r="J16" s="14"/>
      <c r="K16" s="14"/>
      <c r="L16" s="14">
        <v>0</v>
      </c>
      <c r="M16" s="14"/>
      <c r="N16" s="14">
        <f>SUM(G16:L16)</f>
        <v>21518</v>
      </c>
    </row>
    <row r="17" spans="1:14" s="10" customFormat="1" ht="31.5">
      <c r="A17" s="38" t="s">
        <v>25</v>
      </c>
      <c r="B17" s="289"/>
      <c r="C17" s="289" t="s">
        <v>461</v>
      </c>
      <c r="D17" s="14">
        <f>+D16+31+46+269+325+31+51+21+2+211+377</f>
        <v>10773</v>
      </c>
      <c r="E17" s="14">
        <f>+E16+9+13+36+88+8+14+5+57+125</f>
        <v>2894</v>
      </c>
      <c r="F17" s="14">
        <f>10862+281+338+800+280+400+80+6-800+282+1530+1282+463-377-125-1243-163</f>
        <v>13896</v>
      </c>
      <c r="G17" s="14">
        <f>SUM(D17:F17)</f>
        <v>27563</v>
      </c>
      <c r="H17" s="14">
        <f>+Átadott!D38</f>
        <v>1016</v>
      </c>
      <c r="I17" s="14"/>
      <c r="J17" s="14"/>
      <c r="K17" s="14"/>
      <c r="L17" s="14">
        <f>+'Felhalm.kiad.'!D13+'Felhalm.kiad.'!D15+'Felhalm.kiad.'!D18+'Felhalm.kiad.'!D19</f>
        <v>3836</v>
      </c>
      <c r="M17" s="14"/>
      <c r="N17" s="14">
        <f>SUM(G17:L17)</f>
        <v>32415</v>
      </c>
    </row>
    <row r="18" spans="3:15" ht="15.75">
      <c r="C18" s="283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12"/>
    </row>
    <row r="19" spans="1:15" ht="29.25" customHeight="1" hidden="1">
      <c r="A19" s="1"/>
      <c r="C19" s="285" t="s">
        <v>54</v>
      </c>
      <c r="D19" s="284">
        <v>15988</v>
      </c>
      <c r="E19" s="284">
        <v>2561</v>
      </c>
      <c r="F19" s="284">
        <f>54260-2000</f>
        <v>52260</v>
      </c>
      <c r="G19" s="284">
        <f>SUM(D19:F19)</f>
        <v>70809</v>
      </c>
      <c r="H19" s="284" t="e">
        <f>+Átadott!#REF!</f>
        <v>#REF!</v>
      </c>
      <c r="I19" s="284">
        <v>5828</v>
      </c>
      <c r="J19" s="284"/>
      <c r="K19" s="284"/>
      <c r="L19" s="284">
        <v>0</v>
      </c>
      <c r="M19" s="284"/>
      <c r="N19" s="284" t="e">
        <f>SUM(G19:L19)</f>
        <v>#REF!</v>
      </c>
      <c r="O19" s="12"/>
    </row>
    <row r="20" spans="1:15" ht="0.75" customHeight="1">
      <c r="A20" s="7">
        <v>7</v>
      </c>
      <c r="C20" s="285" t="s">
        <v>361</v>
      </c>
      <c r="D20" s="284">
        <f>+D19+21+302+62985+214+45000+21+37</f>
        <v>124568</v>
      </c>
      <c r="E20" s="284">
        <f>+E19+6+82+8503+52+6300+6</f>
        <v>17510</v>
      </c>
      <c r="F20" s="284">
        <f>+F19+55665+15600-4751+15145-323-2252-347+9</f>
        <v>131006</v>
      </c>
      <c r="G20" s="284">
        <f>SUM(D20:F20)</f>
        <v>273084</v>
      </c>
      <c r="H20" s="284">
        <v>29562</v>
      </c>
      <c r="I20" s="284">
        <v>18442</v>
      </c>
      <c r="J20" s="284">
        <v>3726</v>
      </c>
      <c r="K20" s="284">
        <v>3000</v>
      </c>
      <c r="L20" s="284">
        <v>50678</v>
      </c>
      <c r="M20" s="284"/>
      <c r="N20" s="284">
        <f>SUM(G20:L20)</f>
        <v>378492</v>
      </c>
      <c r="O20" s="12"/>
    </row>
    <row r="21" spans="1:15" ht="31.5">
      <c r="A21" s="7" t="s">
        <v>26</v>
      </c>
      <c r="B21" s="15" t="str">
        <f>+'[2]bevétel'!B34</f>
        <v>Battonya Város Önkormányzata</v>
      </c>
      <c r="C21" s="1" t="s">
        <v>364</v>
      </c>
      <c r="D21" s="13">
        <f>1620+1412</f>
        <v>3032</v>
      </c>
      <c r="E21" s="13">
        <f>381+394</f>
        <v>775</v>
      </c>
      <c r="F21" s="13">
        <f>2105+507+3067+9450</f>
        <v>15129</v>
      </c>
      <c r="G21" s="13">
        <f>SUM(D21:F21)</f>
        <v>18936</v>
      </c>
      <c r="H21" s="13">
        <f>Átadott!C8+Átadott!C9+Átadott!C10+Átadott!C31+Átadott!C32</f>
        <v>26169</v>
      </c>
      <c r="I21" s="13">
        <f>+'Társ.és szoc.pol.támog.'!J31</f>
        <v>5114</v>
      </c>
      <c r="J21" s="13">
        <v>0</v>
      </c>
      <c r="K21" s="13">
        <f>+Kiadás!E19</f>
        <v>3000</v>
      </c>
      <c r="L21" s="13">
        <f>'Felhalm.kiad.'!C7+'Felhalm.kiad.'!C8+'Felhalm.kiad.'!C9+'Felhalm.kiad.'!C26+'Felhalm.kiad.'!C27</f>
        <v>35878</v>
      </c>
      <c r="M21" s="13"/>
      <c r="N21" s="13">
        <f>SUM(G21:L21)</f>
        <v>89097</v>
      </c>
      <c r="O21" s="12"/>
    </row>
    <row r="22" spans="1:15" ht="31.5">
      <c r="A22" s="7" t="s">
        <v>27</v>
      </c>
      <c r="B22" s="12"/>
      <c r="C22" s="289" t="s">
        <v>461</v>
      </c>
      <c r="D22" s="13">
        <f>47447+40+13877+15263+8858+98196+20+30+20+193+1919+63668+709</f>
        <v>250240</v>
      </c>
      <c r="E22" s="13">
        <f>6771+11+1874+2060+1192+13257+5+8+5+518+9455+204</f>
        <v>35360</v>
      </c>
      <c r="F22" s="13">
        <f>30823+1010+7175+3150+3464+2005+1689-7175+2717+1023+8812+2196+9050+4148+520+9771+750+11757+118+-709-204-1442-15796</f>
        <v>74852</v>
      </c>
      <c r="G22" s="13">
        <f>SUM(D22:F22)</f>
        <v>360452</v>
      </c>
      <c r="H22" s="13">
        <f>Átadott!D8+Átadott!D9+Átadott!D10+Átadott!D31+Átadott!D32+Átadott!D33+Átadott!D37+Átadott!D41+Átadott!D42+Átadott!D43</f>
        <v>63814</v>
      </c>
      <c r="I22" s="13">
        <f>'Társ.és szoc.pol.támog.'!L31</f>
        <v>19419</v>
      </c>
      <c r="J22" s="13"/>
      <c r="K22" s="13">
        <f>+Átadott!D47</f>
        <v>4000</v>
      </c>
      <c r="L22" s="13">
        <f>+'Felhalm.kiad.'!D32-'Felhalm.kiad.'!D13-'Felhalm.kiad.'!D14-'Felhalm.kiad.'!D15-'Felhalm.kiad.'!D16-'Felhalm.kiad.'!D18-'Felhalm.kiad.'!D19-'Felhalm.kiad.'!D20</f>
        <v>66221</v>
      </c>
      <c r="M22" s="13">
        <v>366405</v>
      </c>
      <c r="N22" s="13">
        <f>SUM(G22:M22)</f>
        <v>880311</v>
      </c>
      <c r="O22" s="12"/>
    </row>
    <row r="23" spans="2:15" ht="15" customHeight="1" hidden="1">
      <c r="B23" s="2" t="s">
        <v>0</v>
      </c>
      <c r="C23" s="287" t="s">
        <v>55</v>
      </c>
      <c r="D23" s="8" t="s">
        <v>56</v>
      </c>
      <c r="E23" s="3" t="s">
        <v>57</v>
      </c>
      <c r="F23" s="33" t="s">
        <v>58</v>
      </c>
      <c r="G23" s="4" t="s">
        <v>59</v>
      </c>
      <c r="H23" s="705" t="s">
        <v>60</v>
      </c>
      <c r="I23" s="705"/>
      <c r="J23" s="705"/>
      <c r="K23" s="705"/>
      <c r="L23" s="3" t="s">
        <v>39</v>
      </c>
      <c r="M23" s="3"/>
      <c r="N23" s="3" t="s">
        <v>61</v>
      </c>
      <c r="O23" s="3"/>
    </row>
    <row r="24" spans="2:15" ht="15" customHeight="1" hidden="1">
      <c r="B24" s="5"/>
      <c r="C24" s="288"/>
      <c r="D24" s="6"/>
      <c r="E24" s="6"/>
      <c r="F24" s="6"/>
      <c r="G24" s="6"/>
      <c r="H24" s="6" t="s">
        <v>7</v>
      </c>
      <c r="I24" s="6" t="s">
        <v>62</v>
      </c>
      <c r="J24" s="6" t="s">
        <v>8</v>
      </c>
      <c r="K24" s="6" t="s">
        <v>9</v>
      </c>
      <c r="L24" s="6"/>
      <c r="M24" s="6"/>
      <c r="N24" s="6"/>
      <c r="O24" s="6"/>
    </row>
    <row r="25" spans="2:15" s="7" customFormat="1" ht="20.25" customHeight="1" hidden="1">
      <c r="B25" s="2" t="s">
        <v>12</v>
      </c>
      <c r="C25" s="287" t="s">
        <v>13</v>
      </c>
      <c r="D25" s="3" t="s">
        <v>14</v>
      </c>
      <c r="E25" s="3" t="s">
        <v>15</v>
      </c>
      <c r="F25" s="3" t="s">
        <v>16</v>
      </c>
      <c r="G25" s="3" t="s">
        <v>17</v>
      </c>
      <c r="H25" s="3" t="s">
        <v>18</v>
      </c>
      <c r="I25" s="3" t="s">
        <v>63</v>
      </c>
      <c r="J25" s="3" t="s">
        <v>19</v>
      </c>
      <c r="K25" s="3" t="s">
        <v>349</v>
      </c>
      <c r="L25" s="3" t="s">
        <v>350</v>
      </c>
      <c r="M25" s="3"/>
      <c r="N25" s="3" t="s">
        <v>352</v>
      </c>
      <c r="O25" s="3"/>
    </row>
    <row r="26" spans="2:15" s="7" customFormat="1" ht="20.25" customHeight="1" hidden="1">
      <c r="B26" s="2"/>
      <c r="C26" s="28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8" ht="31.5" customHeight="1" hidden="1">
      <c r="A27" s="1"/>
      <c r="C27" s="285" t="s">
        <v>54</v>
      </c>
      <c r="D27" s="41">
        <f>95148-565+1430</f>
        <v>96013</v>
      </c>
      <c r="E27" s="41">
        <f>25853-153+386</f>
        <v>26086</v>
      </c>
      <c r="F27" s="41">
        <v>23222</v>
      </c>
      <c r="G27" s="41">
        <f>SUM(D27:F27)</f>
        <v>145321</v>
      </c>
      <c r="H27" s="41"/>
      <c r="I27" s="41">
        <v>178472</v>
      </c>
      <c r="J27" s="41"/>
      <c r="K27" s="41"/>
      <c r="L27" s="41"/>
      <c r="M27" s="41"/>
      <c r="N27" s="41">
        <f>SUM(G27:L27)</f>
        <v>323793</v>
      </c>
      <c r="R27" s="1">
        <f>1430*0.27</f>
        <v>386.1</v>
      </c>
    </row>
    <row r="28" spans="3:14" ht="31.5" customHeight="1" hidden="1">
      <c r="C28" s="285" t="s">
        <v>361</v>
      </c>
      <c r="D28" s="41">
        <f>+D27+377+7152+151+248+8883</f>
        <v>112824</v>
      </c>
      <c r="E28" s="41">
        <f>+E27+102+1813+41+67+2177</f>
        <v>30286</v>
      </c>
      <c r="F28" s="41">
        <f>+F27+14159+1016+488</f>
        <v>38885</v>
      </c>
      <c r="G28" s="41">
        <f>SUM(D28:F28)</f>
        <v>181995</v>
      </c>
      <c r="H28" s="41"/>
      <c r="I28" s="41">
        <v>178902</v>
      </c>
      <c r="J28" s="41"/>
      <c r="K28" s="41"/>
      <c r="L28" s="41"/>
      <c r="M28" s="41"/>
      <c r="N28" s="41">
        <f>SUM(G28:L28)</f>
        <v>360897</v>
      </c>
    </row>
    <row r="29" spans="3:14" ht="15.75">
      <c r="C29" s="28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s="10" customFormat="1" ht="31.5">
      <c r="A30" s="7" t="s">
        <v>28</v>
      </c>
      <c r="B30" s="9" t="str">
        <f>+'Bev.intézményenként'!B27</f>
        <v>Battonyai Polgármesteri Hivatal</v>
      </c>
      <c r="C30" s="10" t="s">
        <v>364</v>
      </c>
      <c r="D30" s="14">
        <f>101076+3364</f>
        <v>104440</v>
      </c>
      <c r="E30" s="14">
        <f>27015+908</f>
        <v>27923</v>
      </c>
      <c r="F30" s="14">
        <v>35344</v>
      </c>
      <c r="G30" s="14">
        <f>SUM(D30:F30)</f>
        <v>167707</v>
      </c>
      <c r="H30" s="14"/>
      <c r="I30" s="14">
        <f>+'Társ.és szoc.pol.támog.'!I31</f>
        <v>113225</v>
      </c>
      <c r="J30" s="14"/>
      <c r="K30" s="14"/>
      <c r="L30" s="14"/>
      <c r="M30" s="14"/>
      <c r="N30" s="14">
        <f>SUM(G30:L30)</f>
        <v>280932</v>
      </c>
    </row>
    <row r="31" spans="1:14" s="10" customFormat="1" ht="31.5">
      <c r="A31" s="38" t="s">
        <v>29</v>
      </c>
      <c r="C31" s="289" t="s">
        <v>461</v>
      </c>
      <c r="D31" s="14">
        <f>+D30+151+600+757+178+50+1283+121+695+225+253+671+71+713+261+1001</f>
        <v>111470</v>
      </c>
      <c r="E31" s="14">
        <f>+E30+41+186+209+48+13+367+33+188+61+68+19+86+379</f>
        <v>29621</v>
      </c>
      <c r="F31" s="14">
        <f>41135+32+59-9050+151-282+2500+1010+5802-2841-1957</f>
        <v>36559</v>
      </c>
      <c r="G31" s="14">
        <f>SUM(D31:F31)</f>
        <v>177650</v>
      </c>
      <c r="H31" s="14">
        <f>Átadott!D39+Átadott!D40</f>
        <v>413</v>
      </c>
      <c r="I31" s="14">
        <f>+'Társ.és szoc.pol.támog.'!K31</f>
        <v>136385</v>
      </c>
      <c r="J31" s="14"/>
      <c r="K31" s="14"/>
      <c r="L31" s="14">
        <f>'Felhalm.kiad.'!D20</f>
        <v>5051</v>
      </c>
      <c r="M31" s="14"/>
      <c r="N31" s="14">
        <f>SUM(G31:L31)</f>
        <v>319499</v>
      </c>
    </row>
    <row r="32" spans="1:15" ht="15" customHeight="1" thickBot="1">
      <c r="A32" s="536"/>
      <c r="B32" s="53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12"/>
    </row>
    <row r="33" spans="1:15" ht="33" customHeight="1" hidden="1">
      <c r="A33" s="1"/>
      <c r="C33" s="285" t="s">
        <v>54</v>
      </c>
      <c r="D33" s="284">
        <f aca="true" t="shared" si="0" ref="D33:O33">+D27+D19+D14+D9+D4</f>
        <v>225427</v>
      </c>
      <c r="E33" s="284">
        <f t="shared" si="0"/>
        <v>56839</v>
      </c>
      <c r="F33" s="284">
        <f t="shared" si="0"/>
        <v>253724</v>
      </c>
      <c r="G33" s="284">
        <f t="shared" si="0"/>
        <v>535990</v>
      </c>
      <c r="H33" s="284" t="e">
        <f t="shared" si="0"/>
        <v>#REF!</v>
      </c>
      <c r="I33" s="284">
        <f t="shared" si="0"/>
        <v>184300</v>
      </c>
      <c r="J33" s="284">
        <f t="shared" si="0"/>
        <v>0</v>
      </c>
      <c r="K33" s="284">
        <f t="shared" si="0"/>
        <v>0</v>
      </c>
      <c r="L33" s="284">
        <f t="shared" si="0"/>
        <v>0</v>
      </c>
      <c r="M33" s="284"/>
      <c r="N33" s="284" t="e">
        <f t="shared" si="0"/>
        <v>#REF!</v>
      </c>
      <c r="O33" s="12">
        <f t="shared" si="0"/>
        <v>0</v>
      </c>
    </row>
    <row r="34" spans="3:15" ht="33" customHeight="1" hidden="1">
      <c r="C34" s="285" t="s">
        <v>361</v>
      </c>
      <c r="D34" s="284">
        <f>+D28+D20+D15+D10+D5</f>
        <v>356328</v>
      </c>
      <c r="E34" s="284">
        <f aca="true" t="shared" si="1" ref="E34:O34">+E28+E20+E15+E10+E5</f>
        <v>77839</v>
      </c>
      <c r="F34" s="284">
        <f t="shared" si="1"/>
        <v>411202</v>
      </c>
      <c r="G34" s="284">
        <f t="shared" si="1"/>
        <v>845369</v>
      </c>
      <c r="H34" s="284">
        <f t="shared" si="1"/>
        <v>29562</v>
      </c>
      <c r="I34" s="284">
        <f t="shared" si="1"/>
        <v>197344</v>
      </c>
      <c r="J34" s="284">
        <f t="shared" si="1"/>
        <v>3726</v>
      </c>
      <c r="K34" s="284">
        <f t="shared" si="1"/>
        <v>3000</v>
      </c>
      <c r="L34" s="284">
        <f t="shared" si="1"/>
        <v>54705</v>
      </c>
      <c r="M34" s="284"/>
      <c r="N34" s="284">
        <f t="shared" si="1"/>
        <v>1133706</v>
      </c>
      <c r="O34" s="12">
        <f t="shared" si="1"/>
        <v>0</v>
      </c>
    </row>
    <row r="35" spans="1:15" ht="31.5">
      <c r="A35" s="7" t="s">
        <v>30</v>
      </c>
      <c r="B35" s="15" t="s">
        <v>65</v>
      </c>
      <c r="C35" s="1" t="s">
        <v>364</v>
      </c>
      <c r="D35" s="13">
        <f>+D30+D21+D16+D11+D6</f>
        <v>225480</v>
      </c>
      <c r="E35" s="13">
        <f aca="true" t="shared" si="2" ref="E35:L35">+E30+E21+E16+E11+E6</f>
        <v>60407</v>
      </c>
      <c r="F35" s="13">
        <f t="shared" si="2"/>
        <v>228458</v>
      </c>
      <c r="G35" s="13">
        <f>+G30+G21+G16+G11+G6</f>
        <v>514345</v>
      </c>
      <c r="H35" s="13">
        <f>+H30+H21+H16+H11+H6</f>
        <v>26169</v>
      </c>
      <c r="I35" s="13">
        <f t="shared" si="2"/>
        <v>118339</v>
      </c>
      <c r="J35" s="13">
        <f t="shared" si="2"/>
        <v>0</v>
      </c>
      <c r="K35" s="13">
        <f t="shared" si="2"/>
        <v>3000</v>
      </c>
      <c r="L35" s="13">
        <f t="shared" si="2"/>
        <v>35878</v>
      </c>
      <c r="M35" s="13"/>
      <c r="N35" s="13">
        <f>+N30+N21+N16+N11+N6</f>
        <v>697731</v>
      </c>
      <c r="O35" s="12"/>
    </row>
    <row r="36" spans="1:18" ht="31.5">
      <c r="A36" s="7" t="s">
        <v>31</v>
      </c>
      <c r="C36" s="289" t="s">
        <v>461</v>
      </c>
      <c r="D36" s="13">
        <f>+D31+D22+D17+D12+D7</f>
        <v>499317</v>
      </c>
      <c r="E36" s="13">
        <f aca="true" t="shared" si="3" ref="E36:L36">+E31+E22+E17+E12+E7</f>
        <v>102224</v>
      </c>
      <c r="F36" s="13">
        <f t="shared" si="3"/>
        <v>378501</v>
      </c>
      <c r="G36" s="13">
        <f>+G31+G22+G17+G12+G7</f>
        <v>980042</v>
      </c>
      <c r="H36" s="13">
        <f t="shared" si="3"/>
        <v>65243</v>
      </c>
      <c r="I36" s="13">
        <f t="shared" si="3"/>
        <v>155804</v>
      </c>
      <c r="J36" s="13">
        <f t="shared" si="3"/>
        <v>0</v>
      </c>
      <c r="K36" s="13">
        <f t="shared" si="3"/>
        <v>4000</v>
      </c>
      <c r="L36" s="13">
        <f t="shared" si="3"/>
        <v>79610</v>
      </c>
      <c r="M36" s="13">
        <v>366405</v>
      </c>
      <c r="N36" s="13">
        <f>+N31+N22+N17+N12+N7</f>
        <v>1651104</v>
      </c>
      <c r="O36" s="12"/>
      <c r="R36" s="11">
        <f>SUM(G36:M36)</f>
        <v>1651104</v>
      </c>
    </row>
    <row r="37" ht="1.5" customHeight="1"/>
    <row r="38" spans="7:14" ht="15" customHeight="1" hidden="1">
      <c r="G38" s="440">
        <f>+Kiadás!F5</f>
        <v>980042</v>
      </c>
      <c r="H38" s="11">
        <f>+Átadott!D45</f>
        <v>65243</v>
      </c>
      <c r="I38" s="11">
        <f>+'Társ.és szoc.pol.támog.'!K31+'Társ.és szoc.pol.támog.'!L31</f>
        <v>155804</v>
      </c>
      <c r="K38" s="11">
        <f>+Átadott!D47</f>
        <v>4000</v>
      </c>
      <c r="L38" s="11">
        <f>+'Felhalm.kiad.'!D32</f>
        <v>79610</v>
      </c>
      <c r="M38" s="11"/>
      <c r="N38" s="11" t="e">
        <f>+Bevétel!#REF!</f>
        <v>#REF!</v>
      </c>
    </row>
    <row r="39" ht="15" customHeight="1" hidden="1"/>
    <row r="41" spans="8:14" ht="15" customHeight="1">
      <c r="H41" s="11"/>
      <c r="N41" s="1">
        <v>134000</v>
      </c>
    </row>
    <row r="42" spans="9:14" ht="15" customHeight="1">
      <c r="I42" s="11">
        <f>SUM(H36:K36)</f>
        <v>225047</v>
      </c>
      <c r="N42" s="1">
        <v>232405</v>
      </c>
    </row>
    <row r="45" ht="15" customHeight="1">
      <c r="N45" s="11">
        <f>N36+N42+N41</f>
        <v>2017509</v>
      </c>
    </row>
    <row r="51" spans="9:10" ht="15" customHeight="1">
      <c r="I51" s="11"/>
      <c r="J51" s="11"/>
    </row>
    <row r="54" spans="9:10" ht="15" customHeight="1">
      <c r="I54" s="11"/>
      <c r="J54" s="11"/>
    </row>
  </sheetData>
  <sheetProtection/>
  <mergeCells count="2">
    <mergeCell ref="H1:K1"/>
    <mergeCell ref="H23:K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1"/>
  <headerFooter alignWithMargins="0">
    <oddHeader>&amp;L4. melléklet a 2015. évi   2/2015.(II.25.) Önkormányzati költségvetési rendelethez&amp;R2015.02.25</oddHeader>
    <oddFooter>&amp;R&amp;F</oddFooter>
  </headerFooter>
  <colBreaks count="1" manualBreakCount="1">
    <brk id="14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view="pageLayout" zoomScaleSheetLayoutView="100" workbookViewId="0" topLeftCell="A1">
      <selection activeCell="E18" sqref="E18"/>
    </sheetView>
  </sheetViews>
  <sheetFormatPr defaultColWidth="9.140625" defaultRowHeight="12.75"/>
  <cols>
    <col min="1" max="1" width="4.8515625" style="147" customWidth="1"/>
    <col min="2" max="2" width="46.28125" style="147" customWidth="1"/>
    <col min="3" max="3" width="10.421875" style="147" customWidth="1"/>
    <col min="4" max="4" width="13.28125" style="147" customWidth="1"/>
    <col min="5" max="5" width="13.7109375" style="147" bestFit="1" customWidth="1"/>
    <col min="6" max="16384" width="9.140625" style="147" customWidth="1"/>
  </cols>
  <sheetData>
    <row r="1" spans="1:2" ht="12.75">
      <c r="A1" s="347" t="s">
        <v>642</v>
      </c>
      <c r="B1" s="347"/>
    </row>
    <row r="2" ht="12.75">
      <c r="B2" s="222"/>
    </row>
    <row r="3" ht="12.75">
      <c r="B3" s="222"/>
    </row>
    <row r="5" spans="2:6" ht="52.5" customHeight="1">
      <c r="B5" s="247" t="s">
        <v>329</v>
      </c>
      <c r="C5" s="248" t="s">
        <v>364</v>
      </c>
      <c r="D5" s="400" t="s">
        <v>502</v>
      </c>
      <c r="E5" s="243"/>
      <c r="F5" s="243"/>
    </row>
    <row r="6" spans="1:6" s="275" customFormat="1" ht="24" customHeight="1">
      <c r="A6" s="401" t="s">
        <v>11</v>
      </c>
      <c r="B6" s="276" t="s">
        <v>12</v>
      </c>
      <c r="C6" s="246" t="s">
        <v>13</v>
      </c>
      <c r="D6" s="402" t="s">
        <v>14</v>
      </c>
      <c r="E6" s="246"/>
      <c r="F6" s="246"/>
    </row>
    <row r="7" spans="1:4" ht="12.75">
      <c r="A7" s="147" t="s">
        <v>20</v>
      </c>
      <c r="B7" s="244" t="str">
        <f>+'[3]bevétel'!A40</f>
        <v>Városellátó  Szervezet</v>
      </c>
      <c r="C7" s="224">
        <v>28</v>
      </c>
      <c r="D7" s="391">
        <f>+C7</f>
        <v>28</v>
      </c>
    </row>
    <row r="8" spans="2:4" ht="12.75">
      <c r="B8" s="244"/>
      <c r="C8" s="224"/>
      <c r="D8" s="391"/>
    </row>
    <row r="9" spans="1:4" ht="12.75">
      <c r="A9" s="147" t="s">
        <v>21</v>
      </c>
      <c r="B9" s="244" t="str">
        <f>+'[3]bevétel'!A46</f>
        <v>Egészségügyi és Szociális Ellátó Szervezet</v>
      </c>
      <c r="C9" s="224">
        <v>35</v>
      </c>
      <c r="D9" s="391">
        <f>+C9</f>
        <v>35</v>
      </c>
    </row>
    <row r="10" spans="2:4" ht="12.75">
      <c r="B10" s="246" t="s">
        <v>362</v>
      </c>
      <c r="C10" s="224">
        <v>4</v>
      </c>
      <c r="D10" s="391">
        <f>+C10</f>
        <v>4</v>
      </c>
    </row>
    <row r="11" spans="2:4" ht="12.75">
      <c r="B11" s="245"/>
      <c r="C11" s="224"/>
      <c r="D11" s="391"/>
    </row>
    <row r="12" spans="1:4" ht="12.75">
      <c r="A12" s="147" t="s">
        <v>22</v>
      </c>
      <c r="B12" s="244" t="str">
        <f>+'[3]bevétel'!A62</f>
        <v>Városi Művelődési Központ és Könyvtár</v>
      </c>
      <c r="C12" s="224">
        <v>4</v>
      </c>
      <c r="D12" s="391">
        <f>+C12</f>
        <v>4</v>
      </c>
    </row>
    <row r="13" spans="2:4" s="180" customFormat="1" ht="12.75">
      <c r="B13" s="246"/>
      <c r="C13" s="150"/>
      <c r="D13" s="391"/>
    </row>
    <row r="14" spans="1:4" ht="12.75">
      <c r="A14" s="147" t="s">
        <v>23</v>
      </c>
      <c r="B14" s="244" t="str">
        <f>+'[3]bevétel'!A76</f>
        <v>Battonya Város Önkormányzata</v>
      </c>
      <c r="C14" s="224">
        <v>1</v>
      </c>
      <c r="D14" s="391">
        <f>+C14</f>
        <v>1</v>
      </c>
    </row>
    <row r="15" spans="2:4" s="180" customFormat="1" ht="12.75">
      <c r="B15" s="246"/>
      <c r="C15" s="150"/>
      <c r="D15" s="391"/>
    </row>
    <row r="16" spans="1:4" ht="12.75">
      <c r="A16" s="147" t="s">
        <v>24</v>
      </c>
      <c r="B16" s="244" t="s">
        <v>327</v>
      </c>
      <c r="C16" s="224">
        <v>23</v>
      </c>
      <c r="D16" s="391">
        <f>C16+D17+D18</f>
        <v>23</v>
      </c>
    </row>
    <row r="17" spans="2:4" ht="12.75">
      <c r="B17" s="245" t="s">
        <v>528</v>
      </c>
      <c r="C17" s="224"/>
      <c r="D17" s="148">
        <v>1</v>
      </c>
    </row>
    <row r="18" spans="2:4" s="180" customFormat="1" ht="21" customHeight="1">
      <c r="B18" s="549" t="s">
        <v>641</v>
      </c>
      <c r="C18" s="150"/>
      <c r="D18" s="148">
        <v>-1</v>
      </c>
    </row>
    <row r="19" spans="2:4" ht="12.75">
      <c r="B19" s="223"/>
      <c r="C19" s="224"/>
      <c r="D19" s="148"/>
    </row>
    <row r="20" spans="1:4" ht="12.75">
      <c r="A20" s="147" t="s">
        <v>25</v>
      </c>
      <c r="B20" s="237" t="s">
        <v>96</v>
      </c>
      <c r="C20" s="392">
        <f>SUM(C7:C19)-C10</f>
        <v>91</v>
      </c>
      <c r="D20" s="392">
        <f>SUM(D7:D19)</f>
        <v>95</v>
      </c>
    </row>
    <row r="21" spans="2:4" ht="12.75">
      <c r="B21" s="223"/>
      <c r="C21" s="224"/>
      <c r="D21" s="148"/>
    </row>
    <row r="22" spans="2:4" ht="12.75">
      <c r="B22" s="223"/>
      <c r="C22" s="224"/>
      <c r="D22" s="148"/>
    </row>
    <row r="23" spans="1:4" ht="12.75">
      <c r="A23" s="147" t="s">
        <v>26</v>
      </c>
      <c r="B23" s="223" t="s">
        <v>330</v>
      </c>
      <c r="C23" s="224">
        <v>250</v>
      </c>
      <c r="D23" s="148">
        <f>+C23</f>
        <v>250</v>
      </c>
    </row>
    <row r="24" spans="3:4" ht="12.75">
      <c r="C24" s="148"/>
      <c r="D24" s="148"/>
    </row>
    <row r="25" spans="3:4" ht="12.75">
      <c r="C25" s="148"/>
      <c r="D25" s="14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2015. évi   2/2015.(II.25.) Önkormányzati költségvetési rendelethez&amp;R2015.02.25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81"/>
  <sheetViews>
    <sheetView view="pageLayout" zoomScaleSheetLayoutView="100" workbookViewId="0" topLeftCell="A7">
      <selection activeCell="F11" sqref="F11"/>
    </sheetView>
  </sheetViews>
  <sheetFormatPr defaultColWidth="9.140625" defaultRowHeight="15" customHeight="1"/>
  <cols>
    <col min="1" max="1" width="5.140625" style="36" customWidth="1"/>
    <col min="2" max="2" width="58.421875" style="35" customWidth="1"/>
    <col min="3" max="3" width="11.57421875" style="36" bestFit="1" customWidth="1"/>
    <col min="4" max="4" width="13.28125" style="36" customWidth="1"/>
    <col min="5" max="5" width="10.28125" style="36" bestFit="1" customWidth="1"/>
    <col min="6" max="7" width="9.140625" style="36" customWidth="1"/>
    <col min="8" max="8" width="10.140625" style="36" bestFit="1" customWidth="1"/>
    <col min="9" max="13" width="13.00390625" style="41" bestFit="1" customWidth="1"/>
    <col min="14" max="29" width="9.140625" style="41" customWidth="1"/>
    <col min="30" max="16384" width="9.140625" style="36" customWidth="1"/>
  </cols>
  <sheetData>
    <row r="1" ht="15" customHeight="1">
      <c r="A1" s="34" t="s">
        <v>66</v>
      </c>
    </row>
    <row r="2" ht="15" customHeight="1">
      <c r="B2" s="37"/>
    </row>
    <row r="3" spans="2:4" ht="15" customHeight="1">
      <c r="B3" s="37" t="s">
        <v>67</v>
      </c>
      <c r="C3" s="38" t="s">
        <v>365</v>
      </c>
      <c r="D3" s="38" t="s">
        <v>365</v>
      </c>
    </row>
    <row r="4" spans="3:4" ht="21" customHeight="1">
      <c r="C4" s="39" t="s">
        <v>68</v>
      </c>
      <c r="D4" s="38" t="s">
        <v>454</v>
      </c>
    </row>
    <row r="6" spans="1:4" ht="15" customHeight="1">
      <c r="A6" s="10" t="s">
        <v>351</v>
      </c>
      <c r="B6" s="40" t="s">
        <v>12</v>
      </c>
      <c r="C6" s="38" t="s">
        <v>13</v>
      </c>
      <c r="D6" s="38" t="s">
        <v>14</v>
      </c>
    </row>
    <row r="8" spans="1:4" ht="15" customHeight="1">
      <c r="A8" s="36" t="s">
        <v>20</v>
      </c>
      <c r="B8" s="35" t="s">
        <v>73</v>
      </c>
      <c r="C8" s="36">
        <f>13319+5</f>
        <v>13324</v>
      </c>
      <c r="D8" s="36">
        <f>+C8+1500</f>
        <v>14824</v>
      </c>
    </row>
    <row r="9" spans="1:4" ht="15" customHeight="1">
      <c r="A9" s="36" t="s">
        <v>21</v>
      </c>
      <c r="B9" s="35" t="s">
        <v>225</v>
      </c>
      <c r="C9" s="36">
        <v>5000</v>
      </c>
      <c r="D9" s="36">
        <f>+C9</f>
        <v>5000</v>
      </c>
    </row>
    <row r="10" spans="1:5" ht="15" customHeight="1">
      <c r="A10" s="44" t="s">
        <v>22</v>
      </c>
      <c r="B10" s="42" t="s">
        <v>444</v>
      </c>
      <c r="C10" s="44">
        <f>4000-700-50+1600-45-5</f>
        <v>4800</v>
      </c>
      <c r="D10" s="36">
        <f>+C10</f>
        <v>4800</v>
      </c>
      <c r="E10" s="36">
        <f>SUM(D11:D30)</f>
        <v>4682</v>
      </c>
    </row>
    <row r="11" spans="1:4" ht="15" customHeight="1">
      <c r="A11" s="44" t="s">
        <v>23</v>
      </c>
      <c r="B11" s="393" t="s">
        <v>477</v>
      </c>
      <c r="C11" s="396">
        <v>300</v>
      </c>
      <c r="D11" s="394">
        <f>+C11</f>
        <v>300</v>
      </c>
    </row>
    <row r="12" spans="1:4" ht="15" customHeight="1">
      <c r="A12" s="44" t="s">
        <v>24</v>
      </c>
      <c r="B12" s="393" t="s">
        <v>478</v>
      </c>
      <c r="C12" s="396">
        <v>300</v>
      </c>
      <c r="D12" s="394">
        <f>+C12</f>
        <v>300</v>
      </c>
    </row>
    <row r="13" spans="1:4" ht="15" customHeight="1">
      <c r="A13" s="44" t="s">
        <v>25</v>
      </c>
      <c r="B13" s="393" t="s">
        <v>479</v>
      </c>
      <c r="C13" s="396">
        <v>1000</v>
      </c>
      <c r="D13" s="394">
        <f>+C13</f>
        <v>1000</v>
      </c>
    </row>
    <row r="14" spans="1:4" ht="15" customHeight="1">
      <c r="A14" s="44" t="s">
        <v>26</v>
      </c>
      <c r="B14" s="393" t="s">
        <v>480</v>
      </c>
      <c r="C14" s="44"/>
      <c r="D14" s="394">
        <v>150</v>
      </c>
    </row>
    <row r="15" spans="1:4" ht="15" customHeight="1">
      <c r="A15" s="44" t="s">
        <v>27</v>
      </c>
      <c r="B15" s="393" t="s">
        <v>481</v>
      </c>
      <c r="C15" s="44"/>
      <c r="D15" s="394">
        <v>1600</v>
      </c>
    </row>
    <row r="16" spans="1:4" ht="15" customHeight="1">
      <c r="A16" s="44" t="s">
        <v>28</v>
      </c>
      <c r="B16" s="393" t="s">
        <v>482</v>
      </c>
      <c r="C16" s="44"/>
      <c r="D16" s="394">
        <v>100</v>
      </c>
    </row>
    <row r="17" spans="1:4" ht="15" customHeight="1">
      <c r="A17" s="44" t="s">
        <v>29</v>
      </c>
      <c r="B17" s="393" t="s">
        <v>483</v>
      </c>
      <c r="C17" s="44"/>
      <c r="D17" s="394">
        <v>80</v>
      </c>
    </row>
    <row r="18" spans="1:4" ht="15" customHeight="1">
      <c r="A18" s="44" t="s">
        <v>30</v>
      </c>
      <c r="B18" s="393" t="s">
        <v>484</v>
      </c>
      <c r="C18" s="44"/>
      <c r="D18" s="394">
        <v>100</v>
      </c>
    </row>
    <row r="19" spans="1:4" ht="15" customHeight="1">
      <c r="A19" s="44" t="s">
        <v>31</v>
      </c>
      <c r="B19" s="393" t="s">
        <v>485</v>
      </c>
      <c r="C19" s="44"/>
      <c r="D19" s="394">
        <v>200</v>
      </c>
    </row>
    <row r="20" spans="1:4" ht="15" customHeight="1">
      <c r="A20" s="44" t="s">
        <v>32</v>
      </c>
      <c r="B20" s="393" t="s">
        <v>486</v>
      </c>
      <c r="C20" s="44"/>
      <c r="D20" s="394">
        <v>200</v>
      </c>
    </row>
    <row r="21" spans="1:4" ht="15" customHeight="1">
      <c r="A21" s="44" t="s">
        <v>33</v>
      </c>
      <c r="B21" s="393" t="s">
        <v>487</v>
      </c>
      <c r="C21" s="44"/>
      <c r="D21" s="394">
        <v>60</v>
      </c>
    </row>
    <row r="22" spans="1:4" ht="15" customHeight="1">
      <c r="A22" s="44" t="s">
        <v>34</v>
      </c>
      <c r="B22" s="393" t="s">
        <v>488</v>
      </c>
      <c r="C22" s="44"/>
      <c r="D22" s="394">
        <v>110</v>
      </c>
    </row>
    <row r="23" spans="1:4" ht="15" customHeight="1">
      <c r="A23" s="44" t="s">
        <v>35</v>
      </c>
      <c r="B23" s="393" t="s">
        <v>489</v>
      </c>
      <c r="C23" s="44"/>
      <c r="D23" s="394">
        <v>60</v>
      </c>
    </row>
    <row r="24" spans="1:4" ht="15" customHeight="1">
      <c r="A24" s="44" t="s">
        <v>36</v>
      </c>
      <c r="B24" s="393" t="s">
        <v>490</v>
      </c>
      <c r="C24" s="44"/>
      <c r="D24" s="394">
        <v>40</v>
      </c>
    </row>
    <row r="25" spans="1:4" ht="15" customHeight="1">
      <c r="A25" s="44" t="s">
        <v>37</v>
      </c>
      <c r="B25" s="393" t="s">
        <v>491</v>
      </c>
      <c r="C25" s="44"/>
      <c r="D25" s="394">
        <v>100</v>
      </c>
    </row>
    <row r="26" spans="1:4" ht="15" customHeight="1">
      <c r="A26" s="44" t="s">
        <v>40</v>
      </c>
      <c r="B26" s="393" t="s">
        <v>492</v>
      </c>
      <c r="C26" s="44"/>
      <c r="D26" s="394">
        <v>80</v>
      </c>
    </row>
    <row r="27" spans="1:4" ht="15" customHeight="1">
      <c r="A27" s="44" t="s">
        <v>42</v>
      </c>
      <c r="B27" s="393" t="s">
        <v>493</v>
      </c>
      <c r="C27" s="44"/>
      <c r="D27" s="394">
        <f>100+25</f>
        <v>125</v>
      </c>
    </row>
    <row r="28" spans="1:4" ht="15" customHeight="1">
      <c r="A28" s="44" t="s">
        <v>43</v>
      </c>
      <c r="B28" s="393" t="s">
        <v>534</v>
      </c>
      <c r="C28" s="44"/>
      <c r="D28" s="394">
        <f>30</f>
        <v>30</v>
      </c>
    </row>
    <row r="29" spans="1:4" ht="15" customHeight="1">
      <c r="A29" s="44" t="s">
        <v>44</v>
      </c>
      <c r="B29" s="393" t="s">
        <v>625</v>
      </c>
      <c r="C29" s="44"/>
      <c r="D29" s="394">
        <v>40</v>
      </c>
    </row>
    <row r="30" spans="1:4" ht="15" customHeight="1">
      <c r="A30" s="44" t="s">
        <v>45</v>
      </c>
      <c r="B30" s="393" t="s">
        <v>494</v>
      </c>
      <c r="C30" s="44"/>
      <c r="D30" s="394">
        <f>+D10-D11-D12-D13-D14-D15-D16-D17-D18-D19-D20-D21-D22-D23-D24-D25-D26-D27-D28-D29-118</f>
        <v>7</v>
      </c>
    </row>
    <row r="31" spans="1:4" ht="15" customHeight="1">
      <c r="A31" s="44" t="s">
        <v>46</v>
      </c>
      <c r="B31" s="42" t="s">
        <v>430</v>
      </c>
      <c r="C31" s="44">
        <v>3000</v>
      </c>
      <c r="D31" s="36">
        <f>+C31-2717</f>
        <v>283</v>
      </c>
    </row>
    <row r="32" spans="1:4" ht="32.25" customHeight="1">
      <c r="A32" s="44" t="s">
        <v>47</v>
      </c>
      <c r="B32" s="374" t="s">
        <v>451</v>
      </c>
      <c r="C32" s="44">
        <f>15*3</f>
        <v>45</v>
      </c>
      <c r="D32" s="36">
        <f>+C32</f>
        <v>45</v>
      </c>
    </row>
    <row r="33" spans="1:4" ht="15">
      <c r="A33" s="44" t="s">
        <v>48</v>
      </c>
      <c r="B33" s="374" t="s">
        <v>495</v>
      </c>
      <c r="C33" s="44"/>
      <c r="D33" s="36">
        <f>SUM(D34:D36)</f>
        <v>35189</v>
      </c>
    </row>
    <row r="34" spans="1:4" ht="15">
      <c r="A34" s="44" t="s">
        <v>49</v>
      </c>
      <c r="B34" s="451" t="s">
        <v>496</v>
      </c>
      <c r="C34" s="397"/>
      <c r="D34" s="398">
        <v>5343</v>
      </c>
    </row>
    <row r="35" spans="1:4" ht="15">
      <c r="A35" s="44" t="s">
        <v>50</v>
      </c>
      <c r="B35" s="451" t="s">
        <v>497</v>
      </c>
      <c r="C35" s="397"/>
      <c r="D35" s="398">
        <v>2356</v>
      </c>
    </row>
    <row r="36" spans="1:4" ht="15">
      <c r="A36" s="44" t="s">
        <v>51</v>
      </c>
      <c r="B36" s="451" t="s">
        <v>498</v>
      </c>
      <c r="C36" s="397"/>
      <c r="D36" s="398">
        <v>27490</v>
      </c>
    </row>
    <row r="37" spans="1:4" ht="30">
      <c r="A37" s="44" t="s">
        <v>52</v>
      </c>
      <c r="B37" s="374" t="s">
        <v>525</v>
      </c>
      <c r="C37" s="44"/>
      <c r="D37" s="36">
        <f>280+282</f>
        <v>562</v>
      </c>
    </row>
    <row r="38" spans="1:8" ht="30">
      <c r="A38" s="44" t="s">
        <v>471</v>
      </c>
      <c r="B38" s="374" t="s">
        <v>526</v>
      </c>
      <c r="C38" s="44"/>
      <c r="D38" s="36">
        <f>454+562</f>
        <v>1016</v>
      </c>
      <c r="H38" s="36">
        <f>D37+D32+D31+D10+D9+D8+D33</f>
        <v>60703</v>
      </c>
    </row>
    <row r="39" spans="1:4" ht="45">
      <c r="A39" s="44" t="s">
        <v>472</v>
      </c>
      <c r="B39" s="374" t="s">
        <v>552</v>
      </c>
      <c r="C39" s="44"/>
      <c r="D39" s="36">
        <v>282</v>
      </c>
    </row>
    <row r="40" spans="1:4" ht="30">
      <c r="A40" s="44" t="s">
        <v>473</v>
      </c>
      <c r="B40" s="374" t="s">
        <v>553</v>
      </c>
      <c r="C40" s="44"/>
      <c r="D40" s="36">
        <f>84+47</f>
        <v>131</v>
      </c>
    </row>
    <row r="41" spans="1:4" ht="15">
      <c r="A41" s="556" t="s">
        <v>474</v>
      </c>
      <c r="B41" s="374" t="s">
        <v>632</v>
      </c>
      <c r="C41" s="44"/>
      <c r="D41" s="36">
        <v>388</v>
      </c>
    </row>
    <row r="42" spans="1:4" ht="15">
      <c r="A42" s="556" t="s">
        <v>475</v>
      </c>
      <c r="B42" s="374" t="s">
        <v>633</v>
      </c>
      <c r="C42" s="44"/>
      <c r="D42" s="36">
        <v>2841</v>
      </c>
    </row>
    <row r="43" spans="1:4" ht="30">
      <c r="A43" s="556" t="s">
        <v>570</v>
      </c>
      <c r="B43" s="374" t="s">
        <v>634</v>
      </c>
      <c r="C43" s="44"/>
      <c r="D43" s="36">
        <v>-118</v>
      </c>
    </row>
    <row r="44" spans="1:3" ht="15">
      <c r="A44" s="44"/>
      <c r="B44" s="374"/>
      <c r="C44" s="44"/>
    </row>
    <row r="45" spans="1:4" ht="15" customHeight="1">
      <c r="A45" s="556" t="s">
        <v>571</v>
      </c>
      <c r="B45" s="5" t="s">
        <v>69</v>
      </c>
      <c r="C45" s="6">
        <f>SUM(C8:C38)-C11-C12-C13</f>
        <v>26169</v>
      </c>
      <c r="D45" s="6">
        <f>+D32+D31+D10+D9+D8+D33+D37+D39+D40+D38+D41+D42+D43</f>
        <v>65243</v>
      </c>
    </row>
    <row r="46" spans="2:4" ht="15" customHeight="1">
      <c r="B46" s="5"/>
      <c r="C46" s="6"/>
      <c r="D46" s="6"/>
    </row>
    <row r="47" spans="1:4" ht="15" customHeight="1">
      <c r="A47" s="84" t="s">
        <v>572</v>
      </c>
      <c r="B47" s="5" t="s">
        <v>70</v>
      </c>
      <c r="C47" s="6">
        <f>SUM(C48)</f>
        <v>3000</v>
      </c>
      <c r="D47" s="6">
        <f>SUM(D48:D49)</f>
        <v>4000</v>
      </c>
    </row>
    <row r="48" spans="1:4" ht="15" customHeight="1">
      <c r="A48" s="84" t="s">
        <v>573</v>
      </c>
      <c r="B48" s="42" t="s">
        <v>428</v>
      </c>
      <c r="C48" s="45">
        <v>3000</v>
      </c>
      <c r="D48" s="399">
        <f>+C48</f>
        <v>3000</v>
      </c>
    </row>
    <row r="49" spans="1:4" ht="15" customHeight="1">
      <c r="A49" s="84" t="s">
        <v>574</v>
      </c>
      <c r="B49" s="374" t="s">
        <v>499</v>
      </c>
      <c r="C49" s="6"/>
      <c r="D49" s="399">
        <v>1000</v>
      </c>
    </row>
    <row r="50" spans="1:3" ht="15" customHeight="1">
      <c r="A50" s="44"/>
      <c r="B50" s="5"/>
      <c r="C50" s="44"/>
    </row>
    <row r="51" spans="1:4" ht="15" customHeight="1">
      <c r="A51" s="84" t="s">
        <v>575</v>
      </c>
      <c r="B51" s="46" t="s">
        <v>71</v>
      </c>
      <c r="C51" s="6">
        <f>+C45+C47</f>
        <v>29169</v>
      </c>
      <c r="D51" s="6">
        <f>+D45+D47</f>
        <v>69243</v>
      </c>
    </row>
    <row r="74" ht="15" customHeight="1">
      <c r="B74" s="280"/>
    </row>
    <row r="77" spans="2:29" s="1" customFormat="1" ht="15" customHeight="1">
      <c r="B77" s="28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81" spans="2:29" s="1" customFormat="1" ht="15" customHeight="1">
      <c r="B81" s="28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&amp;L5. melléklet a 2015. évi   2/2015.(II.25.) Önkormányzati költségvetési rendelethez&amp;R2015.02.25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view="pageLayout" workbookViewId="0" topLeftCell="A1">
      <selection activeCell="K45" sqref="K45"/>
    </sheetView>
  </sheetViews>
  <sheetFormatPr defaultColWidth="9.140625" defaultRowHeight="15" customHeight="1"/>
  <cols>
    <col min="1" max="1" width="4.140625" style="51" bestFit="1" customWidth="1"/>
    <col min="2" max="2" width="52.57421875" style="51" customWidth="1"/>
    <col min="3" max="3" width="11.00390625" style="51" hidden="1" customWidth="1"/>
    <col min="4" max="4" width="10.28125" style="51" hidden="1" customWidth="1"/>
    <col min="5" max="5" width="11.28125" style="51" hidden="1" customWidth="1"/>
    <col min="6" max="6" width="11.140625" style="51" bestFit="1" customWidth="1"/>
    <col min="7" max="7" width="10.28125" style="51" customWidth="1"/>
    <col min="8" max="8" width="11.421875" style="51" bestFit="1" customWidth="1"/>
    <col min="9" max="9" width="10.7109375" style="51" bestFit="1" customWidth="1"/>
    <col min="10" max="10" width="9.57421875" style="51" bestFit="1" customWidth="1"/>
    <col min="11" max="11" width="10.7109375" style="51" bestFit="1" customWidth="1"/>
    <col min="12" max="12" width="9.57421875" style="51" bestFit="1" customWidth="1"/>
    <col min="13" max="13" width="9.28125" style="51" bestFit="1" customWidth="1"/>
    <col min="14" max="14" width="9.421875" style="51" bestFit="1" customWidth="1"/>
    <col min="15" max="15" width="9.140625" style="51" customWidth="1"/>
    <col min="16" max="16" width="9.421875" style="434" bestFit="1" customWidth="1"/>
    <col min="17" max="17" width="9.28125" style="434" bestFit="1" customWidth="1"/>
    <col min="18" max="18" width="9.421875" style="51" bestFit="1" customWidth="1"/>
    <col min="19" max="16384" width="9.140625" style="51" customWidth="1"/>
  </cols>
  <sheetData>
    <row r="1" spans="1:12" ht="22.5" customHeight="1" thickBot="1">
      <c r="A1" s="49" t="s">
        <v>74</v>
      </c>
      <c r="B1" s="344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 customHeight="1">
      <c r="A2" s="52"/>
      <c r="B2" s="339"/>
      <c r="C2" s="706" t="s">
        <v>361</v>
      </c>
      <c r="D2" s="707"/>
      <c r="E2" s="708"/>
      <c r="F2" s="706" t="s">
        <v>364</v>
      </c>
      <c r="G2" s="707"/>
      <c r="H2" s="708"/>
      <c r="I2" s="706" t="str">
        <f>+F2</f>
        <v>2014.évi er.ei.</v>
      </c>
      <c r="J2" s="708"/>
      <c r="K2" s="706" t="s">
        <v>461</v>
      </c>
      <c r="L2" s="708"/>
    </row>
    <row r="3" spans="1:12" ht="43.5" customHeight="1" thickBot="1">
      <c r="A3" s="53"/>
      <c r="B3" s="54"/>
      <c r="C3" s="340" t="s">
        <v>75</v>
      </c>
      <c r="D3" s="341" t="s">
        <v>76</v>
      </c>
      <c r="E3" s="55" t="s">
        <v>5</v>
      </c>
      <c r="F3" s="340" t="s">
        <v>75</v>
      </c>
      <c r="G3" s="341" t="s">
        <v>76</v>
      </c>
      <c r="H3" s="55" t="s">
        <v>5</v>
      </c>
      <c r="I3" s="56" t="s">
        <v>77</v>
      </c>
      <c r="J3" s="55" t="s">
        <v>78</v>
      </c>
      <c r="K3" s="56" t="s">
        <v>77</v>
      </c>
      <c r="L3" s="55" t="s">
        <v>78</v>
      </c>
    </row>
    <row r="4" spans="1:17" s="27" customFormat="1" ht="15" customHeight="1">
      <c r="A4" s="373" t="s">
        <v>11</v>
      </c>
      <c r="B4" s="57" t="s">
        <v>12</v>
      </c>
      <c r="C4" s="298" t="s">
        <v>16</v>
      </c>
      <c r="D4" s="58" t="s">
        <v>17</v>
      </c>
      <c r="E4" s="297" t="s">
        <v>18</v>
      </c>
      <c r="F4" s="298" t="s">
        <v>16</v>
      </c>
      <c r="G4" s="58" t="s">
        <v>17</v>
      </c>
      <c r="H4" s="297" t="s">
        <v>18</v>
      </c>
      <c r="I4" s="59" t="s">
        <v>63</v>
      </c>
      <c r="J4" s="297" t="s">
        <v>19</v>
      </c>
      <c r="K4" s="59" t="s">
        <v>349</v>
      </c>
      <c r="L4" s="297" t="s">
        <v>350</v>
      </c>
      <c r="P4" s="31"/>
      <c r="Q4" s="31"/>
    </row>
    <row r="5" spans="1:17" ht="15" customHeight="1">
      <c r="A5" s="60"/>
      <c r="B5" s="293"/>
      <c r="C5" s="74"/>
      <c r="D5" s="61"/>
      <c r="E5" s="75"/>
      <c r="F5" s="74"/>
      <c r="G5" s="61"/>
      <c r="H5" s="75"/>
      <c r="I5" s="62"/>
      <c r="J5" s="75"/>
      <c r="K5" s="62"/>
      <c r="L5" s="75"/>
      <c r="P5" s="434">
        <v>340</v>
      </c>
      <c r="Q5" s="434">
        <f>L31</f>
        <v>19419</v>
      </c>
    </row>
    <row r="6" spans="1:17" ht="15" customHeight="1">
      <c r="A6" s="60" t="s">
        <v>20</v>
      </c>
      <c r="B6" s="293" t="s">
        <v>79</v>
      </c>
      <c r="C6" s="74">
        <f>+E6-D6</f>
        <v>1188.7999999999993</v>
      </c>
      <c r="D6" s="61">
        <f>+E6*0.9</f>
        <v>10699.2</v>
      </c>
      <c r="E6" s="294">
        <f>3140+337+8411</f>
        <v>11888</v>
      </c>
      <c r="F6" s="74">
        <f>+H6-G6</f>
        <v>1690</v>
      </c>
      <c r="G6" s="61">
        <f>+H6*0.9</f>
        <v>15210</v>
      </c>
      <c r="H6" s="294">
        <v>16900</v>
      </c>
      <c r="I6" s="64">
        <v>16900</v>
      </c>
      <c r="J6" s="294"/>
      <c r="K6" s="64">
        <f>16900+313</f>
        <v>17213</v>
      </c>
      <c r="L6" s="294"/>
      <c r="P6" s="434">
        <f>K6*0.9</f>
        <v>15491.7</v>
      </c>
      <c r="Q6" s="434">
        <f>K6-P6</f>
        <v>1721.2999999999993</v>
      </c>
    </row>
    <row r="7" spans="1:17" ht="15" customHeight="1">
      <c r="A7" s="60" t="s">
        <v>21</v>
      </c>
      <c r="B7" s="293" t="s">
        <v>448</v>
      </c>
      <c r="C7" s="74">
        <f>+E7-D7</f>
        <v>264.9000000000001</v>
      </c>
      <c r="D7" s="61">
        <f>+E7*0.9</f>
        <v>2384.1</v>
      </c>
      <c r="E7" s="294">
        <f>2407+242</f>
        <v>2649</v>
      </c>
      <c r="F7" s="74">
        <f>+H7-G7</f>
        <v>264.9000000000001</v>
      </c>
      <c r="G7" s="61">
        <f>+H7*0.9</f>
        <v>2384.1</v>
      </c>
      <c r="H7" s="294">
        <f>2407+242</f>
        <v>2649</v>
      </c>
      <c r="I7" s="64">
        <v>2649</v>
      </c>
      <c r="J7" s="294"/>
      <c r="K7" s="64">
        <f>2649+739</f>
        <v>3388</v>
      </c>
      <c r="L7" s="294"/>
      <c r="P7" s="434">
        <f>K7*0.9</f>
        <v>3049.2000000000003</v>
      </c>
      <c r="Q7" s="434">
        <f>K7-P7</f>
        <v>338.7999999999997</v>
      </c>
    </row>
    <row r="8" spans="1:17" ht="15" customHeight="1">
      <c r="A8" s="60" t="s">
        <v>22</v>
      </c>
      <c r="B8" s="293" t="s">
        <v>447</v>
      </c>
      <c r="C8" s="74">
        <f>+E8-D8</f>
        <v>28174.59999999999</v>
      </c>
      <c r="D8" s="61">
        <f>+E8*0.8</f>
        <v>112698.40000000001</v>
      </c>
      <c r="E8" s="294">
        <f>128536+12337</f>
        <v>140873</v>
      </c>
      <c r="F8" s="74">
        <f>+H8-G8</f>
        <v>14700</v>
      </c>
      <c r="G8" s="61">
        <f>+H8*0.8</f>
        <v>58800</v>
      </c>
      <c r="H8" s="294">
        <v>73500</v>
      </c>
      <c r="I8" s="64">
        <v>73500</v>
      </c>
      <c r="J8" s="294"/>
      <c r="K8" s="64">
        <f>73500+18315</f>
        <v>91815</v>
      </c>
      <c r="L8" s="294"/>
      <c r="P8" s="434">
        <f>K8*0.8</f>
        <v>73452</v>
      </c>
      <c r="Q8" s="434">
        <f>K8-P8</f>
        <v>18363</v>
      </c>
    </row>
    <row r="9" spans="1:17" s="76" customFormat="1" ht="15" customHeight="1">
      <c r="A9" s="60" t="s">
        <v>23</v>
      </c>
      <c r="B9" s="293" t="s">
        <v>80</v>
      </c>
      <c r="C9" s="74">
        <f>+E9-D9</f>
        <v>2017.5999999999985</v>
      </c>
      <c r="D9" s="61">
        <f>+E9*0.9</f>
        <v>18158.4</v>
      </c>
      <c r="E9" s="294">
        <f>18399+1777</f>
        <v>20176</v>
      </c>
      <c r="F9" s="74">
        <f>+H9-G9</f>
        <v>2017.5999999999985</v>
      </c>
      <c r="G9" s="61">
        <f>+H9*0.9</f>
        <v>18158.4</v>
      </c>
      <c r="H9" s="294">
        <f>18399+1777</f>
        <v>20176</v>
      </c>
      <c r="I9" s="64">
        <v>20176</v>
      </c>
      <c r="J9" s="294"/>
      <c r="K9" s="64">
        <f>20176+3453</f>
        <v>23629</v>
      </c>
      <c r="L9" s="294"/>
      <c r="P9" s="548">
        <f>K9*0.9</f>
        <v>21266.100000000002</v>
      </c>
      <c r="Q9" s="434">
        <f>K9-P9</f>
        <v>2362.899999999998</v>
      </c>
    </row>
    <row r="10" spans="1:18" ht="15" customHeight="1">
      <c r="A10" s="60" t="s">
        <v>24</v>
      </c>
      <c r="B10" s="293" t="s">
        <v>369</v>
      </c>
      <c r="C10" s="74"/>
      <c r="D10" s="61">
        <v>264</v>
      </c>
      <c r="E10" s="294">
        <f>+D10</f>
        <v>264</v>
      </c>
      <c r="F10" s="74"/>
      <c r="G10" s="61"/>
      <c r="H10" s="294"/>
      <c r="I10" s="64"/>
      <c r="J10" s="294"/>
      <c r="K10" s="64"/>
      <c r="L10" s="294"/>
      <c r="P10" s="434">
        <f>SUM(P5:P9)</f>
        <v>113599</v>
      </c>
      <c r="Q10" s="434">
        <f>SUM(Q5:Q9)</f>
        <v>42205</v>
      </c>
      <c r="R10" s="434">
        <f>SUM(P10:Q10)</f>
        <v>155804</v>
      </c>
    </row>
    <row r="11" spans="1:12" ht="15" customHeight="1" thickBot="1">
      <c r="A11" s="65" t="s">
        <v>25</v>
      </c>
      <c r="B11" s="310" t="s">
        <v>370</v>
      </c>
      <c r="C11" s="74"/>
      <c r="D11" s="61">
        <v>2622</v>
      </c>
      <c r="E11" s="294">
        <f>+D11</f>
        <v>2622</v>
      </c>
      <c r="F11" s="74"/>
      <c r="G11" s="61"/>
      <c r="H11" s="294"/>
      <c r="I11" s="67"/>
      <c r="J11" s="291"/>
      <c r="K11" s="67"/>
      <c r="L11" s="291"/>
    </row>
    <row r="12" spans="1:13" ht="30" customHeight="1">
      <c r="A12" s="68" t="s">
        <v>26</v>
      </c>
      <c r="B12" s="363" t="s">
        <v>81</v>
      </c>
      <c r="C12" s="299">
        <f>SUM(C6:C11)</f>
        <v>31645.89999999999</v>
      </c>
      <c r="D12" s="300">
        <f aca="true" t="shared" si="0" ref="D12:J12">SUM(D6:D11)</f>
        <v>146826.1</v>
      </c>
      <c r="E12" s="301">
        <f t="shared" si="0"/>
        <v>178472</v>
      </c>
      <c r="F12" s="299">
        <f t="shared" si="0"/>
        <v>18672.5</v>
      </c>
      <c r="G12" s="300">
        <f t="shared" si="0"/>
        <v>94552.5</v>
      </c>
      <c r="H12" s="301">
        <f t="shared" si="0"/>
        <v>113225</v>
      </c>
      <c r="I12" s="73">
        <f>SUM(I6:I11)</f>
        <v>113225</v>
      </c>
      <c r="J12" s="73">
        <f t="shared" si="0"/>
        <v>0</v>
      </c>
      <c r="K12" s="73">
        <f>SUM(K6:K11)</f>
        <v>136045</v>
      </c>
      <c r="L12" s="73">
        <f>SUM(L6:L11)</f>
        <v>0</v>
      </c>
      <c r="M12" s="51">
        <v>22890</v>
      </c>
    </row>
    <row r="13" spans="1:12" ht="15" customHeight="1">
      <c r="A13" s="60"/>
      <c r="C13" s="302"/>
      <c r="D13" s="69"/>
      <c r="E13" s="303">
        <f>SUM(C12:D12)</f>
        <v>178472</v>
      </c>
      <c r="F13" s="302"/>
      <c r="G13" s="69"/>
      <c r="H13" s="303">
        <f>SUM(F12:G12)</f>
        <v>113225</v>
      </c>
      <c r="I13" s="70"/>
      <c r="J13" s="70"/>
      <c r="K13" s="70"/>
      <c r="L13" s="70"/>
    </row>
    <row r="14" spans="1:12" ht="7.5" customHeight="1">
      <c r="A14" s="60"/>
      <c r="B14" s="54"/>
      <c r="C14" s="304"/>
      <c r="D14" s="71"/>
      <c r="E14" s="305"/>
      <c r="F14" s="304"/>
      <c r="G14" s="71"/>
      <c r="H14" s="305"/>
      <c r="I14" s="72"/>
      <c r="J14" s="72"/>
      <c r="K14" s="72"/>
      <c r="L14" s="72"/>
    </row>
    <row r="15" spans="1:12" ht="15" customHeight="1">
      <c r="A15" s="60" t="s">
        <v>27</v>
      </c>
      <c r="B15" s="361" t="s">
        <v>82</v>
      </c>
      <c r="C15" s="74">
        <f>+E15</f>
        <v>280</v>
      </c>
      <c r="D15" s="61"/>
      <c r="E15" s="294">
        <v>280</v>
      </c>
      <c r="F15" s="74"/>
      <c r="G15" s="61"/>
      <c r="H15" s="294"/>
      <c r="I15" s="64"/>
      <c r="J15" s="64"/>
      <c r="K15" s="64"/>
      <c r="L15" s="64"/>
    </row>
    <row r="16" spans="1:12" ht="15" customHeight="1">
      <c r="A16" s="60" t="s">
        <v>28</v>
      </c>
      <c r="B16" s="361" t="s">
        <v>83</v>
      </c>
      <c r="C16" s="74">
        <f>+E16</f>
        <v>2814</v>
      </c>
      <c r="D16" s="61"/>
      <c r="E16" s="294">
        <v>2814</v>
      </c>
      <c r="F16" s="74"/>
      <c r="G16" s="61"/>
      <c r="H16" s="294"/>
      <c r="I16" s="64"/>
      <c r="J16" s="64"/>
      <c r="K16" s="64"/>
      <c r="L16" s="64">
        <v>1792</v>
      </c>
    </row>
    <row r="17" spans="1:12" ht="15" customHeight="1">
      <c r="A17" s="60" t="s">
        <v>29</v>
      </c>
      <c r="B17" s="364" t="s">
        <v>84</v>
      </c>
      <c r="C17" s="74">
        <f>+E17</f>
        <v>552</v>
      </c>
      <c r="D17" s="61"/>
      <c r="E17" s="294">
        <v>552</v>
      </c>
      <c r="F17" s="74">
        <v>100</v>
      </c>
      <c r="G17" s="61"/>
      <c r="H17" s="294">
        <f>SUM(F17:G17)</f>
        <v>100</v>
      </c>
      <c r="I17" s="64"/>
      <c r="J17" s="64">
        <f>+H17</f>
        <v>100</v>
      </c>
      <c r="K17" s="64"/>
      <c r="L17" s="64">
        <f>+J17+116</f>
        <v>216</v>
      </c>
    </row>
    <row r="18" spans="1:17" s="76" customFormat="1" ht="15" customHeight="1">
      <c r="A18" s="60" t="s">
        <v>30</v>
      </c>
      <c r="B18" s="361" t="s">
        <v>85</v>
      </c>
      <c r="C18" s="74">
        <f>+E18</f>
        <v>1832</v>
      </c>
      <c r="D18" s="61"/>
      <c r="E18" s="294">
        <v>1832</v>
      </c>
      <c r="F18" s="74"/>
      <c r="G18" s="61"/>
      <c r="H18" s="294"/>
      <c r="I18" s="64"/>
      <c r="J18" s="64"/>
      <c r="K18" s="64"/>
      <c r="L18" s="64"/>
      <c r="P18" s="548"/>
      <c r="Q18" s="548"/>
    </row>
    <row r="19" spans="1:12" ht="16.5" customHeight="1">
      <c r="A19" s="60" t="s">
        <v>31</v>
      </c>
      <c r="B19" s="362" t="s">
        <v>450</v>
      </c>
      <c r="C19" s="74"/>
      <c r="D19" s="61"/>
      <c r="E19" s="294"/>
      <c r="F19" s="74">
        <f>4764+350-100</f>
        <v>5014</v>
      </c>
      <c r="G19" s="61"/>
      <c r="H19" s="294">
        <f>SUM(F19:G19)</f>
        <v>5014</v>
      </c>
      <c r="I19" s="64"/>
      <c r="J19" s="64">
        <f>+H19</f>
        <v>5014</v>
      </c>
      <c r="K19" s="64"/>
      <c r="L19" s="64">
        <f>+J19-5014</f>
        <v>0</v>
      </c>
    </row>
    <row r="20" spans="1:12" ht="15" customHeight="1" thickBot="1">
      <c r="A20" s="60" t="s">
        <v>32</v>
      </c>
      <c r="B20" s="365" t="s">
        <v>86</v>
      </c>
      <c r="C20" s="302">
        <f>SUM(C15:C18)</f>
        <v>5478</v>
      </c>
      <c r="D20" s="69">
        <f>SUM(D15:D18)</f>
        <v>0</v>
      </c>
      <c r="E20" s="303">
        <f>SUM(E15:E18)</f>
        <v>5478</v>
      </c>
      <c r="F20" s="302">
        <f aca="true" t="shared" si="1" ref="F20:L20">SUM(F15:F19)</f>
        <v>5114</v>
      </c>
      <c r="G20" s="69">
        <f t="shared" si="1"/>
        <v>0</v>
      </c>
      <c r="H20" s="303">
        <f t="shared" si="1"/>
        <v>5114</v>
      </c>
      <c r="I20" s="70">
        <f t="shared" si="1"/>
        <v>0</v>
      </c>
      <c r="J20" s="70">
        <f t="shared" si="1"/>
        <v>5114</v>
      </c>
      <c r="K20" s="70">
        <f t="shared" si="1"/>
        <v>0</v>
      </c>
      <c r="L20" s="70">
        <f t="shared" si="1"/>
        <v>2008</v>
      </c>
    </row>
    <row r="21" spans="1:12" ht="15" customHeight="1">
      <c r="A21" s="60"/>
      <c r="B21" s="543" t="s">
        <v>635</v>
      </c>
      <c r="C21" s="74"/>
      <c r="D21" s="61"/>
      <c r="E21" s="75"/>
      <c r="F21" s="74"/>
      <c r="G21" s="61"/>
      <c r="H21" s="75"/>
      <c r="I21" s="62"/>
      <c r="J21" s="62"/>
      <c r="K21" s="62"/>
      <c r="L21" s="62">
        <v>108</v>
      </c>
    </row>
    <row r="22" spans="1:12" ht="17.25" customHeight="1" thickBot="1">
      <c r="A22" s="60" t="s">
        <v>33</v>
      </c>
      <c r="B22" s="361" t="s">
        <v>87</v>
      </c>
      <c r="C22" s="290">
        <v>350</v>
      </c>
      <c r="D22" s="66"/>
      <c r="E22" s="291">
        <f>+C22</f>
        <v>350</v>
      </c>
      <c r="F22" s="290"/>
      <c r="G22" s="66"/>
      <c r="H22" s="291"/>
      <c r="I22" s="67"/>
      <c r="J22" s="67"/>
      <c r="K22" s="67"/>
      <c r="L22" s="67">
        <v>731</v>
      </c>
    </row>
    <row r="23" spans="1:12" ht="31.5" customHeight="1">
      <c r="A23" s="68" t="s">
        <v>34</v>
      </c>
      <c r="B23" s="366" t="s">
        <v>88</v>
      </c>
      <c r="C23" s="299">
        <f aca="true" t="shared" si="2" ref="C23:J23">SUM(C22:C22)</f>
        <v>350</v>
      </c>
      <c r="D23" s="300">
        <f t="shared" si="2"/>
        <v>0</v>
      </c>
      <c r="E23" s="301">
        <f t="shared" si="2"/>
        <v>350</v>
      </c>
      <c r="F23" s="69">
        <f t="shared" si="2"/>
        <v>0</v>
      </c>
      <c r="G23" s="69">
        <f t="shared" si="2"/>
        <v>0</v>
      </c>
      <c r="H23" s="69">
        <f t="shared" si="2"/>
        <v>0</v>
      </c>
      <c r="I23" s="73">
        <f t="shared" si="2"/>
        <v>0</v>
      </c>
      <c r="J23" s="73">
        <f t="shared" si="2"/>
        <v>0</v>
      </c>
      <c r="K23" s="73">
        <f>SUM(K22:K22)</f>
        <v>0</v>
      </c>
      <c r="L23" s="73">
        <f>SUM(L21:L22)</f>
        <v>839</v>
      </c>
    </row>
    <row r="24" spans="1:12" ht="7.5" customHeight="1">
      <c r="A24" s="60"/>
      <c r="B24" s="367"/>
      <c r="C24" s="302"/>
      <c r="D24" s="69"/>
      <c r="E24" s="303"/>
      <c r="F24" s="69"/>
      <c r="G24" s="69"/>
      <c r="H24" s="69"/>
      <c r="I24" s="70"/>
      <c r="J24" s="70"/>
      <c r="K24" s="70"/>
      <c r="L24" s="70"/>
    </row>
    <row r="25" spans="1:12" ht="15" customHeight="1">
      <c r="A25" s="60" t="s">
        <v>35</v>
      </c>
      <c r="B25" s="367" t="s">
        <v>89</v>
      </c>
      <c r="C25" s="302"/>
      <c r="D25" s="69">
        <v>430</v>
      </c>
      <c r="E25" s="303">
        <f>SUM(C25:D25)</f>
        <v>430</v>
      </c>
      <c r="F25" s="69"/>
      <c r="G25" s="69"/>
      <c r="H25" s="69">
        <f>SUM(F25:G25)</f>
        <v>0</v>
      </c>
      <c r="I25" s="70"/>
      <c r="J25" s="70"/>
      <c r="K25" s="70">
        <f>270+70</f>
        <v>340</v>
      </c>
      <c r="L25" s="70"/>
    </row>
    <row r="26" spans="1:12" ht="6" customHeight="1">
      <c r="A26" s="60"/>
      <c r="B26" s="367"/>
      <c r="C26" s="302"/>
      <c r="D26" s="69"/>
      <c r="E26" s="303"/>
      <c r="F26" s="69"/>
      <c r="G26" s="69"/>
      <c r="H26" s="69"/>
      <c r="I26" s="70"/>
      <c r="J26" s="70"/>
      <c r="K26" s="70"/>
      <c r="L26" s="70"/>
    </row>
    <row r="27" spans="1:12" ht="15" customHeight="1">
      <c r="A27" s="60" t="s">
        <v>36</v>
      </c>
      <c r="B27" s="368" t="s">
        <v>363</v>
      </c>
      <c r="C27" s="292"/>
      <c r="D27" s="76">
        <v>3248</v>
      </c>
      <c r="E27" s="303">
        <f>SUM(C27:D27)</f>
        <v>3248</v>
      </c>
      <c r="I27" s="60"/>
      <c r="J27" s="77"/>
      <c r="K27" s="60"/>
      <c r="L27" s="77">
        <f>2871-46+2784</f>
        <v>5609</v>
      </c>
    </row>
    <row r="28" spans="1:12" ht="15" customHeight="1">
      <c r="A28" s="60" t="s">
        <v>37</v>
      </c>
      <c r="B28" s="369" t="s">
        <v>90</v>
      </c>
      <c r="C28" s="302"/>
      <c r="D28" s="69">
        <v>9366</v>
      </c>
      <c r="E28" s="303">
        <f>SUM(C28:D28)</f>
        <v>9366</v>
      </c>
      <c r="F28" s="69"/>
      <c r="G28" s="69"/>
      <c r="H28" s="69">
        <f>SUM(F28:G28)</f>
        <v>0</v>
      </c>
      <c r="I28" s="70"/>
      <c r="J28" s="70"/>
      <c r="K28" s="70"/>
      <c r="L28" s="70">
        <f>7175+79+3655</f>
        <v>10909</v>
      </c>
    </row>
    <row r="29" spans="1:12" ht="15" customHeight="1">
      <c r="A29" s="60" t="s">
        <v>40</v>
      </c>
      <c r="B29" s="370" t="s">
        <v>91</v>
      </c>
      <c r="C29" s="304">
        <f aca="true" t="shared" si="3" ref="C29:J29">SUM(C23:C28)+C20+C12</f>
        <v>37473.899999999994</v>
      </c>
      <c r="D29" s="71">
        <f t="shared" si="3"/>
        <v>159870.1</v>
      </c>
      <c r="E29" s="305">
        <f t="shared" si="3"/>
        <v>197344</v>
      </c>
      <c r="F29" s="71">
        <f t="shared" si="3"/>
        <v>23786.5</v>
      </c>
      <c r="G29" s="71">
        <f t="shared" si="3"/>
        <v>94552.5</v>
      </c>
      <c r="H29" s="71">
        <f t="shared" si="3"/>
        <v>118339</v>
      </c>
      <c r="I29" s="72">
        <f t="shared" si="3"/>
        <v>113225</v>
      </c>
      <c r="J29" s="72">
        <f t="shared" si="3"/>
        <v>5114</v>
      </c>
      <c r="K29" s="72">
        <f>SUM(K23:K28)+K20+K12</f>
        <v>136385</v>
      </c>
      <c r="L29" s="72">
        <f>SUM(L23:L28)+L20+L12</f>
        <v>19365</v>
      </c>
    </row>
    <row r="30" spans="1:12" ht="15.75" thickBot="1">
      <c r="A30" s="60"/>
      <c r="B30" s="371"/>
      <c r="C30" s="306"/>
      <c r="D30" s="307"/>
      <c r="E30" s="308">
        <f>SUM(C29:D29)</f>
        <v>197344</v>
      </c>
      <c r="F30" s="71"/>
      <c r="G30" s="71"/>
      <c r="H30" s="71"/>
      <c r="I30" s="309"/>
      <c r="J30" s="309"/>
      <c r="K30" s="309"/>
      <c r="L30" s="309">
        <v>54</v>
      </c>
    </row>
    <row r="31" spans="1:14" ht="15.75" thickBot="1">
      <c r="A31" s="65" t="s">
        <v>42</v>
      </c>
      <c r="B31" s="372" t="s">
        <v>92</v>
      </c>
      <c r="C31" s="78">
        <f aca="true" t="shared" si="4" ref="C31:J31">+C29</f>
        <v>37473.899999999994</v>
      </c>
      <c r="D31" s="78">
        <f t="shared" si="4"/>
        <v>159870.1</v>
      </c>
      <c r="E31" s="78">
        <f t="shared" si="4"/>
        <v>197344</v>
      </c>
      <c r="F31" s="342">
        <f t="shared" si="4"/>
        <v>23786.5</v>
      </c>
      <c r="G31" s="78">
        <f t="shared" si="4"/>
        <v>94552.5</v>
      </c>
      <c r="H31" s="343">
        <f t="shared" si="4"/>
        <v>118339</v>
      </c>
      <c r="I31" s="79">
        <f>+I29</f>
        <v>113225</v>
      </c>
      <c r="J31" s="79">
        <f t="shared" si="4"/>
        <v>5114</v>
      </c>
      <c r="K31" s="79">
        <f>+K29</f>
        <v>136385</v>
      </c>
      <c r="L31" s="79">
        <f>+L29+L30</f>
        <v>19419</v>
      </c>
      <c r="N31" s="434">
        <f>SUM(K31:L31)</f>
        <v>155804</v>
      </c>
    </row>
    <row r="33" ht="15" customHeight="1">
      <c r="L33" s="434"/>
    </row>
  </sheetData>
  <sheetProtection/>
  <mergeCells count="4">
    <mergeCell ref="C2:E2"/>
    <mergeCell ref="I2:J2"/>
    <mergeCell ref="F2:H2"/>
    <mergeCell ref="K2:L2"/>
  </mergeCells>
  <printOptions/>
  <pageMargins left="0.3937007874015748" right="0.3937007874015748" top="0.49" bottom="0.16" header="0.23" footer="0.53"/>
  <pageSetup horizontalDpi="600" verticalDpi="600" orientation="landscape" paperSize="9" r:id="rId1"/>
  <headerFooter alignWithMargins="0">
    <oddHeader>&amp;L6. melléklet a 2015. évi   2/2015.(II.25.) Önkormányzati költségvetési rendelethez&amp;R2015.02.25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view="pageLayout" workbookViewId="0" topLeftCell="A1">
      <selection activeCell="B32" sqref="B32"/>
    </sheetView>
  </sheetViews>
  <sheetFormatPr defaultColWidth="9.140625" defaultRowHeight="15" customHeight="1"/>
  <cols>
    <col min="1" max="1" width="4.7109375" style="91" customWidth="1"/>
    <col min="2" max="2" width="50.421875" style="91" customWidth="1"/>
    <col min="3" max="3" width="17.421875" style="91" customWidth="1"/>
    <col min="4" max="4" width="9.7109375" style="93" bestFit="1" customWidth="1"/>
    <col min="5" max="16384" width="9.140625" style="91" customWidth="1"/>
  </cols>
  <sheetData>
    <row r="1" spans="1:2" ht="15" customHeight="1">
      <c r="A1" s="326" t="s">
        <v>93</v>
      </c>
      <c r="B1" s="116"/>
    </row>
    <row r="2" spans="1:4" ht="15" customHeight="1">
      <c r="A2" s="326"/>
      <c r="B2" s="116"/>
      <c r="C2" s="327" t="s">
        <v>365</v>
      </c>
      <c r="D2" s="545" t="s">
        <v>365</v>
      </c>
    </row>
    <row r="3" spans="1:4" ht="15" customHeight="1">
      <c r="A3" s="118"/>
      <c r="B3" s="116" t="s">
        <v>353</v>
      </c>
      <c r="C3" s="328" t="s">
        <v>68</v>
      </c>
      <c r="D3" s="546" t="s">
        <v>454</v>
      </c>
    </row>
    <row r="4" spans="1:4" s="331" customFormat="1" ht="15" customHeight="1">
      <c r="A4" s="329"/>
      <c r="B4" s="330"/>
      <c r="D4" s="547"/>
    </row>
    <row r="5" spans="1:4" s="332" customFormat="1" ht="15" customHeight="1">
      <c r="A5" s="345" t="s">
        <v>11</v>
      </c>
      <c r="B5" s="345" t="s">
        <v>12</v>
      </c>
      <c r="C5" s="346" t="s">
        <v>13</v>
      </c>
      <c r="D5" s="545" t="s">
        <v>14</v>
      </c>
    </row>
    <row r="6" spans="2:4" ht="15" customHeight="1">
      <c r="B6" s="333"/>
      <c r="C6" s="334"/>
      <c r="D6" s="334"/>
    </row>
    <row r="7" spans="1:4" ht="15" customHeight="1">
      <c r="A7" s="446" t="s">
        <v>20</v>
      </c>
      <c r="B7" s="335" t="s">
        <v>366</v>
      </c>
      <c r="C7" s="93">
        <f>+'[5]felhalmozási bevétel'!C7+22863-1000-1000-4272-500</f>
        <v>16241</v>
      </c>
      <c r="D7" s="93">
        <f>+C7-900-2650-519-8437-1862-1873</f>
        <v>0</v>
      </c>
    </row>
    <row r="8" spans="1:4" ht="15" customHeight="1">
      <c r="A8" s="446" t="s">
        <v>21</v>
      </c>
      <c r="B8" s="335" t="s">
        <v>431</v>
      </c>
      <c r="C8" s="434">
        <v>5000</v>
      </c>
      <c r="D8" s="434">
        <v>0</v>
      </c>
    </row>
    <row r="9" spans="1:13" ht="15" customHeight="1">
      <c r="A9" s="446" t="s">
        <v>22</v>
      </c>
      <c r="B9" s="335" t="s">
        <v>446</v>
      </c>
      <c r="C9" s="434">
        <v>1000</v>
      </c>
      <c r="D9" s="434">
        <f>+C9-1000</f>
        <v>0</v>
      </c>
      <c r="I9" s="91">
        <v>3735</v>
      </c>
      <c r="J9" s="91">
        <v>12492</v>
      </c>
      <c r="K9" s="91">
        <f>SUM(I9:J9)</f>
        <v>16227</v>
      </c>
      <c r="L9" s="91">
        <f>M9-K9</f>
        <v>4308</v>
      </c>
      <c r="M9" s="91">
        <v>20535</v>
      </c>
    </row>
    <row r="10" spans="1:4" ht="42.75">
      <c r="A10" s="446" t="s">
        <v>23</v>
      </c>
      <c r="B10" s="335" t="s">
        <v>455</v>
      </c>
      <c r="C10" s="434"/>
      <c r="D10" s="434">
        <f>26212-26212</f>
        <v>0</v>
      </c>
    </row>
    <row r="11" spans="1:4" s="51" customFormat="1" ht="15" customHeight="1">
      <c r="A11" s="446" t="s">
        <v>24</v>
      </c>
      <c r="B11" s="335" t="s">
        <v>220</v>
      </c>
      <c r="C11" s="434"/>
      <c r="D11" s="434">
        <f>6094-671</f>
        <v>5423</v>
      </c>
    </row>
    <row r="12" spans="1:4" ht="15" customHeight="1">
      <c r="A12" s="446" t="s">
        <v>25</v>
      </c>
      <c r="B12" s="335" t="s">
        <v>500</v>
      </c>
      <c r="C12" s="434"/>
      <c r="D12" s="434">
        <f>12492-12492</f>
        <v>0</v>
      </c>
    </row>
    <row r="13" spans="1:4" ht="31.5" customHeight="1">
      <c r="A13" s="557" t="s">
        <v>26</v>
      </c>
      <c r="B13" s="335" t="s">
        <v>501</v>
      </c>
      <c r="C13" s="434"/>
      <c r="D13" s="434">
        <v>1000</v>
      </c>
    </row>
    <row r="14" spans="1:4" ht="31.5" customHeight="1">
      <c r="A14" s="557" t="s">
        <v>27</v>
      </c>
      <c r="B14" s="335" t="s">
        <v>521</v>
      </c>
      <c r="C14" s="434"/>
      <c r="D14" s="434">
        <v>2650</v>
      </c>
    </row>
    <row r="15" spans="1:4" ht="31.5" customHeight="1">
      <c r="A15" s="557" t="s">
        <v>28</v>
      </c>
      <c r="B15" s="335" t="s">
        <v>523</v>
      </c>
      <c r="C15" s="434"/>
      <c r="D15" s="434">
        <v>1100</v>
      </c>
    </row>
    <row r="16" spans="1:4" ht="31.5" customHeight="1">
      <c r="A16" s="51" t="s">
        <v>29</v>
      </c>
      <c r="B16" s="335" t="s">
        <v>533</v>
      </c>
      <c r="C16" s="434"/>
      <c r="D16" s="434">
        <f>519+1333</f>
        <v>1852</v>
      </c>
    </row>
    <row r="17" spans="1:4" s="544" customFormat="1" ht="31.5" customHeight="1">
      <c r="A17" s="51" t="s">
        <v>30</v>
      </c>
      <c r="B17" s="335" t="s">
        <v>644</v>
      </c>
      <c r="C17" s="434"/>
      <c r="D17" s="434">
        <v>0</v>
      </c>
    </row>
    <row r="18" spans="1:4" ht="31.5" customHeight="1">
      <c r="A18" s="51" t="s">
        <v>31</v>
      </c>
      <c r="B18" s="335" t="s">
        <v>546</v>
      </c>
      <c r="C18" s="434"/>
      <c r="D18" s="434">
        <v>800</v>
      </c>
    </row>
    <row r="19" spans="1:4" ht="33.75" customHeight="1">
      <c r="A19" s="51" t="s">
        <v>32</v>
      </c>
      <c r="B19" s="335" t="s">
        <v>551</v>
      </c>
      <c r="C19" s="434"/>
      <c r="D19" s="434">
        <f>1162-226</f>
        <v>936</v>
      </c>
    </row>
    <row r="20" spans="1:4" ht="28.5" customHeight="1">
      <c r="A20" s="51" t="s">
        <v>33</v>
      </c>
      <c r="B20" s="335" t="s">
        <v>550</v>
      </c>
      <c r="C20" s="434"/>
      <c r="D20" s="434">
        <f>5000+51</f>
        <v>5051</v>
      </c>
    </row>
    <row r="21" spans="1:4" ht="28.5" customHeight="1">
      <c r="A21" s="557" t="s">
        <v>34</v>
      </c>
      <c r="B21" s="403" t="s">
        <v>643</v>
      </c>
      <c r="C21" s="434"/>
      <c r="D21" s="434">
        <v>40716</v>
      </c>
    </row>
    <row r="22" spans="1:4" ht="28.5" customHeight="1">
      <c r="A22" s="51"/>
      <c r="B22" s="335"/>
      <c r="C22" s="434"/>
      <c r="D22" s="434"/>
    </row>
    <row r="23" spans="1:4" ht="14.25">
      <c r="A23" s="446"/>
      <c r="B23" s="335"/>
      <c r="C23" s="434"/>
      <c r="D23" s="434"/>
    </row>
    <row r="24" spans="1:7" ht="15" customHeight="1">
      <c r="A24" s="557" t="s">
        <v>35</v>
      </c>
      <c r="B24" s="336" t="s">
        <v>94</v>
      </c>
      <c r="C24" s="334">
        <f>SUM(C7:C13)</f>
        <v>22241</v>
      </c>
      <c r="D24" s="334">
        <f>SUM(D7:D23)</f>
        <v>59528</v>
      </c>
      <c r="F24" s="91">
        <v>68428</v>
      </c>
      <c r="G24" s="91">
        <v>59528</v>
      </c>
    </row>
    <row r="25" spans="1:4" ht="15" customHeight="1">
      <c r="A25" s="51"/>
      <c r="B25" s="51"/>
      <c r="C25" s="51"/>
      <c r="D25" s="434"/>
    </row>
    <row r="26" spans="1:4" ht="15" customHeight="1">
      <c r="A26" s="557" t="s">
        <v>36</v>
      </c>
      <c r="B26" s="558" t="s">
        <v>432</v>
      </c>
      <c r="C26" s="51">
        <f>9041+3096</f>
        <v>12137</v>
      </c>
      <c r="D26" s="434">
        <f>+C26-12137</f>
        <v>0</v>
      </c>
    </row>
    <row r="27" spans="1:4" ht="15" customHeight="1">
      <c r="A27" s="557" t="s">
        <v>37</v>
      </c>
      <c r="B27" s="558" t="s">
        <v>518</v>
      </c>
      <c r="C27" s="51">
        <v>1500</v>
      </c>
      <c r="D27" s="434">
        <v>0</v>
      </c>
    </row>
    <row r="28" spans="1:4" ht="15" customHeight="1">
      <c r="A28" s="446" t="s">
        <v>40</v>
      </c>
      <c r="B28" s="558" t="s">
        <v>544</v>
      </c>
      <c r="C28" s="51"/>
      <c r="D28" s="434">
        <f>4583+12137+1500+1862</f>
        <v>20082</v>
      </c>
    </row>
    <row r="29" spans="1:4" ht="15" customHeight="1">
      <c r="A29" s="51"/>
      <c r="B29" s="558"/>
      <c r="C29" s="434"/>
      <c r="D29" s="434"/>
    </row>
    <row r="30" spans="1:4" ht="15" customHeight="1">
      <c r="A30" s="557" t="s">
        <v>42</v>
      </c>
      <c r="B30" s="559" t="s">
        <v>95</v>
      </c>
      <c r="C30" s="29">
        <f>SUM(C26:C29)</f>
        <v>13637</v>
      </c>
      <c r="D30" s="30">
        <f>SUM(D26:D29)</f>
        <v>20082</v>
      </c>
    </row>
    <row r="31" spans="1:4" ht="15" customHeight="1">
      <c r="A31" s="557"/>
      <c r="B31" s="559"/>
      <c r="C31" s="29"/>
      <c r="D31" s="30"/>
    </row>
    <row r="32" spans="1:6" ht="15" customHeight="1">
      <c r="A32" s="447" t="s">
        <v>43</v>
      </c>
      <c r="B32" s="337" t="s">
        <v>96</v>
      </c>
      <c r="C32" s="338">
        <f>+C30+C24</f>
        <v>35878</v>
      </c>
      <c r="D32" s="338">
        <f>+D30+D24</f>
        <v>79610</v>
      </c>
      <c r="F32" s="91">
        <v>88510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&amp;L7. melléklet a 2015. évi   2/2015.(II.25.) Önkormányzati költségvetési rendelethez&amp;R2015.02.25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view="pageLayout" workbookViewId="0" topLeftCell="A1">
      <selection activeCell="B22" sqref="B22"/>
    </sheetView>
  </sheetViews>
  <sheetFormatPr defaultColWidth="9.140625" defaultRowHeight="12.75"/>
  <cols>
    <col min="1" max="1" width="4.7109375" style="89" bestFit="1" customWidth="1"/>
    <col min="2" max="2" width="66.421875" style="88" customWidth="1"/>
    <col min="3" max="3" width="12.140625" style="88" customWidth="1"/>
    <col min="4" max="4" width="9.421875" style="88" bestFit="1" customWidth="1"/>
    <col min="5" max="16384" width="9.140625" style="88" customWidth="1"/>
  </cols>
  <sheetData>
    <row r="1" ht="15.75">
      <c r="A1" s="87" t="s">
        <v>143</v>
      </c>
    </row>
    <row r="2" spans="2:4" ht="15.75">
      <c r="B2" s="405"/>
      <c r="C2" s="424"/>
      <c r="D2" s="424"/>
    </row>
    <row r="3" spans="2:4" ht="15.75">
      <c r="B3" s="404" t="s">
        <v>144</v>
      </c>
      <c r="C3" s="570" t="s">
        <v>365</v>
      </c>
      <c r="D3" s="570" t="s">
        <v>365</v>
      </c>
    </row>
    <row r="4" spans="2:4" ht="15.75">
      <c r="B4" s="424"/>
      <c r="C4" s="570" t="s">
        <v>68</v>
      </c>
      <c r="D4" s="570" t="s">
        <v>454</v>
      </c>
    </row>
    <row r="5" spans="1:4" ht="15.75">
      <c r="A5" s="89" t="s">
        <v>11</v>
      </c>
      <c r="B5" s="572" t="s">
        <v>12</v>
      </c>
      <c r="C5" s="570" t="s">
        <v>13</v>
      </c>
      <c r="D5" s="570" t="s">
        <v>14</v>
      </c>
    </row>
    <row r="6" spans="2:4" ht="15.75">
      <c r="B6" s="424"/>
      <c r="C6" s="424"/>
      <c r="D6" s="424"/>
    </row>
    <row r="7" spans="1:4" ht="15.75">
      <c r="A7" s="89" t="s">
        <v>20</v>
      </c>
      <c r="B7" s="570" t="s">
        <v>145</v>
      </c>
      <c r="C7" s="571">
        <f>+Bevétel!E105</f>
        <v>150</v>
      </c>
      <c r="D7" s="571">
        <f>+Bevétel!F106</f>
        <v>195</v>
      </c>
    </row>
    <row r="8" spans="2:4" ht="15.75">
      <c r="B8" s="424"/>
      <c r="C8" s="560"/>
      <c r="D8" s="560"/>
    </row>
    <row r="9" spans="1:4" ht="15.75">
      <c r="A9" s="89" t="s">
        <v>21</v>
      </c>
      <c r="B9" s="424" t="s">
        <v>438</v>
      </c>
      <c r="C9" s="560">
        <v>7000</v>
      </c>
      <c r="D9" s="560">
        <v>7900</v>
      </c>
    </row>
    <row r="10" spans="1:4" ht="15.75">
      <c r="A10" s="89" t="s">
        <v>22</v>
      </c>
      <c r="B10" s="424" t="s">
        <v>437</v>
      </c>
      <c r="C10" s="424">
        <f>35000+9450</f>
        <v>44450</v>
      </c>
      <c r="D10" s="424">
        <f>+C10-44450</f>
        <v>0</v>
      </c>
    </row>
    <row r="11" spans="1:4" ht="24" customHeight="1">
      <c r="A11" s="89" t="s">
        <v>23</v>
      </c>
      <c r="B11" s="573" t="s">
        <v>529</v>
      </c>
      <c r="C11" s="424">
        <v>9450</v>
      </c>
      <c r="D11" s="424">
        <v>0</v>
      </c>
    </row>
    <row r="12" spans="1:4" ht="15.75">
      <c r="A12" s="89" t="s">
        <v>24</v>
      </c>
      <c r="B12" s="424" t="str">
        <f>+Bevétel!C98</f>
        <v>BM EU Önerő Alap KEOP-1.3.0/09-11 pályázathoz</v>
      </c>
      <c r="C12" s="424"/>
      <c r="D12" s="560">
        <f>+Bevétel!F98</f>
        <v>0</v>
      </c>
    </row>
    <row r="13" spans="1:4" ht="15.75">
      <c r="A13" s="89" t="s">
        <v>25</v>
      </c>
      <c r="B13" s="403" t="s">
        <v>500</v>
      </c>
      <c r="C13" s="424"/>
      <c r="D13" s="424">
        <f>12492-12492</f>
        <v>0</v>
      </c>
    </row>
    <row r="14" spans="1:4" ht="15.75">
      <c r="A14" s="89" t="s">
        <v>26</v>
      </c>
      <c r="B14" s="405" t="s">
        <v>649</v>
      </c>
      <c r="C14" s="424"/>
      <c r="D14" s="424">
        <v>5975</v>
      </c>
    </row>
    <row r="15" spans="1:4" ht="15.75">
      <c r="A15" s="89" t="s">
        <v>27</v>
      </c>
      <c r="B15" s="405" t="s">
        <v>647</v>
      </c>
      <c r="C15" s="424"/>
      <c r="D15" s="424">
        <v>11450</v>
      </c>
    </row>
    <row r="16" spans="1:4" ht="15.75">
      <c r="A16" s="89" t="s">
        <v>28</v>
      </c>
      <c r="B16" s="405" t="s">
        <v>648</v>
      </c>
      <c r="C16" s="424"/>
      <c r="D16" s="424">
        <v>236</v>
      </c>
    </row>
    <row r="17" spans="2:5" ht="15.75">
      <c r="B17" s="408" t="s">
        <v>143</v>
      </c>
      <c r="C17" s="424"/>
      <c r="D17" s="571">
        <f>SUM(D9:D16)</f>
        <v>25561</v>
      </c>
      <c r="E17" s="90"/>
    </row>
    <row r="18" spans="2:5" ht="15.75">
      <c r="B18" s="405"/>
      <c r="C18" s="424"/>
      <c r="D18" s="424"/>
      <c r="E18" s="90"/>
    </row>
    <row r="19" spans="1:4" ht="15.75">
      <c r="A19" s="89" t="s">
        <v>29</v>
      </c>
      <c r="B19" s="570" t="str">
        <f>+Bevétel!C41</f>
        <v>Konszolidáció</v>
      </c>
      <c r="C19" s="424"/>
      <c r="D19" s="571">
        <f>+Bevétel!F41</f>
        <v>235624</v>
      </c>
    </row>
    <row r="20" spans="2:4" ht="15.75">
      <c r="B20" s="424"/>
      <c r="C20" s="424"/>
      <c r="D20" s="560"/>
    </row>
    <row r="21" spans="2:4" ht="15.75">
      <c r="B21" s="424"/>
      <c r="C21" s="424"/>
      <c r="D21" s="424"/>
    </row>
    <row r="22" spans="2:4" ht="15.75">
      <c r="B22" s="424"/>
      <c r="C22" s="424"/>
      <c r="D22" s="424"/>
    </row>
    <row r="23" spans="1:6" ht="15.75">
      <c r="A23" s="89" t="s">
        <v>30</v>
      </c>
      <c r="B23" s="337" t="s">
        <v>96</v>
      </c>
      <c r="C23" s="571">
        <f>SUM(C7:C13)-C11</f>
        <v>51600</v>
      </c>
      <c r="D23" s="571">
        <f>D7+D17+D19</f>
        <v>261380</v>
      </c>
      <c r="F23" s="90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&amp;L8. melléklet a 2015. évi   2/2015.(II.25.) Önkormányzati költségvetési rendelethez&amp;R2015.02.25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BVÖ01</cp:lastModifiedBy>
  <cp:lastPrinted>2015-03-02T12:27:51Z</cp:lastPrinted>
  <dcterms:created xsi:type="dcterms:W3CDTF">2013-01-09T15:47:27Z</dcterms:created>
  <dcterms:modified xsi:type="dcterms:W3CDTF">2015-03-02T12:28:28Z</dcterms:modified>
  <cp:category/>
  <cp:version/>
  <cp:contentType/>
  <cp:contentStatus/>
</cp:coreProperties>
</file>